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eshvytheswaran/iCloud Drive (Archive)/Desktop/Desktop - MacBook Air (407)/CSC fellowship/DEC Data Records/"/>
    </mc:Choice>
  </mc:AlternateContent>
  <xr:revisionPtr revIDLastSave="0" documentId="13_ncr:1_{C9EDD045-130F-D341-BA21-703ACCCFE292}" xr6:coauthVersionLast="47" xr6:coauthVersionMax="47" xr10:uidLastSave="{00000000-0000-0000-0000-000000000000}"/>
  <bookViews>
    <workbookView xWindow="420" yWindow="800" windowWidth="27120" windowHeight="15940" tabRatio="840" firstSheet="28" activeTab="23" xr2:uid="{00000000-000D-0000-FFFF-FFFF00000000}"/>
  </bookViews>
  <sheets>
    <sheet name="Alder Lake" sheetId="35" r:id="rId1"/>
    <sheet name="Beaverkill Road to BLM FT" sheetId="34" r:id="rId2"/>
    <sheet name="Dry Brook Ridge to Lean-to " sheetId="36" r:id="rId3"/>
    <sheet name="Kelly Hollow" sheetId="31" r:id="rId4"/>
    <sheet name="Millbrook to BLM FT" sheetId="33" r:id="rId5"/>
    <sheet name="Neversink Hardenburgh Trail" sheetId="38" r:id="rId6"/>
    <sheet name="Cathedral Glen" sheetId="72" r:id="rId7"/>
    <sheet name="Woodchuck Hollow" sheetId="73" r:id="rId8"/>
    <sheet name="Biscuit Brook" sheetId="39" r:id="rId9"/>
    <sheet name="Hardenburgh- MH Trail" sheetId="40" r:id="rId10"/>
    <sheet name="McKenley Hollow" sheetId="41" r:id="rId11"/>
    <sheet name="Mongaup Pond" sheetId="44" r:id="rId12"/>
    <sheet name="Rider Hollow" sheetId="42" r:id="rId13"/>
    <sheet name="Seager" sheetId="43" r:id="rId14"/>
    <sheet name="Onteora Lake" sheetId="47" r:id="rId15"/>
    <sheet name="Overlook" sheetId="45" r:id="rId16"/>
    <sheet name="Mt Tremper" sheetId="48" r:id="rId17"/>
    <sheet name="Rochester Hollow" sheetId="46" r:id="rId18"/>
    <sheet name="Denning" sheetId="49" r:id="rId19"/>
    <sheet name="Fox Hollow" sheetId="50" r:id="rId20"/>
    <sheet name="Giant Ledge" sheetId="51" r:id="rId21"/>
    <sheet name="Lane Street" sheetId="67" r:id="rId22"/>
    <sheet name="Peekamoose" sheetId="52" r:id="rId23"/>
    <sheet name="Slide Mt" sheetId="53" r:id="rId24"/>
    <sheet name="Wittenberg" sheetId="54" r:id="rId25"/>
    <sheet name="Woodland Valley" sheetId="55" r:id="rId26"/>
    <sheet name="Ashokan HP" sheetId="56" r:id="rId27"/>
    <sheet name="Bangle Hill" sheetId="69" r:id="rId28"/>
    <sheet name="Red Hill Dinch Road " sheetId="58" r:id="rId29"/>
    <sheet name="Trails End Road" sheetId="68" r:id="rId30"/>
    <sheet name="Upper Cherrytown Road" sheetId="70" r:id="rId31"/>
    <sheet name="Vernooy" sheetId="57" r:id="rId32"/>
    <sheet name="Flynn" sheetId="59" r:id="rId33"/>
    <sheet name="Frick Pond" sheetId="60" r:id="rId34"/>
    <sheet name="Long Pond" sheetId="61" r:id="rId35"/>
    <sheet name="Yearly Totals" sheetId="63" r:id="rId36"/>
    <sheet name="Wilderness Area" sheetId="64" r:id="rId37"/>
    <sheet name="Wild Forest" sheetId="65" r:id="rId38"/>
    <sheet name="Sheet1" sheetId="74" r:id="rId39"/>
  </sheets>
  <definedNames>
    <definedName name="_1__123Graph_BCHART_1" localSheetId="21" hidden="1">#REF!</definedName>
    <definedName name="_1__123Graph_BCHART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4" i="56" l="1"/>
  <c r="AJ13" i="56"/>
  <c r="AJ12" i="56"/>
  <c r="AJ11" i="56"/>
  <c r="AJ10" i="56"/>
  <c r="AJ9" i="56"/>
  <c r="AJ8" i="56"/>
  <c r="AJ7" i="56"/>
  <c r="AJ6" i="56"/>
  <c r="AJ5" i="56"/>
  <c r="AI16" i="56"/>
  <c r="AI15" i="56"/>
  <c r="AI14" i="56"/>
  <c r="AI13" i="56"/>
  <c r="AJ14" i="54"/>
  <c r="AJ13" i="54"/>
  <c r="AJ12" i="54"/>
  <c r="AJ11" i="54"/>
  <c r="AJ10" i="54"/>
  <c r="AJ9" i="54"/>
  <c r="AJ8" i="54"/>
  <c r="AI14" i="53"/>
  <c r="AI13" i="53"/>
  <c r="AI12" i="53"/>
  <c r="AI11" i="63"/>
  <c r="AI11" i="53"/>
  <c r="AI10" i="53"/>
  <c r="AJ11" i="51"/>
  <c r="AJ10" i="51"/>
  <c r="AJ9" i="51"/>
  <c r="AJ8" i="51"/>
  <c r="AJ7" i="51"/>
  <c r="AJ6" i="51"/>
  <c r="AJ5" i="51"/>
  <c r="AI16" i="51"/>
  <c r="AI15" i="51"/>
  <c r="AI14" i="51"/>
  <c r="AI13" i="51"/>
  <c r="AI11" i="51"/>
  <c r="AJ12" i="45"/>
  <c r="AJ13" i="45"/>
  <c r="AJ14" i="45"/>
  <c r="AJ11" i="45"/>
  <c r="AJ10" i="45"/>
  <c r="AJ9" i="45"/>
  <c r="AJ8" i="63"/>
  <c r="AJ8" i="45"/>
  <c r="AJ12" i="33"/>
  <c r="AJ13" i="33"/>
  <c r="AJ11" i="33"/>
  <c r="AJ10" i="33"/>
  <c r="AJ9" i="33"/>
  <c r="AJ8" i="33"/>
  <c r="AJ7" i="33"/>
  <c r="AJ6" i="33"/>
  <c r="AJ5" i="33"/>
  <c r="AI16" i="33"/>
  <c r="AI15" i="33"/>
  <c r="AI14" i="33"/>
  <c r="AI13" i="33"/>
  <c r="AI12" i="33"/>
  <c r="AI11" i="33"/>
  <c r="AI10" i="33"/>
  <c r="AI9" i="33"/>
  <c r="AI8" i="33"/>
  <c r="AI7" i="33"/>
  <c r="AI5" i="33"/>
  <c r="AI6" i="33"/>
  <c r="AJ7" i="63"/>
  <c r="AJ7" i="45"/>
  <c r="AJ6" i="45"/>
  <c r="AJ5" i="45"/>
  <c r="AI16" i="45"/>
  <c r="AI15" i="45"/>
  <c r="AI14" i="45"/>
  <c r="CQ17" i="45"/>
  <c r="AI13" i="45"/>
  <c r="AJ9" i="55"/>
  <c r="AJ8" i="55"/>
  <c r="AJ7" i="55"/>
  <c r="AJ6" i="55"/>
  <c r="AJ5" i="55"/>
  <c r="AI16" i="55"/>
  <c r="AI15" i="55"/>
  <c r="AI14" i="55"/>
  <c r="AI13" i="55"/>
  <c r="AJ7" i="54"/>
  <c r="AJ6" i="54"/>
  <c r="AJ5" i="54"/>
  <c r="AI16" i="54"/>
  <c r="AI15" i="63" s="1"/>
  <c r="AI15" i="54"/>
  <c r="AI14" i="54"/>
  <c r="AI5" i="54"/>
  <c r="AI13" i="54"/>
  <c r="AI6" i="51"/>
  <c r="AI5" i="51"/>
  <c r="AH16" i="51"/>
  <c r="AH15" i="51"/>
  <c r="AH14" i="51"/>
  <c r="AH13" i="51"/>
  <c r="AH12" i="51"/>
  <c r="AI14" i="34"/>
  <c r="AI13" i="34"/>
  <c r="AI12" i="34"/>
  <c r="AI11" i="34"/>
  <c r="AI10" i="34"/>
  <c r="AI9" i="34"/>
  <c r="AI8" i="34"/>
  <c r="AI7" i="34"/>
  <c r="AI6" i="34"/>
  <c r="AI5" i="34"/>
  <c r="AH16" i="34"/>
  <c r="AH15" i="34"/>
  <c r="AH14" i="34"/>
  <c r="AI9" i="31"/>
  <c r="AI10" i="31"/>
  <c r="AI13" i="31"/>
  <c r="AI12" i="31"/>
  <c r="AI11" i="31"/>
  <c r="AI8" i="31"/>
  <c r="AI7" i="31"/>
  <c r="AI15" i="73"/>
  <c r="AI14" i="73"/>
  <c r="AI13" i="73"/>
  <c r="AF10" i="73"/>
  <c r="AG13" i="73"/>
  <c r="AF13" i="73"/>
  <c r="AG10" i="73"/>
  <c r="CQ14" i="73"/>
  <c r="AH5" i="73"/>
  <c r="CP5" i="73" s="1"/>
  <c r="AH15" i="73"/>
  <c r="CK15" i="73" s="1"/>
  <c r="AH14" i="73"/>
  <c r="CN10" i="73"/>
  <c r="AH13" i="73"/>
  <c r="AH9" i="73"/>
  <c r="AF11" i="73"/>
  <c r="CL11" i="73" s="1"/>
  <c r="AF9" i="73"/>
  <c r="AF8" i="73"/>
  <c r="AF7" i="73"/>
  <c r="CL7" i="73" s="1"/>
  <c r="AF6" i="73"/>
  <c r="AF5" i="73"/>
  <c r="AE16" i="73"/>
  <c r="AE15" i="73"/>
  <c r="AE14" i="73"/>
  <c r="AE13" i="73"/>
  <c r="AI11" i="73"/>
  <c r="AI9" i="73"/>
  <c r="AH6" i="73"/>
  <c r="CD13" i="73"/>
  <c r="AE12" i="73"/>
  <c r="AE11" i="73"/>
  <c r="AE10" i="73"/>
  <c r="AE9" i="73"/>
  <c r="AE8" i="73"/>
  <c r="AE7" i="73"/>
  <c r="AE6" i="73"/>
  <c r="AE5" i="73"/>
  <c r="AD16" i="73"/>
  <c r="AD15" i="73"/>
  <c r="AD14" i="73"/>
  <c r="AD13" i="73"/>
  <c r="AD12" i="73"/>
  <c r="AD11" i="73"/>
  <c r="AG15" i="73"/>
  <c r="AD10" i="73"/>
  <c r="AD9" i="73"/>
  <c r="CC9" i="73" s="1"/>
  <c r="AD8" i="73"/>
  <c r="AD7" i="73"/>
  <c r="AD6" i="73"/>
  <c r="AD5" i="73"/>
  <c r="AC16" i="73"/>
  <c r="AC15" i="73"/>
  <c r="AC14" i="73"/>
  <c r="AC13" i="73"/>
  <c r="AC12" i="73"/>
  <c r="AH12" i="73"/>
  <c r="AC11" i="73"/>
  <c r="AC10" i="73"/>
  <c r="AC9" i="73"/>
  <c r="AC8" i="73"/>
  <c r="CB8" i="73" s="1"/>
  <c r="AC7" i="73"/>
  <c r="AC6" i="73"/>
  <c r="AC5" i="73"/>
  <c r="AB16" i="73"/>
  <c r="AB15" i="73"/>
  <c r="AB14" i="73"/>
  <c r="CE14" i="73" s="1"/>
  <c r="AB13" i="73"/>
  <c r="AG12" i="73"/>
  <c r="CC13" i="73"/>
  <c r="AB12" i="73"/>
  <c r="AI12" i="73"/>
  <c r="AB11" i="73"/>
  <c r="AB10" i="73"/>
  <c r="AB9" i="73"/>
  <c r="AI7" i="73"/>
  <c r="CO7" i="73" s="1"/>
  <c r="AG9" i="73"/>
  <c r="AF15" i="73"/>
  <c r="AB8" i="73"/>
  <c r="AB7" i="73"/>
  <c r="AB6" i="73"/>
  <c r="CB6" i="73" s="1"/>
  <c r="AB5" i="73"/>
  <c r="AA16" i="73"/>
  <c r="CD16" i="73" s="1"/>
  <c r="AA15" i="73"/>
  <c r="CC15" i="73" s="1"/>
  <c r="AZ18" i="73"/>
  <c r="AY18" i="73"/>
  <c r="AX18" i="73"/>
  <c r="AW18" i="73"/>
  <c r="AV18" i="73"/>
  <c r="AU18" i="73"/>
  <c r="AT18" i="73"/>
  <c r="AS18" i="73"/>
  <c r="AR18" i="73"/>
  <c r="AQ18" i="73"/>
  <c r="AP18" i="73"/>
  <c r="AO18" i="73"/>
  <c r="AN18" i="73"/>
  <c r="AM18" i="73"/>
  <c r="AL18" i="73"/>
  <c r="AK18" i="73"/>
  <c r="AJ18" i="73"/>
  <c r="AA18" i="73"/>
  <c r="Z18" i="73"/>
  <c r="Y18" i="73"/>
  <c r="X18" i="73"/>
  <c r="W18" i="73"/>
  <c r="V18" i="73"/>
  <c r="U18" i="73"/>
  <c r="T18" i="73"/>
  <c r="S18" i="73"/>
  <c r="R18" i="73"/>
  <c r="Q18" i="73"/>
  <c r="P18" i="73"/>
  <c r="O18" i="73"/>
  <c r="N18" i="73"/>
  <c r="M18" i="73"/>
  <c r="L18" i="73"/>
  <c r="K18" i="73"/>
  <c r="J18" i="73"/>
  <c r="I18" i="73"/>
  <c r="H18" i="73"/>
  <c r="G18" i="73"/>
  <c r="F18" i="73"/>
  <c r="E18" i="73"/>
  <c r="D18" i="73"/>
  <c r="C18" i="73"/>
  <c r="B18" i="73"/>
  <c r="DD16" i="73"/>
  <c r="DC16" i="73"/>
  <c r="DB16" i="73"/>
  <c r="DA16" i="73"/>
  <c r="CZ16" i="73"/>
  <c r="CY16" i="73"/>
  <c r="CX16" i="73"/>
  <c r="CW16" i="73"/>
  <c r="CV16" i="73"/>
  <c r="CU16" i="73"/>
  <c r="CT16" i="73"/>
  <c r="CS16" i="73"/>
  <c r="CR16" i="73"/>
  <c r="CQ16" i="73"/>
  <c r="CP16" i="73"/>
  <c r="CJ16" i="73"/>
  <c r="CI16" i="73"/>
  <c r="CH16" i="73"/>
  <c r="CB16" i="73"/>
  <c r="BZ16" i="73"/>
  <c r="BY16" i="73"/>
  <c r="BX16" i="73"/>
  <c r="BW16" i="73"/>
  <c r="BV16" i="73"/>
  <c r="BU16" i="73"/>
  <c r="BT16" i="73"/>
  <c r="BS16" i="73"/>
  <c r="BR16" i="73"/>
  <c r="BQ16" i="73"/>
  <c r="BP16" i="73"/>
  <c r="BO16" i="73"/>
  <c r="BN16" i="73"/>
  <c r="BM16" i="73"/>
  <c r="BL16" i="73"/>
  <c r="BK16" i="73"/>
  <c r="BJ16" i="73"/>
  <c r="CO16" i="73"/>
  <c r="CL16" i="73"/>
  <c r="DD15" i="73"/>
  <c r="DC15" i="73"/>
  <c r="DB15" i="73"/>
  <c r="DA15" i="73"/>
  <c r="CZ15" i="73"/>
  <c r="CY15" i="73"/>
  <c r="CX15" i="73"/>
  <c r="CW15" i="73"/>
  <c r="CV15" i="73"/>
  <c r="CU15" i="73"/>
  <c r="CT15" i="73"/>
  <c r="CS15" i="73"/>
  <c r="CR15" i="73"/>
  <c r="CD15" i="73"/>
  <c r="CB15" i="73"/>
  <c r="CA15" i="73"/>
  <c r="BZ15" i="73"/>
  <c r="BY15" i="73"/>
  <c r="BX15" i="73"/>
  <c r="BW15" i="73"/>
  <c r="BV15" i="73"/>
  <c r="BU15" i="73"/>
  <c r="BT15" i="73"/>
  <c r="BS15" i="73"/>
  <c r="BR15" i="73"/>
  <c r="BQ15" i="73"/>
  <c r="BP15" i="73"/>
  <c r="BO15" i="73"/>
  <c r="BN15" i="73"/>
  <c r="BM15" i="73"/>
  <c r="BL15" i="73"/>
  <c r="BK15" i="73"/>
  <c r="BJ15" i="73"/>
  <c r="DD14" i="73"/>
  <c r="DC14" i="73"/>
  <c r="DB14" i="73"/>
  <c r="DA14" i="73"/>
  <c r="CZ14" i="73"/>
  <c r="CY14" i="73"/>
  <c r="CX14" i="73"/>
  <c r="CW14" i="73"/>
  <c r="CV14" i="73"/>
  <c r="CU14" i="73"/>
  <c r="CT14" i="73"/>
  <c r="CS14" i="73"/>
  <c r="CR14" i="73"/>
  <c r="CD14" i="73"/>
  <c r="CA14" i="73"/>
  <c r="BZ14" i="73"/>
  <c r="BY14" i="73"/>
  <c r="BX14" i="73"/>
  <c r="BW14" i="73"/>
  <c r="BV14" i="73"/>
  <c r="BU14" i="73"/>
  <c r="BT14" i="73"/>
  <c r="BS14" i="73"/>
  <c r="BR14" i="73"/>
  <c r="BQ14" i="73"/>
  <c r="BP14" i="73"/>
  <c r="BO14" i="73"/>
  <c r="BN14" i="73"/>
  <c r="BM14" i="73"/>
  <c r="BL14" i="73"/>
  <c r="BK14" i="73"/>
  <c r="BJ14" i="73"/>
  <c r="CP14" i="73"/>
  <c r="CO14" i="73"/>
  <c r="DD13" i="73"/>
  <c r="DC13" i="73"/>
  <c r="DB13" i="73"/>
  <c r="DA13" i="73"/>
  <c r="CZ13" i="73"/>
  <c r="CY13" i="73"/>
  <c r="CX13" i="73"/>
  <c r="CW13" i="73"/>
  <c r="CV13" i="73"/>
  <c r="CU13" i="73"/>
  <c r="CT13" i="73"/>
  <c r="CS13" i="73"/>
  <c r="CR13" i="73"/>
  <c r="CF13" i="73"/>
  <c r="BZ13" i="73"/>
  <c r="BY13" i="73"/>
  <c r="BX13" i="73"/>
  <c r="BW13" i="73"/>
  <c r="BV13" i="73"/>
  <c r="BU13" i="73"/>
  <c r="BT13" i="73"/>
  <c r="BS13" i="73"/>
  <c r="BR13" i="73"/>
  <c r="BQ13" i="73"/>
  <c r="BP13" i="73"/>
  <c r="BO13" i="73"/>
  <c r="BN13" i="73"/>
  <c r="BM13" i="73"/>
  <c r="BL13" i="73"/>
  <c r="BK13" i="73"/>
  <c r="BJ13" i="73"/>
  <c r="DD12" i="73"/>
  <c r="DC12" i="73"/>
  <c r="DB12" i="73"/>
  <c r="DA12" i="73"/>
  <c r="CZ12" i="73"/>
  <c r="CY12" i="73"/>
  <c r="CX12" i="73"/>
  <c r="CW12" i="73"/>
  <c r="CV12" i="73"/>
  <c r="CU12" i="73"/>
  <c r="CT12" i="73"/>
  <c r="CS12" i="73"/>
  <c r="CR12" i="73"/>
  <c r="CQ12" i="73"/>
  <c r="BZ12" i="73"/>
  <c r="BY12" i="73"/>
  <c r="BX12" i="73"/>
  <c r="BW12" i="73"/>
  <c r="BV12" i="73"/>
  <c r="BU12" i="73"/>
  <c r="BT12" i="73"/>
  <c r="BS12" i="73"/>
  <c r="BR12" i="73"/>
  <c r="BQ12" i="73"/>
  <c r="BP12" i="73"/>
  <c r="BO12" i="73"/>
  <c r="BN12" i="73"/>
  <c r="BM12" i="73"/>
  <c r="BL12" i="73"/>
  <c r="BK12" i="73"/>
  <c r="BJ12" i="73"/>
  <c r="CP12" i="73"/>
  <c r="CM12" i="73"/>
  <c r="DD11" i="73"/>
  <c r="DC11" i="73"/>
  <c r="DB11" i="73"/>
  <c r="DA11" i="73"/>
  <c r="CZ11" i="73"/>
  <c r="CY11" i="73"/>
  <c r="CX11" i="73"/>
  <c r="CW11" i="73"/>
  <c r="CV11" i="73"/>
  <c r="CU11" i="73"/>
  <c r="CT11" i="73"/>
  <c r="CS11" i="73"/>
  <c r="CR11" i="73"/>
  <c r="CB11" i="73"/>
  <c r="CA11" i="73"/>
  <c r="BZ11" i="73"/>
  <c r="BY11" i="73"/>
  <c r="BX11" i="73"/>
  <c r="BW11" i="73"/>
  <c r="BV11" i="73"/>
  <c r="BU11" i="73"/>
  <c r="BT11" i="73"/>
  <c r="BS11" i="73"/>
  <c r="BR11" i="73"/>
  <c r="BQ11" i="73"/>
  <c r="BP11" i="73"/>
  <c r="BO11" i="73"/>
  <c r="BN11" i="73"/>
  <c r="BM11" i="73"/>
  <c r="BL11" i="73"/>
  <c r="BK11" i="73"/>
  <c r="BJ11" i="73"/>
  <c r="CQ11" i="73"/>
  <c r="CP11" i="73"/>
  <c r="CO11" i="73"/>
  <c r="DD10" i="73"/>
  <c r="DC10" i="73"/>
  <c r="DB10" i="73"/>
  <c r="DA10" i="73"/>
  <c r="CZ10" i="73"/>
  <c r="CY10" i="73"/>
  <c r="CX10" i="73"/>
  <c r="CW10" i="73"/>
  <c r="CV10" i="73"/>
  <c r="CU10" i="73"/>
  <c r="CT10" i="73"/>
  <c r="CS10" i="73"/>
  <c r="CR10" i="73"/>
  <c r="BZ10" i="73"/>
  <c r="BY10" i="73"/>
  <c r="BX10" i="73"/>
  <c r="BW10" i="73"/>
  <c r="BV10" i="73"/>
  <c r="BU10" i="73"/>
  <c r="BT10" i="73"/>
  <c r="BS10" i="73"/>
  <c r="BR10" i="73"/>
  <c r="BQ10" i="73"/>
  <c r="BP10" i="73"/>
  <c r="BO10" i="73"/>
  <c r="BN10" i="73"/>
  <c r="BM10" i="73"/>
  <c r="BL10" i="73"/>
  <c r="BK10" i="73"/>
  <c r="BJ10" i="73"/>
  <c r="CQ10" i="73"/>
  <c r="DD9" i="73"/>
  <c r="DC9" i="73"/>
  <c r="DB9" i="73"/>
  <c r="DA9" i="73"/>
  <c r="CZ9" i="73"/>
  <c r="CY9" i="73"/>
  <c r="CX9" i="73"/>
  <c r="CW9" i="73"/>
  <c r="CV9" i="73"/>
  <c r="CU9" i="73"/>
  <c r="CT9" i="73"/>
  <c r="CS9" i="73"/>
  <c r="CR9" i="73"/>
  <c r="CQ9" i="73"/>
  <c r="CP9" i="73"/>
  <c r="CA9" i="73"/>
  <c r="BZ9" i="73"/>
  <c r="BY9" i="73"/>
  <c r="BX9" i="73"/>
  <c r="BW9" i="73"/>
  <c r="BV9" i="73"/>
  <c r="BU9" i="73"/>
  <c r="BT9" i="73"/>
  <c r="BS9" i="73"/>
  <c r="BR9" i="73"/>
  <c r="BQ9" i="73"/>
  <c r="BP9" i="73"/>
  <c r="BO9" i="73"/>
  <c r="BN9" i="73"/>
  <c r="BM9" i="73"/>
  <c r="BL9" i="73"/>
  <c r="BK9" i="73"/>
  <c r="BJ9" i="73"/>
  <c r="CK9" i="73"/>
  <c r="DD8" i="73"/>
  <c r="DC8" i="73"/>
  <c r="DB8" i="73"/>
  <c r="DA8" i="73"/>
  <c r="CZ8" i="73"/>
  <c r="CY8" i="73"/>
  <c r="CX8" i="73"/>
  <c r="CW8" i="73"/>
  <c r="CV8" i="73"/>
  <c r="CU8" i="73"/>
  <c r="CT8" i="73"/>
  <c r="CS8" i="73"/>
  <c r="CR8" i="73"/>
  <c r="CQ8" i="73"/>
  <c r="CA8" i="73"/>
  <c r="BZ8" i="73"/>
  <c r="BY8" i="73"/>
  <c r="BX8" i="73"/>
  <c r="BW8" i="73"/>
  <c r="BV8" i="73"/>
  <c r="BU8" i="73"/>
  <c r="BT8" i="73"/>
  <c r="BS8" i="73"/>
  <c r="BR8" i="73"/>
  <c r="BQ8" i="73"/>
  <c r="BP8" i="73"/>
  <c r="BO8" i="73"/>
  <c r="BN8" i="73"/>
  <c r="BM8" i="73"/>
  <c r="BL8" i="73"/>
  <c r="BK8" i="73"/>
  <c r="BJ8" i="73"/>
  <c r="CP8" i="73"/>
  <c r="CM8" i="73"/>
  <c r="DD7" i="73"/>
  <c r="DC7" i="73"/>
  <c r="DB7" i="73"/>
  <c r="DA7" i="73"/>
  <c r="CZ7" i="73"/>
  <c r="CY7" i="73"/>
  <c r="CX7" i="73"/>
  <c r="CW7" i="73"/>
  <c r="CV7" i="73"/>
  <c r="CU7" i="73"/>
  <c r="CT7" i="73"/>
  <c r="CS7" i="73"/>
  <c r="CR7" i="73"/>
  <c r="CD7" i="73"/>
  <c r="CC7" i="73"/>
  <c r="CB7" i="73"/>
  <c r="CA7" i="73"/>
  <c r="BZ7" i="73"/>
  <c r="BY7" i="73"/>
  <c r="BX7" i="73"/>
  <c r="BW7" i="73"/>
  <c r="BV7" i="73"/>
  <c r="BU7" i="73"/>
  <c r="BT7" i="73"/>
  <c r="BS7" i="73"/>
  <c r="BR7" i="73"/>
  <c r="BQ7" i="73"/>
  <c r="BP7" i="73"/>
  <c r="BO7" i="73"/>
  <c r="BN7" i="73"/>
  <c r="BM7" i="73"/>
  <c r="BL7" i="73"/>
  <c r="BK7" i="73"/>
  <c r="BJ7" i="73"/>
  <c r="CP7" i="73"/>
  <c r="DD6" i="73"/>
  <c r="DC6" i="73"/>
  <c r="DB6" i="73"/>
  <c r="DA6" i="73"/>
  <c r="CZ6" i="73"/>
  <c r="CY6" i="73"/>
  <c r="CX6" i="73"/>
  <c r="CW6" i="73"/>
  <c r="CV6" i="73"/>
  <c r="CU6" i="73"/>
  <c r="CT6" i="73"/>
  <c r="CS6" i="73"/>
  <c r="CR6" i="73"/>
  <c r="CD6" i="73"/>
  <c r="CC6" i="73"/>
  <c r="BZ6" i="73"/>
  <c r="BY6" i="73"/>
  <c r="BX6" i="73"/>
  <c r="BW6" i="73"/>
  <c r="BV6" i="73"/>
  <c r="BU6" i="73"/>
  <c r="BT6" i="73"/>
  <c r="BS6" i="73"/>
  <c r="BR6" i="73"/>
  <c r="BQ6" i="73"/>
  <c r="BP6" i="73"/>
  <c r="BO6" i="73"/>
  <c r="BN6" i="73"/>
  <c r="BM6" i="73"/>
  <c r="BL6" i="73"/>
  <c r="BK6" i="73"/>
  <c r="BJ6" i="73"/>
  <c r="CQ6" i="73"/>
  <c r="CP6" i="73"/>
  <c r="DD5" i="73"/>
  <c r="DC5" i="73"/>
  <c r="DB5" i="73"/>
  <c r="DA5" i="73"/>
  <c r="CZ5" i="73"/>
  <c r="CY5" i="73"/>
  <c r="CX5" i="73"/>
  <c r="CW5" i="73"/>
  <c r="CV5" i="73"/>
  <c r="CU5" i="73"/>
  <c r="CT5" i="73"/>
  <c r="CS5" i="73"/>
  <c r="CR5" i="73"/>
  <c r="CQ5" i="73"/>
  <c r="CD5" i="73"/>
  <c r="CC5" i="73"/>
  <c r="CB5" i="73"/>
  <c r="CA5" i="73"/>
  <c r="BZ5" i="73"/>
  <c r="BY5" i="73"/>
  <c r="BX5" i="73"/>
  <c r="BW5" i="73"/>
  <c r="BV5" i="73"/>
  <c r="BU5" i="73"/>
  <c r="BT5" i="73"/>
  <c r="BS5" i="73"/>
  <c r="BR5" i="73"/>
  <c r="BQ5" i="73"/>
  <c r="BP5" i="73"/>
  <c r="BO5" i="73"/>
  <c r="BN5" i="73"/>
  <c r="BM5" i="73"/>
  <c r="BL5" i="73"/>
  <c r="BK5" i="73"/>
  <c r="BJ5" i="73"/>
  <c r="AI18" i="73"/>
  <c r="AH13" i="34"/>
  <c r="AH12" i="34"/>
  <c r="AH11" i="34"/>
  <c r="AH10" i="34"/>
  <c r="AH9" i="34"/>
  <c r="AI13" i="40"/>
  <c r="AI12" i="40"/>
  <c r="AI11" i="40"/>
  <c r="AI10" i="40"/>
  <c r="AI9" i="40"/>
  <c r="AI8" i="40"/>
  <c r="AI7" i="40"/>
  <c r="AI6" i="40"/>
  <c r="AI5" i="40"/>
  <c r="AH16" i="40"/>
  <c r="AH15" i="40"/>
  <c r="AH14" i="40"/>
  <c r="AH13" i="40"/>
  <c r="AH12" i="40"/>
  <c r="AH11" i="40"/>
  <c r="AH10" i="40"/>
  <c r="AH9" i="40"/>
  <c r="CB45" i="47"/>
  <c r="CA45" i="47"/>
  <c r="CA44" i="47"/>
  <c r="CA42" i="47"/>
  <c r="CB34" i="47"/>
  <c r="CB35" i="47"/>
  <c r="CB36" i="47"/>
  <c r="CB37" i="47"/>
  <c r="CB38" i="47"/>
  <c r="CB39" i="47"/>
  <c r="CB40" i="47"/>
  <c r="CB41" i="47"/>
  <c r="CB42" i="47"/>
  <c r="CB33" i="47"/>
  <c r="CA34" i="47"/>
  <c r="CA35" i="47"/>
  <c r="CA36" i="47"/>
  <c r="CA37" i="47"/>
  <c r="CA38" i="47"/>
  <c r="CA39" i="47"/>
  <c r="CA40" i="47"/>
  <c r="CA41" i="47"/>
  <c r="CA43" i="47"/>
  <c r="CA33" i="47"/>
  <c r="BZ13" i="47"/>
  <c r="BZ12" i="47"/>
  <c r="BZ11" i="47"/>
  <c r="BZ10" i="47"/>
  <c r="BZ9" i="47"/>
  <c r="BZ8" i="47"/>
  <c r="BZ7" i="47"/>
  <c r="BZ6" i="47"/>
  <c r="BZ5" i="47"/>
  <c r="AH16" i="47"/>
  <c r="AH15" i="47"/>
  <c r="AH14" i="47"/>
  <c r="AH13" i="47"/>
  <c r="AH12" i="47"/>
  <c r="AH11" i="47"/>
  <c r="AH10" i="47"/>
  <c r="AH9" i="47"/>
  <c r="AH8" i="47"/>
  <c r="AH7" i="47"/>
  <c r="AH6" i="47"/>
  <c r="AH5" i="47"/>
  <c r="AI45" i="47"/>
  <c r="AJ45" i="47"/>
  <c r="AK45" i="47"/>
  <c r="AL45" i="47"/>
  <c r="AM45" i="47"/>
  <c r="AN45" i="47"/>
  <c r="AO45" i="47"/>
  <c r="AP45" i="47"/>
  <c r="AQ45" i="47"/>
  <c r="AR45" i="47"/>
  <c r="AS45" i="47"/>
  <c r="AT45" i="47"/>
  <c r="AU45" i="47"/>
  <c r="AV45" i="47"/>
  <c r="AW45" i="47"/>
  <c r="AX45" i="47"/>
  <c r="AY45" i="47"/>
  <c r="AZ45" i="47"/>
  <c r="BA45" i="47"/>
  <c r="BB45" i="47"/>
  <c r="BC45" i="47"/>
  <c r="BD45" i="47"/>
  <c r="BE45" i="47"/>
  <c r="BF45" i="47"/>
  <c r="BG45" i="47"/>
  <c r="BH45" i="47"/>
  <c r="BI45" i="47"/>
  <c r="BJ45" i="47"/>
  <c r="BK45" i="47"/>
  <c r="BL45" i="47"/>
  <c r="BM45" i="47"/>
  <c r="BN45" i="47"/>
  <c r="BO45" i="47"/>
  <c r="BP45" i="47"/>
  <c r="BQ45" i="47"/>
  <c r="BR45" i="47"/>
  <c r="BS45" i="47"/>
  <c r="BT45" i="47"/>
  <c r="BU45" i="47"/>
  <c r="BV45" i="47"/>
  <c r="BW45" i="47"/>
  <c r="BX45" i="47"/>
  <c r="BY45" i="47"/>
  <c r="AI11" i="35"/>
  <c r="AI12" i="35"/>
  <c r="AI10" i="35"/>
  <c r="AI8" i="35"/>
  <c r="AI9" i="35"/>
  <c r="AI7" i="35"/>
  <c r="AI6" i="35"/>
  <c r="AH12" i="35"/>
  <c r="AH11" i="35"/>
  <c r="AH10" i="35"/>
  <c r="AI14" i="35"/>
  <c r="AI13" i="35"/>
  <c r="AI8" i="63"/>
  <c r="AI5" i="35"/>
  <c r="AI4" i="63"/>
  <c r="AH16" i="35"/>
  <c r="AH15" i="35"/>
  <c r="AH14" i="35"/>
  <c r="AH13" i="35"/>
  <c r="AH9" i="35"/>
  <c r="AI14" i="38"/>
  <c r="AI13" i="38"/>
  <c r="AI12" i="38"/>
  <c r="AI11" i="38"/>
  <c r="AI10" i="38"/>
  <c r="AI9" i="38"/>
  <c r="AI8" i="38"/>
  <c r="AI7" i="38"/>
  <c r="AI6" i="38"/>
  <c r="AI5" i="38"/>
  <c r="AH16" i="38"/>
  <c r="AH10" i="38"/>
  <c r="AH15" i="38"/>
  <c r="AH14" i="38"/>
  <c r="AH13" i="38"/>
  <c r="AH12" i="38"/>
  <c r="AH11" i="38"/>
  <c r="AH9" i="38"/>
  <c r="AI9" i="60"/>
  <c r="AI5" i="60"/>
  <c r="AH16" i="60"/>
  <c r="AH15" i="60"/>
  <c r="AH14" i="60"/>
  <c r="AH13" i="60"/>
  <c r="AI14" i="60"/>
  <c r="AI13" i="60"/>
  <c r="AI12" i="60"/>
  <c r="AI11" i="60"/>
  <c r="AI10" i="60"/>
  <c r="AI8" i="60"/>
  <c r="AH16" i="59"/>
  <c r="AI14" i="59"/>
  <c r="AI13" i="59"/>
  <c r="AI12" i="59"/>
  <c r="AI11" i="59"/>
  <c r="AI10" i="59"/>
  <c r="AI9" i="59"/>
  <c r="AI8" i="59"/>
  <c r="AI7" i="59"/>
  <c r="AI6" i="59"/>
  <c r="AI5" i="59"/>
  <c r="AH15" i="59"/>
  <c r="AH14" i="59"/>
  <c r="AH13" i="59"/>
  <c r="AH12" i="59"/>
  <c r="AH11" i="59"/>
  <c r="AH10" i="59"/>
  <c r="AH9" i="59"/>
  <c r="AH8" i="59"/>
  <c r="AH7" i="59"/>
  <c r="AH6" i="59"/>
  <c r="AH5" i="59"/>
  <c r="AG16" i="59"/>
  <c r="AG15" i="59"/>
  <c r="AG14" i="59"/>
  <c r="AG13" i="59"/>
  <c r="AG12" i="59"/>
  <c r="AG11" i="59"/>
  <c r="AG10" i="59"/>
  <c r="AG9" i="59"/>
  <c r="AG8" i="59"/>
  <c r="AI15" i="49"/>
  <c r="AI14" i="49"/>
  <c r="AI13" i="49"/>
  <c r="AI12" i="49"/>
  <c r="AI11" i="49"/>
  <c r="AI10" i="49"/>
  <c r="AI9" i="49"/>
  <c r="AI8" i="49"/>
  <c r="AF11" i="63"/>
  <c r="AF13" i="63"/>
  <c r="AJ4" i="63"/>
  <c r="AK4" i="63"/>
  <c r="AL4" i="63"/>
  <c r="AM4" i="63"/>
  <c r="AN4" i="63"/>
  <c r="AO4" i="63"/>
  <c r="AP4" i="63"/>
  <c r="AQ4" i="63"/>
  <c r="AR4" i="63"/>
  <c r="AS4" i="63"/>
  <c r="AT4" i="63"/>
  <c r="AU4" i="63"/>
  <c r="AV4" i="63"/>
  <c r="AW4" i="63"/>
  <c r="AX4" i="63"/>
  <c r="AY4" i="63"/>
  <c r="AJ5" i="63"/>
  <c r="AK5" i="63"/>
  <c r="AL5" i="63"/>
  <c r="AM5" i="63"/>
  <c r="AN5" i="63"/>
  <c r="AO5" i="63"/>
  <c r="AP5" i="63"/>
  <c r="AQ5" i="63"/>
  <c r="AR5" i="63"/>
  <c r="AS5" i="63"/>
  <c r="AT5" i="63"/>
  <c r="AU5" i="63"/>
  <c r="AV5" i="63"/>
  <c r="AW5" i="63"/>
  <c r="AX5" i="63"/>
  <c r="AY5" i="63"/>
  <c r="AK6" i="63"/>
  <c r="AL6" i="63"/>
  <c r="AM6" i="63"/>
  <c r="AN6" i="63"/>
  <c r="AO6" i="63"/>
  <c r="AP6" i="63"/>
  <c r="AQ6" i="63"/>
  <c r="AR6" i="63"/>
  <c r="AS6" i="63"/>
  <c r="AT6" i="63"/>
  <c r="AU6" i="63"/>
  <c r="AV6" i="63"/>
  <c r="AW6" i="63"/>
  <c r="AX6" i="63"/>
  <c r="AY6" i="63"/>
  <c r="AK7" i="63"/>
  <c r="AL7" i="63"/>
  <c r="AM7" i="63"/>
  <c r="AN7" i="63"/>
  <c r="AO7" i="63"/>
  <c r="AP7" i="63"/>
  <c r="AQ7" i="63"/>
  <c r="AR7" i="63"/>
  <c r="AS7" i="63"/>
  <c r="AT7" i="63"/>
  <c r="AU7" i="63"/>
  <c r="AV7" i="63"/>
  <c r="AW7" i="63"/>
  <c r="AX7" i="63"/>
  <c r="AY7" i="63"/>
  <c r="AK8" i="63"/>
  <c r="AL8" i="63"/>
  <c r="AM8" i="63"/>
  <c r="AN8" i="63"/>
  <c r="AO8" i="63"/>
  <c r="AP8" i="63"/>
  <c r="AQ8" i="63"/>
  <c r="AR8" i="63"/>
  <c r="AS8" i="63"/>
  <c r="AT8" i="63"/>
  <c r="AU8" i="63"/>
  <c r="AV8" i="63"/>
  <c r="AW8" i="63"/>
  <c r="AX8" i="63"/>
  <c r="AY8" i="63"/>
  <c r="AJ9" i="63"/>
  <c r="AK9" i="63"/>
  <c r="AL9" i="63"/>
  <c r="AM9" i="63"/>
  <c r="AN9" i="63"/>
  <c r="AO9" i="63"/>
  <c r="AP9" i="63"/>
  <c r="AQ9" i="63"/>
  <c r="AR9" i="63"/>
  <c r="AS9" i="63"/>
  <c r="AT9" i="63"/>
  <c r="AU9" i="63"/>
  <c r="AV9" i="63"/>
  <c r="AW9" i="63"/>
  <c r="AX9" i="63"/>
  <c r="AY9" i="63"/>
  <c r="AK10" i="63"/>
  <c r="AL10" i="63"/>
  <c r="AM10" i="63"/>
  <c r="AN10" i="63"/>
  <c r="AO10" i="63"/>
  <c r="AP10" i="63"/>
  <c r="AQ10" i="63"/>
  <c r="AR10" i="63"/>
  <c r="AS10" i="63"/>
  <c r="AT10" i="63"/>
  <c r="AU10" i="63"/>
  <c r="AV10" i="63"/>
  <c r="AW10" i="63"/>
  <c r="AX10" i="63"/>
  <c r="AY10" i="63"/>
  <c r="AJ11" i="63"/>
  <c r="AK11" i="63"/>
  <c r="AL11" i="63"/>
  <c r="AM11" i="63"/>
  <c r="AN11" i="63"/>
  <c r="AO11" i="63"/>
  <c r="AP11" i="63"/>
  <c r="AQ11" i="63"/>
  <c r="AR11" i="63"/>
  <c r="AS11" i="63"/>
  <c r="AT11" i="63"/>
  <c r="AU11" i="63"/>
  <c r="AV11" i="63"/>
  <c r="AW11" i="63"/>
  <c r="AX11" i="63"/>
  <c r="AY11" i="63"/>
  <c r="AJ12" i="63"/>
  <c r="AK12" i="63"/>
  <c r="AL12" i="63"/>
  <c r="AM12" i="63"/>
  <c r="AN12" i="63"/>
  <c r="AO12" i="63"/>
  <c r="AP12" i="63"/>
  <c r="AQ12" i="63"/>
  <c r="AR12" i="63"/>
  <c r="AS12" i="63"/>
  <c r="AT12" i="63"/>
  <c r="AU12" i="63"/>
  <c r="AV12" i="63"/>
  <c r="AW12" i="63"/>
  <c r="AX12" i="63"/>
  <c r="AY12" i="63"/>
  <c r="AJ13" i="63"/>
  <c r="AK13" i="63"/>
  <c r="AL13" i="63"/>
  <c r="AM13" i="63"/>
  <c r="AN13" i="63"/>
  <c r="AO13" i="63"/>
  <c r="AP13" i="63"/>
  <c r="AQ13" i="63"/>
  <c r="AR13" i="63"/>
  <c r="AS13" i="63"/>
  <c r="AT13" i="63"/>
  <c r="AU13" i="63"/>
  <c r="AV13" i="63"/>
  <c r="AW13" i="63"/>
  <c r="AX13" i="63"/>
  <c r="AY13" i="63"/>
  <c r="AJ14" i="63"/>
  <c r="AK14" i="63"/>
  <c r="AL14" i="63"/>
  <c r="AM14" i="63"/>
  <c r="AN14" i="63"/>
  <c r="AO14" i="63"/>
  <c r="AP14" i="63"/>
  <c r="AQ14" i="63"/>
  <c r="AR14" i="63"/>
  <c r="AS14" i="63"/>
  <c r="AT14" i="63"/>
  <c r="AU14" i="63"/>
  <c r="AV14" i="63"/>
  <c r="AW14" i="63"/>
  <c r="AX14" i="63"/>
  <c r="AY14" i="63"/>
  <c r="AJ15" i="63"/>
  <c r="AK15" i="63"/>
  <c r="AL15" i="63"/>
  <c r="AM15" i="63"/>
  <c r="AN15" i="63"/>
  <c r="AO15" i="63"/>
  <c r="AP15" i="63"/>
  <c r="AQ15" i="63"/>
  <c r="AR15" i="63"/>
  <c r="AS15" i="63"/>
  <c r="AT15" i="63"/>
  <c r="AU15" i="63"/>
  <c r="AV15" i="63"/>
  <c r="AW15" i="63"/>
  <c r="AX15" i="63"/>
  <c r="AY15" i="63"/>
  <c r="AI5" i="63"/>
  <c r="AI6" i="63"/>
  <c r="AI12" i="63"/>
  <c r="AH15" i="63"/>
  <c r="AF4" i="63"/>
  <c r="AF5" i="63"/>
  <c r="AF6" i="63"/>
  <c r="AF7" i="63"/>
  <c r="AF8" i="63"/>
  <c r="AF9" i="63"/>
  <c r="AF10" i="63"/>
  <c r="AF12" i="63"/>
  <c r="AF14" i="63"/>
  <c r="AF15" i="63"/>
  <c r="AG4" i="63"/>
  <c r="AI7" i="49"/>
  <c r="AI6" i="49"/>
  <c r="AI5" i="49"/>
  <c r="AH16" i="49"/>
  <c r="AH15" i="49"/>
  <c r="AH14" i="49"/>
  <c r="AH13" i="49"/>
  <c r="AH12" i="49"/>
  <c r="AH11" i="49"/>
  <c r="AH10" i="49"/>
  <c r="AH9" i="49"/>
  <c r="AH8" i="49"/>
  <c r="AH7" i="49"/>
  <c r="AH6" i="49"/>
  <c r="AH5" i="49"/>
  <c r="AG16" i="49"/>
  <c r="AG15" i="49"/>
  <c r="AG14" i="49"/>
  <c r="AG13" i="49"/>
  <c r="AG12" i="49"/>
  <c r="AI13" i="72"/>
  <c r="CQ13" i="72" s="1"/>
  <c r="AI12" i="72"/>
  <c r="CQ12" i="72" s="1"/>
  <c r="AI11" i="72"/>
  <c r="CQ11" i="72" s="1"/>
  <c r="AI10" i="72"/>
  <c r="AI9" i="72"/>
  <c r="CQ9" i="72" s="1"/>
  <c r="AI8" i="72"/>
  <c r="AI7" i="72"/>
  <c r="CP7" i="72" s="1"/>
  <c r="AI6" i="72"/>
  <c r="CQ6" i="72" s="1"/>
  <c r="AI5" i="72"/>
  <c r="AH16" i="72"/>
  <c r="CP16" i="72" s="1"/>
  <c r="AH15" i="72"/>
  <c r="AH14" i="72"/>
  <c r="AH13" i="72"/>
  <c r="AH12" i="72"/>
  <c r="AH11" i="72"/>
  <c r="AH10" i="72"/>
  <c r="AH9" i="72"/>
  <c r="AH8" i="72"/>
  <c r="AH7" i="72"/>
  <c r="AH6" i="72"/>
  <c r="AH5" i="72"/>
  <c r="AG16" i="72"/>
  <c r="AG15" i="72"/>
  <c r="AG14" i="72"/>
  <c r="AG13" i="72"/>
  <c r="AG12" i="72"/>
  <c r="CG12" i="72" s="1"/>
  <c r="AG11" i="72"/>
  <c r="AG10" i="72"/>
  <c r="CF10" i="72"/>
  <c r="AG9" i="72"/>
  <c r="AG8" i="72"/>
  <c r="AG7" i="72"/>
  <c r="AG6" i="72"/>
  <c r="AG5" i="72"/>
  <c r="CO5" i="72" s="1"/>
  <c r="AF16" i="72"/>
  <c r="CE16" i="72" s="1"/>
  <c r="AF15" i="72"/>
  <c r="CM15" i="72" s="1"/>
  <c r="AF14" i="72"/>
  <c r="AF13" i="72"/>
  <c r="AZ18" i="72"/>
  <c r="AY18" i="72"/>
  <c r="AX18" i="72"/>
  <c r="AW18" i="72"/>
  <c r="AV18" i="72"/>
  <c r="AU18" i="72"/>
  <c r="AT18" i="72"/>
  <c r="AS18" i="72"/>
  <c r="AR18" i="72"/>
  <c r="AQ18" i="72"/>
  <c r="AP18" i="72"/>
  <c r="AO18" i="72"/>
  <c r="AN18" i="72"/>
  <c r="AM18" i="72"/>
  <c r="AL18" i="72"/>
  <c r="AK18" i="72"/>
  <c r="AJ18" i="72"/>
  <c r="AE18" i="72"/>
  <c r="AD18" i="72"/>
  <c r="AC18" i="72"/>
  <c r="AB18" i="72"/>
  <c r="AA18" i="72"/>
  <c r="Z18" i="72"/>
  <c r="Y18" i="72"/>
  <c r="X18" i="72"/>
  <c r="W18" i="72"/>
  <c r="V18" i="72"/>
  <c r="U18" i="72"/>
  <c r="T18" i="72"/>
  <c r="CB18" i="72" s="1"/>
  <c r="S18" i="72"/>
  <c r="R18" i="72"/>
  <c r="Q18" i="72"/>
  <c r="P18" i="72"/>
  <c r="O18" i="72"/>
  <c r="N18" i="72"/>
  <c r="M18" i="72"/>
  <c r="L18" i="72"/>
  <c r="K18" i="72"/>
  <c r="J18" i="72"/>
  <c r="I18" i="72"/>
  <c r="H18" i="72"/>
  <c r="G18" i="72"/>
  <c r="F18" i="72"/>
  <c r="E18" i="72"/>
  <c r="D18" i="72"/>
  <c r="C18" i="72"/>
  <c r="B18" i="72"/>
  <c r="DD16" i="72"/>
  <c r="DC16" i="72"/>
  <c r="DB16" i="72"/>
  <c r="DA16" i="72"/>
  <c r="CZ16" i="72"/>
  <c r="CY16" i="72"/>
  <c r="CX16" i="72"/>
  <c r="CW16" i="72"/>
  <c r="CV16" i="72"/>
  <c r="CU16" i="72"/>
  <c r="CT16" i="72"/>
  <c r="CS16" i="72"/>
  <c r="CR16" i="72"/>
  <c r="CQ16" i="72"/>
  <c r="CD16" i="72"/>
  <c r="CC16" i="72"/>
  <c r="CB16" i="72"/>
  <c r="CA16" i="72"/>
  <c r="BZ16" i="72"/>
  <c r="BY16" i="72"/>
  <c r="BX16" i="72"/>
  <c r="BW16" i="72"/>
  <c r="BV16" i="72"/>
  <c r="BU16" i="72"/>
  <c r="BT16" i="72"/>
  <c r="BS16" i="72"/>
  <c r="BR16" i="72"/>
  <c r="BQ16" i="72"/>
  <c r="BP16" i="72"/>
  <c r="BO16" i="72"/>
  <c r="BN16" i="72"/>
  <c r="BM16" i="72"/>
  <c r="BL16" i="72"/>
  <c r="BK16" i="72"/>
  <c r="BJ16" i="72"/>
  <c r="DD15" i="72"/>
  <c r="DC15" i="72"/>
  <c r="DB15" i="72"/>
  <c r="DA15" i="72"/>
  <c r="CZ15" i="72"/>
  <c r="CY15" i="72"/>
  <c r="CX15" i="72"/>
  <c r="CW15" i="72"/>
  <c r="CV15" i="72"/>
  <c r="CU15" i="72"/>
  <c r="CT15" i="72"/>
  <c r="CS15" i="72"/>
  <c r="CR15" i="72"/>
  <c r="CQ15" i="72"/>
  <c r="CD15" i="72"/>
  <c r="CC15" i="72"/>
  <c r="CB15" i="72"/>
  <c r="CA15" i="72"/>
  <c r="BZ15" i="72"/>
  <c r="BY15" i="72"/>
  <c r="BX15" i="72"/>
  <c r="BW15" i="72"/>
  <c r="BV15" i="72"/>
  <c r="BU15" i="72"/>
  <c r="BT15" i="72"/>
  <c r="BS15" i="72"/>
  <c r="BR15" i="72"/>
  <c r="BQ15" i="72"/>
  <c r="BP15" i="72"/>
  <c r="BO15" i="72"/>
  <c r="BN15" i="72"/>
  <c r="BM15" i="72"/>
  <c r="BL15" i="72"/>
  <c r="BK15" i="72"/>
  <c r="BJ15" i="72"/>
  <c r="CP15" i="72"/>
  <c r="DD14" i="72"/>
  <c r="DC14" i="72"/>
  <c r="DB14" i="72"/>
  <c r="DA14" i="72"/>
  <c r="CZ14" i="72"/>
  <c r="CY14" i="72"/>
  <c r="CX14" i="72"/>
  <c r="CW14" i="72"/>
  <c r="CV14" i="72"/>
  <c r="CU14" i="72"/>
  <c r="CT14" i="72"/>
  <c r="CS14" i="72"/>
  <c r="CR14" i="72"/>
  <c r="CQ14" i="72"/>
  <c r="CD14" i="72"/>
  <c r="CC14" i="72"/>
  <c r="CB14" i="72"/>
  <c r="CA14" i="72"/>
  <c r="BZ14" i="72"/>
  <c r="BY14" i="72"/>
  <c r="BX14" i="72"/>
  <c r="BW14" i="72"/>
  <c r="BV14" i="72"/>
  <c r="BU14" i="72"/>
  <c r="BT14" i="72"/>
  <c r="BS14" i="72"/>
  <c r="BR14" i="72"/>
  <c r="BQ14" i="72"/>
  <c r="BP14" i="72"/>
  <c r="BO14" i="72"/>
  <c r="BN14" i="72"/>
  <c r="BM14" i="72"/>
  <c r="BL14" i="72"/>
  <c r="BK14" i="72"/>
  <c r="BJ14" i="72"/>
  <c r="CP14" i="72"/>
  <c r="DD13" i="72"/>
  <c r="DC13" i="72"/>
  <c r="DB13" i="72"/>
  <c r="DA13" i="72"/>
  <c r="CZ13" i="72"/>
  <c r="CY13" i="72"/>
  <c r="CX13" i="72"/>
  <c r="CW13" i="72"/>
  <c r="CV13" i="72"/>
  <c r="CU13" i="72"/>
  <c r="CT13" i="72"/>
  <c r="CS13" i="72"/>
  <c r="CR13" i="72"/>
  <c r="CE13" i="72"/>
  <c r="CD13" i="72"/>
  <c r="CC13" i="72"/>
  <c r="CB13" i="72"/>
  <c r="CA13" i="72"/>
  <c r="BZ13" i="72"/>
  <c r="BY13" i="72"/>
  <c r="BX13" i="72"/>
  <c r="BW13" i="72"/>
  <c r="BV13" i="72"/>
  <c r="BU13" i="72"/>
  <c r="BT13" i="72"/>
  <c r="BS13" i="72"/>
  <c r="BR13" i="72"/>
  <c r="BQ13" i="72"/>
  <c r="BP13" i="72"/>
  <c r="BO13" i="72"/>
  <c r="BN13" i="72"/>
  <c r="BM13" i="72"/>
  <c r="BL13" i="72"/>
  <c r="BK13" i="72"/>
  <c r="BJ13" i="72"/>
  <c r="DD12" i="72"/>
  <c r="DC12" i="72"/>
  <c r="DB12" i="72"/>
  <c r="DA12" i="72"/>
  <c r="CZ12" i="72"/>
  <c r="CY12" i="72"/>
  <c r="CX12" i="72"/>
  <c r="CW12" i="72"/>
  <c r="CV12" i="72"/>
  <c r="CU12" i="72"/>
  <c r="CT12" i="72"/>
  <c r="CS12" i="72"/>
  <c r="CR12" i="72"/>
  <c r="CE12" i="72"/>
  <c r="CD12" i="72"/>
  <c r="CC12" i="72"/>
  <c r="CB12" i="72"/>
  <c r="CA12" i="72"/>
  <c r="BZ12" i="72"/>
  <c r="BY12" i="72"/>
  <c r="BX12" i="72"/>
  <c r="BW12" i="72"/>
  <c r="BV12" i="72"/>
  <c r="BU12" i="72"/>
  <c r="BT12" i="72"/>
  <c r="BS12" i="72"/>
  <c r="BR12" i="72"/>
  <c r="BQ12" i="72"/>
  <c r="BP12" i="72"/>
  <c r="BO12" i="72"/>
  <c r="BN12" i="72"/>
  <c r="BM12" i="72"/>
  <c r="BL12" i="72"/>
  <c r="BK12" i="72"/>
  <c r="BJ12" i="72"/>
  <c r="CI12" i="72"/>
  <c r="DD11" i="72"/>
  <c r="DC11" i="72"/>
  <c r="DB11" i="72"/>
  <c r="DA11" i="72"/>
  <c r="CZ11" i="72"/>
  <c r="CY11" i="72"/>
  <c r="CX11" i="72"/>
  <c r="CW11" i="72"/>
  <c r="CV11" i="72"/>
  <c r="CU11" i="72"/>
  <c r="CT11" i="72"/>
  <c r="CS11" i="72"/>
  <c r="CR11" i="72"/>
  <c r="CP11" i="72"/>
  <c r="CE11" i="72"/>
  <c r="CD11" i="72"/>
  <c r="CC11" i="72"/>
  <c r="CB11" i="72"/>
  <c r="CA11" i="72"/>
  <c r="BZ11" i="72"/>
  <c r="BY11" i="72"/>
  <c r="BX11" i="72"/>
  <c r="BW11" i="72"/>
  <c r="BV11" i="72"/>
  <c r="BU11" i="72"/>
  <c r="BT11" i="72"/>
  <c r="BS11" i="72"/>
  <c r="BR11" i="72"/>
  <c r="BQ11" i="72"/>
  <c r="BP11" i="72"/>
  <c r="BO11" i="72"/>
  <c r="BN11" i="72"/>
  <c r="BM11" i="72"/>
  <c r="BL11" i="72"/>
  <c r="BK11" i="72"/>
  <c r="BJ11" i="72"/>
  <c r="DD10" i="72"/>
  <c r="DC10" i="72"/>
  <c r="DB10" i="72"/>
  <c r="DA10" i="72"/>
  <c r="CZ10" i="72"/>
  <c r="CY10" i="72"/>
  <c r="CX10" i="72"/>
  <c r="CW10" i="72"/>
  <c r="CV10" i="72"/>
  <c r="CU10" i="72"/>
  <c r="CT10" i="72"/>
  <c r="CS10" i="72"/>
  <c r="CR10" i="72"/>
  <c r="CK10" i="72"/>
  <c r="CE10" i="72"/>
  <c r="CD10" i="72"/>
  <c r="CC10" i="72"/>
  <c r="CB10" i="72"/>
  <c r="CA10" i="72"/>
  <c r="BZ10" i="72"/>
  <c r="BY10" i="72"/>
  <c r="BX10" i="72"/>
  <c r="BW10" i="72"/>
  <c r="BV10" i="72"/>
  <c r="BU10" i="72"/>
  <c r="BT10" i="72"/>
  <c r="BS10" i="72"/>
  <c r="BR10" i="72"/>
  <c r="BQ10" i="72"/>
  <c r="BP10" i="72"/>
  <c r="BO10" i="72"/>
  <c r="BN10" i="72"/>
  <c r="BM10" i="72"/>
  <c r="BL10" i="72"/>
  <c r="BK10" i="72"/>
  <c r="BJ10" i="72"/>
  <c r="CQ10" i="72"/>
  <c r="CP10" i="72"/>
  <c r="DD9" i="72"/>
  <c r="DC9" i="72"/>
  <c r="DB9" i="72"/>
  <c r="DA9" i="72"/>
  <c r="CZ9" i="72"/>
  <c r="CY9" i="72"/>
  <c r="CX9" i="72"/>
  <c r="CW9" i="72"/>
  <c r="CV9" i="72"/>
  <c r="CU9" i="72"/>
  <c r="CT9" i="72"/>
  <c r="CS9" i="72"/>
  <c r="CR9" i="72"/>
  <c r="CE9" i="72"/>
  <c r="CD9" i="72"/>
  <c r="CC9" i="72"/>
  <c r="CB9" i="72"/>
  <c r="CA9" i="72"/>
  <c r="BZ9" i="72"/>
  <c r="BY9" i="72"/>
  <c r="BX9" i="72"/>
  <c r="BW9" i="72"/>
  <c r="BV9" i="72"/>
  <c r="BU9" i="72"/>
  <c r="BT9" i="72"/>
  <c r="BS9" i="72"/>
  <c r="BR9" i="72"/>
  <c r="BQ9" i="72"/>
  <c r="BP9" i="72"/>
  <c r="BO9" i="72"/>
  <c r="BN9" i="72"/>
  <c r="BM9" i="72"/>
  <c r="BL9" i="72"/>
  <c r="BK9" i="72"/>
  <c r="BJ9" i="72"/>
  <c r="DD8" i="72"/>
  <c r="DC8" i="72"/>
  <c r="DB8" i="72"/>
  <c r="DA8" i="72"/>
  <c r="CZ8" i="72"/>
  <c r="CY8" i="72"/>
  <c r="CX8" i="72"/>
  <c r="CW8" i="72"/>
  <c r="CV8" i="72"/>
  <c r="CU8" i="72"/>
  <c r="CT8" i="72"/>
  <c r="CS8" i="72"/>
  <c r="CR8" i="72"/>
  <c r="CG8" i="72"/>
  <c r="CF8" i="72"/>
  <c r="CE8" i="72"/>
  <c r="CD8" i="72"/>
  <c r="CC8" i="72"/>
  <c r="CB8" i="72"/>
  <c r="CA8" i="72"/>
  <c r="BZ8" i="72"/>
  <c r="BY8" i="72"/>
  <c r="BX8" i="72"/>
  <c r="BW8" i="72"/>
  <c r="BV8" i="72"/>
  <c r="BU8" i="72"/>
  <c r="BT8" i="72"/>
  <c r="BS8" i="72"/>
  <c r="BR8" i="72"/>
  <c r="BQ8" i="72"/>
  <c r="BP8" i="72"/>
  <c r="BO8" i="72"/>
  <c r="BN8" i="72"/>
  <c r="BM8" i="72"/>
  <c r="BL8" i="72"/>
  <c r="BK8" i="72"/>
  <c r="BJ8" i="72"/>
  <c r="CQ8" i="72"/>
  <c r="CN8" i="72"/>
  <c r="CM8" i="72"/>
  <c r="DD7" i="72"/>
  <c r="DC7" i="72"/>
  <c r="DB7" i="72"/>
  <c r="DA7" i="72"/>
  <c r="CZ7" i="72"/>
  <c r="CY7" i="72"/>
  <c r="CX7" i="72"/>
  <c r="CW7" i="72"/>
  <c r="CV7" i="72"/>
  <c r="CU7" i="72"/>
  <c r="CT7" i="72"/>
  <c r="CS7" i="72"/>
  <c r="CR7" i="72"/>
  <c r="CE7" i="72"/>
  <c r="CD7" i="72"/>
  <c r="CC7" i="72"/>
  <c r="CB7" i="72"/>
  <c r="CA7" i="72"/>
  <c r="BZ7" i="72"/>
  <c r="BY7" i="72"/>
  <c r="BX7" i="72"/>
  <c r="BW7" i="72"/>
  <c r="BV7" i="72"/>
  <c r="BU7" i="72"/>
  <c r="BT7" i="72"/>
  <c r="BS7" i="72"/>
  <c r="BR7" i="72"/>
  <c r="BQ7" i="72"/>
  <c r="BP7" i="72"/>
  <c r="BO7" i="72"/>
  <c r="BN7" i="72"/>
  <c r="BM7" i="72"/>
  <c r="BL7" i="72"/>
  <c r="BK7" i="72"/>
  <c r="BJ7" i="72"/>
  <c r="DD6" i="72"/>
  <c r="DC6" i="72"/>
  <c r="DB6" i="72"/>
  <c r="DA6" i="72"/>
  <c r="CZ6" i="72"/>
  <c r="CY6" i="72"/>
  <c r="CX6" i="72"/>
  <c r="CW6" i="72"/>
  <c r="CV6" i="72"/>
  <c r="CU6" i="72"/>
  <c r="CT6" i="72"/>
  <c r="CS6" i="72"/>
  <c r="CR6" i="72"/>
  <c r="CE6" i="72"/>
  <c r="CD6" i="72"/>
  <c r="CC6" i="72"/>
  <c r="CB6" i="72"/>
  <c r="CA6" i="72"/>
  <c r="BZ6" i="72"/>
  <c r="BY6" i="72"/>
  <c r="BX6" i="72"/>
  <c r="BW6" i="72"/>
  <c r="BV6" i="72"/>
  <c r="BU6" i="72"/>
  <c r="BT6" i="72"/>
  <c r="BS6" i="72"/>
  <c r="BR6" i="72"/>
  <c r="BQ6" i="72"/>
  <c r="BP6" i="72"/>
  <c r="BO6" i="72"/>
  <c r="BN6" i="72"/>
  <c r="BM6" i="72"/>
  <c r="BL6" i="72"/>
  <c r="BK6" i="72"/>
  <c r="BJ6" i="72"/>
  <c r="DD5" i="72"/>
  <c r="DC5" i="72"/>
  <c r="DB5" i="72"/>
  <c r="DA5" i="72"/>
  <c r="CZ5" i="72"/>
  <c r="CY5" i="72"/>
  <c r="CX5" i="72"/>
  <c r="CW5" i="72"/>
  <c r="CV5" i="72"/>
  <c r="CU5" i="72"/>
  <c r="CT5" i="72"/>
  <c r="CS5" i="72"/>
  <c r="CR5" i="72"/>
  <c r="CE5" i="72"/>
  <c r="CD5" i="72"/>
  <c r="CC5" i="72"/>
  <c r="CB5" i="72"/>
  <c r="CA5" i="72"/>
  <c r="BZ5" i="72"/>
  <c r="BY5" i="72"/>
  <c r="BX5" i="72"/>
  <c r="BW5" i="72"/>
  <c r="BV5" i="72"/>
  <c r="BU5" i="72"/>
  <c r="BT5" i="72"/>
  <c r="BS5" i="72"/>
  <c r="BR5" i="72"/>
  <c r="BQ5" i="72"/>
  <c r="BP5" i="72"/>
  <c r="BO5" i="72"/>
  <c r="BN5" i="72"/>
  <c r="BM5" i="72"/>
  <c r="BL5" i="72"/>
  <c r="BK5" i="72"/>
  <c r="BJ5" i="72"/>
  <c r="AH15" i="54"/>
  <c r="AI11" i="54"/>
  <c r="AI12" i="54"/>
  <c r="AI10" i="54"/>
  <c r="AI9" i="54"/>
  <c r="AI8" i="54"/>
  <c r="AI7" i="54"/>
  <c r="AI6" i="54"/>
  <c r="AH16" i="54"/>
  <c r="AH14" i="54"/>
  <c r="AH13" i="54"/>
  <c r="AH12" i="54"/>
  <c r="AH11" i="54"/>
  <c r="AH10" i="54"/>
  <c r="AH9" i="54"/>
  <c r="AH8" i="54"/>
  <c r="AH7" i="54"/>
  <c r="AH6" i="54"/>
  <c r="AH5" i="54"/>
  <c r="AG16" i="54"/>
  <c r="AG15" i="54"/>
  <c r="AI13" i="67"/>
  <c r="AI12" i="67"/>
  <c r="AI11" i="67"/>
  <c r="AI10" i="67"/>
  <c r="AI9" i="67"/>
  <c r="AI8" i="67"/>
  <c r="AI7" i="67"/>
  <c r="AI5" i="67"/>
  <c r="AI6" i="67"/>
  <c r="AH5" i="67"/>
  <c r="AH6" i="67"/>
  <c r="AH7" i="67"/>
  <c r="AH8" i="67"/>
  <c r="AH9" i="67"/>
  <c r="AH16" i="67"/>
  <c r="AH15" i="67"/>
  <c r="AH14" i="67"/>
  <c r="AH13" i="67"/>
  <c r="AH12" i="67"/>
  <c r="AH11" i="67"/>
  <c r="AH10" i="67"/>
  <c r="AG16" i="67"/>
  <c r="AG15" i="67"/>
  <c r="AG14" i="67"/>
  <c r="AG13" i="67"/>
  <c r="AG12" i="67"/>
  <c r="AG11" i="67"/>
  <c r="AG10" i="67"/>
  <c r="AG9" i="67"/>
  <c r="AG8" i="67"/>
  <c r="AG7" i="67"/>
  <c r="AG6" i="67"/>
  <c r="AI13" i="46"/>
  <c r="AI12" i="46"/>
  <c r="AI11" i="46"/>
  <c r="AI10" i="46"/>
  <c r="AI9" i="46"/>
  <c r="AI8" i="46"/>
  <c r="AI7" i="46"/>
  <c r="AI6" i="46"/>
  <c r="AI5" i="46"/>
  <c r="AI12" i="48"/>
  <c r="AI11" i="48"/>
  <c r="AH13" i="48"/>
  <c r="AH14" i="48"/>
  <c r="AI5" i="48"/>
  <c r="AI6" i="48"/>
  <c r="AI7" i="48"/>
  <c r="AH16" i="48"/>
  <c r="AH12" i="48"/>
  <c r="AI8" i="48"/>
  <c r="AH15" i="48"/>
  <c r="AI10" i="48"/>
  <c r="AI9" i="48"/>
  <c r="AH10" i="48"/>
  <c r="AH9" i="48"/>
  <c r="AH11" i="48"/>
  <c r="AI13" i="36"/>
  <c r="AI12" i="36"/>
  <c r="AI11" i="36"/>
  <c r="AI10" i="36"/>
  <c r="AI9" i="36"/>
  <c r="AI8" i="36"/>
  <c r="AI7" i="36"/>
  <c r="AI6" i="36"/>
  <c r="AI5" i="36"/>
  <c r="AH16" i="36"/>
  <c r="AH15" i="36"/>
  <c r="AH14" i="36"/>
  <c r="AH13" i="36"/>
  <c r="AH12" i="36"/>
  <c r="AH11" i="36"/>
  <c r="AH10" i="36"/>
  <c r="AH9" i="36"/>
  <c r="AI13" i="42"/>
  <c r="AI12" i="42"/>
  <c r="AI11" i="42"/>
  <c r="AI10" i="42"/>
  <c r="AI9" i="42"/>
  <c r="AI8" i="42"/>
  <c r="AI7" i="42"/>
  <c r="AJ10" i="63" l="1"/>
  <c r="AI10" i="63"/>
  <c r="AJ6" i="63"/>
  <c r="AI18" i="45"/>
  <c r="AI14" i="63"/>
  <c r="AI13" i="63"/>
  <c r="CN13" i="73"/>
  <c r="CH5" i="73"/>
  <c r="AH18" i="73"/>
  <c r="CP15" i="73"/>
  <c r="CE11" i="73"/>
  <c r="CE7" i="73"/>
  <c r="CJ13" i="73"/>
  <c r="AE18" i="73"/>
  <c r="CK12" i="73"/>
  <c r="CC12" i="73"/>
  <c r="AD18" i="73"/>
  <c r="CK5" i="73"/>
  <c r="CE5" i="73"/>
  <c r="CG5" i="73"/>
  <c r="CI5" i="73"/>
  <c r="CJ5" i="73"/>
  <c r="CD12" i="73"/>
  <c r="CC11" i="73"/>
  <c r="CD11" i="73"/>
  <c r="CF10" i="73"/>
  <c r="CC8" i="73"/>
  <c r="CD8" i="73"/>
  <c r="CE8" i="73"/>
  <c r="AC18" i="73"/>
  <c r="CI8" i="73"/>
  <c r="CJ8" i="73"/>
  <c r="CK8" i="73"/>
  <c r="CB14" i="73"/>
  <c r="CC14" i="73"/>
  <c r="CH14" i="73"/>
  <c r="CG13" i="73"/>
  <c r="CH13" i="73"/>
  <c r="CA13" i="73"/>
  <c r="CB13" i="73"/>
  <c r="CE12" i="73"/>
  <c r="CF12" i="73"/>
  <c r="CI12" i="73"/>
  <c r="CJ12" i="73"/>
  <c r="CA12" i="73"/>
  <c r="CB12" i="73"/>
  <c r="CA10" i="73"/>
  <c r="CB10" i="73"/>
  <c r="CC10" i="73"/>
  <c r="CD10" i="73"/>
  <c r="CI10" i="73"/>
  <c r="CE10" i="73"/>
  <c r="AB18" i="73"/>
  <c r="CA18" i="73" s="1"/>
  <c r="CB9" i="73"/>
  <c r="CH9" i="73"/>
  <c r="CD9" i="73"/>
  <c r="CE9" i="73"/>
  <c r="CI9" i="73"/>
  <c r="CQ7" i="73"/>
  <c r="CQ15" i="73"/>
  <c r="CL15" i="73"/>
  <c r="CG9" i="73"/>
  <c r="CO9" i="73"/>
  <c r="CJ15" i="73"/>
  <c r="CN15" i="73"/>
  <c r="CI6" i="73"/>
  <c r="CE6" i="73"/>
  <c r="CF6" i="73"/>
  <c r="CA6" i="73"/>
  <c r="CA16" i="73"/>
  <c r="BZ18" i="73"/>
  <c r="CC16" i="73"/>
  <c r="CL5" i="73"/>
  <c r="CJ6" i="73"/>
  <c r="CH7" i="73"/>
  <c r="CF8" i="73"/>
  <c r="CN8" i="73"/>
  <c r="CL9" i="73"/>
  <c r="CJ10" i="73"/>
  <c r="CH11" i="73"/>
  <c r="CN12" i="73"/>
  <c r="CK13" i="73"/>
  <c r="CI14" i="73"/>
  <c r="CG15" i="73"/>
  <c r="CO15" i="73"/>
  <c r="CE16" i="73"/>
  <c r="CM16" i="73"/>
  <c r="AF18" i="73"/>
  <c r="CG10" i="73"/>
  <c r="CM11" i="73"/>
  <c r="CM5" i="73"/>
  <c r="CK6" i="73"/>
  <c r="CI7" i="73"/>
  <c r="CG8" i="73"/>
  <c r="CO8" i="73"/>
  <c r="CM9" i="73"/>
  <c r="CK10" i="73"/>
  <c r="CI11" i="73"/>
  <c r="CG12" i="73"/>
  <c r="CO12" i="73"/>
  <c r="CL13" i="73"/>
  <c r="CJ14" i="73"/>
  <c r="CH15" i="73"/>
  <c r="CF16" i="73"/>
  <c r="CN16" i="73"/>
  <c r="AG18" i="73"/>
  <c r="CG6" i="73"/>
  <c r="CF5" i="73"/>
  <c r="CN5" i="73"/>
  <c r="CL6" i="73"/>
  <c r="CJ7" i="73"/>
  <c r="CH8" i="73"/>
  <c r="CF9" i="73"/>
  <c r="CN9" i="73"/>
  <c r="CL10" i="73"/>
  <c r="CJ11" i="73"/>
  <c r="CH12" i="73"/>
  <c r="CE13" i="73"/>
  <c r="CM13" i="73"/>
  <c r="CK14" i="73"/>
  <c r="CI15" i="73"/>
  <c r="CG16" i="73"/>
  <c r="CN6" i="73"/>
  <c r="CO5" i="73"/>
  <c r="CM6" i="73"/>
  <c r="CK7" i="73"/>
  <c r="CM10" i="73"/>
  <c r="CK11" i="73"/>
  <c r="CL14" i="73"/>
  <c r="CM14" i="73"/>
  <c r="CO6" i="73"/>
  <c r="CO10" i="73"/>
  <c r="CP13" i="73"/>
  <c r="CF14" i="73"/>
  <c r="CN14" i="73"/>
  <c r="CH6" i="73"/>
  <c r="CF7" i="73"/>
  <c r="CN7" i="73"/>
  <c r="CL8" i="73"/>
  <c r="CJ9" i="73"/>
  <c r="CH10" i="73"/>
  <c r="CP10" i="73"/>
  <c r="CF11" i="73"/>
  <c r="CN11" i="73"/>
  <c r="CL12" i="73"/>
  <c r="CI13" i="73"/>
  <c r="CQ13" i="73"/>
  <c r="CG14" i="73"/>
  <c r="CE15" i="73"/>
  <c r="CM15" i="73"/>
  <c r="CK16" i="73"/>
  <c r="CO13" i="73"/>
  <c r="CM7" i="73"/>
  <c r="CG7" i="73"/>
  <c r="CG11" i="73"/>
  <c r="CF15" i="73"/>
  <c r="BZ45" i="47"/>
  <c r="AH45" i="47"/>
  <c r="AI9" i="63"/>
  <c r="AI7" i="63"/>
  <c r="CO13" i="72"/>
  <c r="CI11" i="72"/>
  <c r="CP9" i="72"/>
  <c r="CO9" i="72"/>
  <c r="CJ7" i="72"/>
  <c r="CI7" i="72"/>
  <c r="CK7" i="72"/>
  <c r="CL7" i="72"/>
  <c r="CQ7" i="72"/>
  <c r="CK6" i="72"/>
  <c r="AI18" i="72"/>
  <c r="CL16" i="72"/>
  <c r="CP13" i="72"/>
  <c r="AH18" i="72"/>
  <c r="CJ16" i="72"/>
  <c r="CM12" i="72"/>
  <c r="CF12" i="72"/>
  <c r="CL11" i="72"/>
  <c r="CK11" i="72"/>
  <c r="CM10" i="72"/>
  <c r="CM6" i="72"/>
  <c r="CL6" i="72"/>
  <c r="CF6" i="72"/>
  <c r="CK15" i="72"/>
  <c r="CE15" i="72"/>
  <c r="AF18" i="72"/>
  <c r="CE14" i="72"/>
  <c r="CN14" i="72"/>
  <c r="CL14" i="72"/>
  <c r="BZ18" i="72"/>
  <c r="CA18" i="72"/>
  <c r="CH5" i="72"/>
  <c r="CP5" i="72"/>
  <c r="CN6" i="72"/>
  <c r="CJ8" i="72"/>
  <c r="CH9" i="72"/>
  <c r="CN10" i="72"/>
  <c r="CJ12" i="72"/>
  <c r="CH13" i="72"/>
  <c r="CG14" i="72"/>
  <c r="CO14" i="72"/>
  <c r="CF15" i="72"/>
  <c r="CN15" i="72"/>
  <c r="CM16" i="72"/>
  <c r="CI5" i="72"/>
  <c r="CQ5" i="72"/>
  <c r="CG6" i="72"/>
  <c r="CO6" i="72"/>
  <c r="CM7" i="72"/>
  <c r="CK8" i="72"/>
  <c r="CI9" i="72"/>
  <c r="CG10" i="72"/>
  <c r="CO10" i="72"/>
  <c r="CM11" i="72"/>
  <c r="CK12" i="72"/>
  <c r="CI13" i="72"/>
  <c r="CH14" i="72"/>
  <c r="CG15" i="72"/>
  <c r="CO15" i="72"/>
  <c r="CF16" i="72"/>
  <c r="CN16" i="72"/>
  <c r="AG18" i="72"/>
  <c r="CO8" i="72"/>
  <c r="CJ5" i="72"/>
  <c r="CH6" i="72"/>
  <c r="CP6" i="72"/>
  <c r="CF7" i="72"/>
  <c r="CN7" i="72"/>
  <c r="CL8" i="72"/>
  <c r="CJ9" i="72"/>
  <c r="CH10" i="72"/>
  <c r="CF11" i="72"/>
  <c r="CN11" i="72"/>
  <c r="CL12" i="72"/>
  <c r="CJ13" i="72"/>
  <c r="CI14" i="72"/>
  <c r="CH15" i="72"/>
  <c r="CG16" i="72"/>
  <c r="CO16" i="72"/>
  <c r="CM5" i="72"/>
  <c r="CK5" i="72"/>
  <c r="CI6" i="72"/>
  <c r="CG7" i="72"/>
  <c r="CO7" i="72"/>
  <c r="CK9" i="72"/>
  <c r="CI10" i="72"/>
  <c r="CG11" i="72"/>
  <c r="CO11" i="72"/>
  <c r="CK13" i="72"/>
  <c r="CJ14" i="72"/>
  <c r="CI15" i="72"/>
  <c r="CH16" i="72"/>
  <c r="CL5" i="72"/>
  <c r="CJ6" i="72"/>
  <c r="CH7" i="72"/>
  <c r="CL9" i="72"/>
  <c r="CJ10" i="72"/>
  <c r="CH11" i="72"/>
  <c r="CN12" i="72"/>
  <c r="CL13" i="72"/>
  <c r="CK14" i="72"/>
  <c r="CJ15" i="72"/>
  <c r="CI16" i="72"/>
  <c r="CM9" i="72"/>
  <c r="CF5" i="72"/>
  <c r="CN5" i="72"/>
  <c r="CH8" i="72"/>
  <c r="CP8" i="72"/>
  <c r="CF9" i="72"/>
  <c r="CN9" i="72"/>
  <c r="CL10" i="72"/>
  <c r="CJ11" i="72"/>
  <c r="CH12" i="72"/>
  <c r="CP12" i="72"/>
  <c r="CF13" i="72"/>
  <c r="CN13" i="72"/>
  <c r="CM14" i="72"/>
  <c r="CL15" i="72"/>
  <c r="CK16" i="72"/>
  <c r="CO12" i="72"/>
  <c r="CM13" i="72"/>
  <c r="CG5" i="72"/>
  <c r="CI8" i="72"/>
  <c r="CG9" i="72"/>
  <c r="CG13" i="72"/>
  <c r="CF14" i="72"/>
  <c r="AI12" i="55"/>
  <c r="AI11" i="55"/>
  <c r="AI10" i="55"/>
  <c r="AI9" i="55"/>
  <c r="AI8" i="55"/>
  <c r="AI7" i="55"/>
  <c r="AI6" i="55"/>
  <c r="AI5" i="55"/>
  <c r="AH16" i="55"/>
  <c r="AH15" i="55"/>
  <c r="AH14" i="55"/>
  <c r="AH13" i="55"/>
  <c r="AH12" i="55"/>
  <c r="AH11" i="55"/>
  <c r="AH10" i="55"/>
  <c r="AH9" i="55"/>
  <c r="AH8" i="55"/>
  <c r="AH7" i="55"/>
  <c r="AH6" i="55"/>
  <c r="AH5" i="55"/>
  <c r="AG16" i="55"/>
  <c r="AG15" i="55"/>
  <c r="AG14" i="55"/>
  <c r="AG13" i="55"/>
  <c r="AG12" i="55"/>
  <c r="AG11" i="55"/>
  <c r="AG10" i="55"/>
  <c r="AG9" i="55"/>
  <c r="AG8" i="55"/>
  <c r="AG7" i="55"/>
  <c r="AG6" i="55"/>
  <c r="AG5" i="55"/>
  <c r="AI12" i="43"/>
  <c r="AI11" i="43"/>
  <c r="AI10" i="43"/>
  <c r="AI9" i="43"/>
  <c r="AI8" i="43"/>
  <c r="AI7" i="43"/>
  <c r="AI6" i="43"/>
  <c r="AI5" i="43"/>
  <c r="BZ18" i="47"/>
  <c r="AH18" i="47"/>
  <c r="AH18" i="70"/>
  <c r="AF18" i="70"/>
  <c r="W18" i="48"/>
  <c r="AG15" i="48"/>
  <c r="AG16" i="48"/>
  <c r="AG14" i="48"/>
  <c r="AH16" i="33"/>
  <c r="AH15" i="33"/>
  <c r="AH14" i="33"/>
  <c r="AH13" i="33"/>
  <c r="AH12" i="33"/>
  <c r="AH11" i="33"/>
  <c r="AH10" i="33"/>
  <c r="AH9" i="33"/>
  <c r="AH11" i="51"/>
  <c r="AH10" i="51"/>
  <c r="AH9" i="51"/>
  <c r="AH8" i="51"/>
  <c r="AH12" i="41"/>
  <c r="AH10" i="41"/>
  <c r="AH11" i="41"/>
  <c r="AH11" i="50"/>
  <c r="AH10" i="50"/>
  <c r="AH9" i="50"/>
  <c r="AH8" i="50"/>
  <c r="AH7" i="50"/>
  <c r="AH6" i="50"/>
  <c r="AH9" i="60"/>
  <c r="AH12" i="60"/>
  <c r="AH11" i="60"/>
  <c r="AH10" i="60"/>
  <c r="AI7" i="60"/>
  <c r="AI6" i="60"/>
  <c r="AH8" i="60"/>
  <c r="AH7" i="60"/>
  <c r="AH6" i="60"/>
  <c r="AH5" i="60"/>
  <c r="AG16" i="60"/>
  <c r="AG15" i="60"/>
  <c r="AG14" i="60"/>
  <c r="AG13" i="60"/>
  <c r="AG12" i="60"/>
  <c r="AG11" i="60"/>
  <c r="AG10" i="60"/>
  <c r="AG9" i="60"/>
  <c r="AG8" i="60"/>
  <c r="AH13" i="45"/>
  <c r="AH12" i="63" s="1"/>
  <c r="AH12" i="45"/>
  <c r="AH11" i="63" s="1"/>
  <c r="AH11" i="45"/>
  <c r="AH10" i="63" s="1"/>
  <c r="AH14" i="45"/>
  <c r="AH13" i="63" s="1"/>
  <c r="AH15" i="45"/>
  <c r="AH14" i="63" s="1"/>
  <c r="AH10" i="45"/>
  <c r="AH9" i="63" s="1"/>
  <c r="AH9" i="45"/>
  <c r="AH8" i="63" s="1"/>
  <c r="AH8" i="45"/>
  <c r="AH7" i="63" s="1"/>
  <c r="AH7" i="45"/>
  <c r="AH6" i="63" s="1"/>
  <c r="AH6" i="45"/>
  <c r="AH5" i="63" s="1"/>
  <c r="AG15" i="34"/>
  <c r="AG14" i="34"/>
  <c r="AG12" i="34"/>
  <c r="AG13" i="34"/>
  <c r="AH8" i="34"/>
  <c r="AH7" i="34"/>
  <c r="AH6" i="34"/>
  <c r="AH5" i="34"/>
  <c r="AG16" i="34"/>
  <c r="AG11" i="34"/>
  <c r="AG10" i="34"/>
  <c r="AG9" i="34"/>
  <c r="AG8" i="34"/>
  <c r="AG7" i="34"/>
  <c r="AG6" i="34"/>
  <c r="AG5" i="34"/>
  <c r="AH8" i="48"/>
  <c r="AH7" i="48"/>
  <c r="AH6" i="48"/>
  <c r="AH5" i="48"/>
  <c r="AH11" i="53"/>
  <c r="AH10" i="53"/>
  <c r="AH12" i="53"/>
  <c r="AH9" i="53"/>
  <c r="AH8" i="53"/>
  <c r="AI6" i="42"/>
  <c r="AI5" i="42"/>
  <c r="AH16" i="42"/>
  <c r="AH15" i="42"/>
  <c r="AH14" i="42"/>
  <c r="AH13" i="42"/>
  <c r="AH12" i="42"/>
  <c r="AH11" i="42"/>
  <c r="AH10" i="42"/>
  <c r="AH9" i="42"/>
  <c r="AH8" i="42"/>
  <c r="AH14" i="58"/>
  <c r="AH13" i="58"/>
  <c r="AH12" i="58"/>
  <c r="AI7" i="58"/>
  <c r="AI6" i="58"/>
  <c r="AI5" i="58"/>
  <c r="AH16" i="58"/>
  <c r="AH15" i="58"/>
  <c r="AH11" i="58"/>
  <c r="AH10" i="58"/>
  <c r="AH9" i="58"/>
  <c r="AH8" i="58"/>
  <c r="AH7" i="58"/>
  <c r="AH6" i="58"/>
  <c r="AH5" i="58"/>
  <c r="AG16" i="58"/>
  <c r="AG15" i="58"/>
  <c r="AG14" i="58"/>
  <c r="AG13" i="58"/>
  <c r="AG12" i="58"/>
  <c r="AI5" i="41"/>
  <c r="AH16" i="41"/>
  <c r="AH15" i="41"/>
  <c r="AH14" i="41"/>
  <c r="AH13" i="41"/>
  <c r="AI6" i="31"/>
  <c r="AH16" i="31"/>
  <c r="AI5" i="31"/>
  <c r="AH14" i="31"/>
  <c r="AH13" i="31"/>
  <c r="AH15" i="31"/>
  <c r="AH12" i="31"/>
  <c r="AH11" i="31"/>
  <c r="AH10" i="31"/>
  <c r="AH9" i="31"/>
  <c r="AH16" i="43"/>
  <c r="AH15" i="43"/>
  <c r="AH14" i="43"/>
  <c r="AH13" i="43"/>
  <c r="AH12" i="43"/>
  <c r="AH11" i="43"/>
  <c r="AH10" i="43"/>
  <c r="AH9" i="43"/>
  <c r="AH16" i="46"/>
  <c r="AH15" i="46"/>
  <c r="AH14" i="46"/>
  <c r="AH13" i="46"/>
  <c r="AH12" i="46"/>
  <c r="AH11" i="46"/>
  <c r="AH10" i="46"/>
  <c r="AH12" i="70"/>
  <c r="AH11" i="70"/>
  <c r="CP11" i="70" s="1"/>
  <c r="AH10" i="70"/>
  <c r="AH9" i="41"/>
  <c r="AH8" i="41"/>
  <c r="AH7" i="41"/>
  <c r="AH6" i="41"/>
  <c r="AH5" i="41"/>
  <c r="AG16" i="41"/>
  <c r="AG15" i="41"/>
  <c r="AG14" i="41"/>
  <c r="AG13" i="41"/>
  <c r="AG12" i="41"/>
  <c r="AG11" i="41"/>
  <c r="AG10" i="41"/>
  <c r="AG9" i="41"/>
  <c r="AG8" i="41"/>
  <c r="AG7" i="41"/>
  <c r="AG6" i="41"/>
  <c r="AG5" i="41"/>
  <c r="AH8" i="33"/>
  <c r="AH7" i="33"/>
  <c r="AH6" i="33"/>
  <c r="AH5" i="33"/>
  <c r="AG16" i="33"/>
  <c r="AG15" i="33"/>
  <c r="AG14" i="33"/>
  <c r="AG13" i="33"/>
  <c r="AG12" i="33"/>
  <c r="AG11" i="33"/>
  <c r="AG10" i="33"/>
  <c r="AG9" i="33"/>
  <c r="AG8" i="33"/>
  <c r="AG7" i="33"/>
  <c r="AG6" i="33"/>
  <c r="AG5" i="33"/>
  <c r="AH8" i="56"/>
  <c r="AH7" i="56"/>
  <c r="AH6" i="56"/>
  <c r="AH5" i="56"/>
  <c r="AG16" i="56"/>
  <c r="AG15" i="56"/>
  <c r="AG14" i="56"/>
  <c r="AG13" i="56"/>
  <c r="AG12" i="56"/>
  <c r="AG11" i="56"/>
  <c r="AG10" i="56"/>
  <c r="AG9" i="56"/>
  <c r="AG8" i="56"/>
  <c r="AG7" i="56"/>
  <c r="AG6" i="56"/>
  <c r="AG5" i="56"/>
  <c r="AG11" i="70"/>
  <c r="AG10" i="70"/>
  <c r="CO10" i="70" s="1"/>
  <c r="AG9" i="70"/>
  <c r="AG8" i="70"/>
  <c r="CG8" i="70" s="1"/>
  <c r="AH7" i="70"/>
  <c r="CI7" i="70" s="1"/>
  <c r="AG7" i="70"/>
  <c r="AH9" i="70"/>
  <c r="CK9" i="70" s="1"/>
  <c r="AH8" i="70"/>
  <c r="CL8" i="70" s="1"/>
  <c r="AH6" i="70"/>
  <c r="CP6" i="70" s="1"/>
  <c r="AH5" i="70"/>
  <c r="AG16" i="70"/>
  <c r="AG15" i="70"/>
  <c r="CP15" i="70" s="1"/>
  <c r="AG14" i="70"/>
  <c r="CP14" i="70" s="1"/>
  <c r="AG13" i="70"/>
  <c r="CP13" i="70" s="1"/>
  <c r="AG12" i="70"/>
  <c r="CP12" i="70" s="1"/>
  <c r="AF16" i="70"/>
  <c r="CI16" i="70" s="1"/>
  <c r="AF15" i="70"/>
  <c r="CK15" i="70" s="1"/>
  <c r="AF14" i="70"/>
  <c r="AF13" i="70"/>
  <c r="AF12" i="70"/>
  <c r="CI12" i="70" s="1"/>
  <c r="AF11" i="70"/>
  <c r="AG18" i="70" s="1"/>
  <c r="AF10" i="70"/>
  <c r="AF9" i="70"/>
  <c r="AF8" i="70"/>
  <c r="AG6" i="70"/>
  <c r="AG5" i="70"/>
  <c r="BX16" i="57"/>
  <c r="BW16" i="57"/>
  <c r="BV16" i="57"/>
  <c r="BU16" i="57"/>
  <c r="BT16" i="57"/>
  <c r="BS16" i="57"/>
  <c r="BR16" i="57"/>
  <c r="BQ16" i="57"/>
  <c r="BP16" i="57"/>
  <c r="BO16" i="57"/>
  <c r="BN16" i="57"/>
  <c r="BM16" i="57"/>
  <c r="BL16" i="57"/>
  <c r="BK16" i="57"/>
  <c r="BJ16" i="57"/>
  <c r="AG16" i="57"/>
  <c r="BX15" i="57"/>
  <c r="BW15" i="57"/>
  <c r="BV15" i="57"/>
  <c r="BU15" i="57"/>
  <c r="BT15" i="57"/>
  <c r="BS15" i="57"/>
  <c r="BR15" i="57"/>
  <c r="BQ15" i="57"/>
  <c r="BP15" i="57"/>
  <c r="BO15" i="57"/>
  <c r="BN15" i="57"/>
  <c r="BM15" i="57"/>
  <c r="BL15" i="57"/>
  <c r="BK15" i="57"/>
  <c r="BJ15" i="57"/>
  <c r="AG15" i="57"/>
  <c r="BX14" i="57"/>
  <c r="BW14" i="57"/>
  <c r="BV14" i="57"/>
  <c r="BU14" i="57"/>
  <c r="BT14" i="57"/>
  <c r="BS14" i="57"/>
  <c r="BR14" i="57"/>
  <c r="BQ14" i="57"/>
  <c r="BP14" i="57"/>
  <c r="BO14" i="57"/>
  <c r="BN14" i="57"/>
  <c r="BM14" i="57"/>
  <c r="BL14" i="57"/>
  <c r="BK14" i="57"/>
  <c r="BJ14" i="57"/>
  <c r="AG14" i="57"/>
  <c r="BX13" i="57"/>
  <c r="BW13" i="57"/>
  <c r="BV13" i="57"/>
  <c r="BU13" i="57"/>
  <c r="BT13" i="57"/>
  <c r="BS13" i="57"/>
  <c r="BR13" i="57"/>
  <c r="BQ13" i="57"/>
  <c r="BP13" i="57"/>
  <c r="BO13" i="57"/>
  <c r="BN13" i="57"/>
  <c r="BM13" i="57"/>
  <c r="BL13" i="57"/>
  <c r="BK13" i="57"/>
  <c r="BJ13" i="57"/>
  <c r="AG13" i="57"/>
  <c r="BX12" i="57"/>
  <c r="BW12" i="57"/>
  <c r="BV12" i="57"/>
  <c r="BU12" i="57"/>
  <c r="BT12" i="57"/>
  <c r="BS12" i="57"/>
  <c r="BR12" i="57"/>
  <c r="BQ12" i="57"/>
  <c r="BP12" i="57"/>
  <c r="BO12" i="57"/>
  <c r="BN12" i="57"/>
  <c r="BM12" i="57"/>
  <c r="BL12" i="57"/>
  <c r="BK12" i="57"/>
  <c r="BJ12" i="57"/>
  <c r="AG12" i="57"/>
  <c r="BY11" i="57"/>
  <c r="BX11" i="57"/>
  <c r="BW11" i="57"/>
  <c r="BV11" i="57"/>
  <c r="BU11" i="57"/>
  <c r="BT11" i="57"/>
  <c r="BS11" i="57"/>
  <c r="BR11" i="57"/>
  <c r="BQ11" i="57"/>
  <c r="BP11" i="57"/>
  <c r="BO11" i="57"/>
  <c r="BN11" i="57"/>
  <c r="BM11" i="57"/>
  <c r="BL11" i="57"/>
  <c r="BK11" i="57"/>
  <c r="BJ11" i="57"/>
  <c r="AG11" i="57"/>
  <c r="BY10" i="57"/>
  <c r="BX10" i="57"/>
  <c r="BW10" i="57"/>
  <c r="BV10" i="57"/>
  <c r="BU10" i="57"/>
  <c r="BT10" i="57"/>
  <c r="BS10" i="57"/>
  <c r="BR10" i="57"/>
  <c r="BQ10" i="57"/>
  <c r="BP10" i="57"/>
  <c r="BO10" i="57"/>
  <c r="BN10" i="57"/>
  <c r="BM10" i="57"/>
  <c r="BL10" i="57"/>
  <c r="BK10" i="57"/>
  <c r="BJ10" i="57"/>
  <c r="AG10" i="57"/>
  <c r="BY9" i="57"/>
  <c r="BX9" i="57"/>
  <c r="BW9" i="57"/>
  <c r="BV9" i="57"/>
  <c r="BU9" i="57"/>
  <c r="BT9" i="57"/>
  <c r="BS9" i="57"/>
  <c r="BR9" i="57"/>
  <c r="BQ9" i="57"/>
  <c r="BP9" i="57"/>
  <c r="BO9" i="57"/>
  <c r="BN9" i="57"/>
  <c r="BM9" i="57"/>
  <c r="BL9" i="57"/>
  <c r="BK9" i="57"/>
  <c r="BJ9" i="57"/>
  <c r="AG9" i="57"/>
  <c r="BY8" i="57"/>
  <c r="BX8" i="57"/>
  <c r="BW8" i="57"/>
  <c r="BV8" i="57"/>
  <c r="BU8" i="57"/>
  <c r="BT8" i="57"/>
  <c r="BS8" i="57"/>
  <c r="BR8" i="57"/>
  <c r="BQ8" i="57"/>
  <c r="BP8" i="57"/>
  <c r="BO8" i="57"/>
  <c r="BN8" i="57"/>
  <c r="BM8" i="57"/>
  <c r="BL8" i="57"/>
  <c r="BK8" i="57"/>
  <c r="BJ8" i="57"/>
  <c r="AG8" i="57"/>
  <c r="BY7" i="57"/>
  <c r="BX7" i="57"/>
  <c r="BW7" i="57"/>
  <c r="BV7" i="57"/>
  <c r="BU7" i="57"/>
  <c r="BT7" i="57"/>
  <c r="BS7" i="57"/>
  <c r="BR7" i="57"/>
  <c r="BQ7" i="57"/>
  <c r="BP7" i="57"/>
  <c r="BO7" i="57"/>
  <c r="BN7" i="57"/>
  <c r="BM7" i="57"/>
  <c r="BL7" i="57"/>
  <c r="BK7" i="57"/>
  <c r="BJ7" i="57"/>
  <c r="BY6" i="57"/>
  <c r="BX6" i="57"/>
  <c r="BW6" i="57"/>
  <c r="BV6" i="57"/>
  <c r="BU6" i="57"/>
  <c r="BT6" i="57"/>
  <c r="BS6" i="57"/>
  <c r="BR6" i="57"/>
  <c r="BQ6" i="57"/>
  <c r="BP6" i="57"/>
  <c r="BO6" i="57"/>
  <c r="BN6" i="57"/>
  <c r="BM6" i="57"/>
  <c r="BL6" i="57"/>
  <c r="BK6" i="57"/>
  <c r="BJ6" i="57"/>
  <c r="BY5" i="57"/>
  <c r="BX5" i="57"/>
  <c r="BW5" i="57"/>
  <c r="BV5" i="57"/>
  <c r="BU5" i="57"/>
  <c r="BT5" i="57"/>
  <c r="BS5" i="57"/>
  <c r="BR5" i="57"/>
  <c r="BQ5" i="57"/>
  <c r="BP5" i="57"/>
  <c r="BO5" i="57"/>
  <c r="BN5" i="57"/>
  <c r="BM5" i="57"/>
  <c r="BL5" i="57"/>
  <c r="BK5" i="57"/>
  <c r="BJ5" i="57"/>
  <c r="AZ18" i="70"/>
  <c r="AY18" i="70"/>
  <c r="AX18" i="70"/>
  <c r="AW18" i="70"/>
  <c r="AV18" i="70"/>
  <c r="AU18" i="70"/>
  <c r="AT18" i="70"/>
  <c r="AS18" i="70"/>
  <c r="AR18" i="70"/>
  <c r="AQ18" i="70"/>
  <c r="AP18" i="70"/>
  <c r="AO18" i="70"/>
  <c r="AN18" i="70"/>
  <c r="AM18" i="70"/>
  <c r="AL18" i="70"/>
  <c r="AK18" i="70"/>
  <c r="AJ18" i="70"/>
  <c r="AI18" i="70"/>
  <c r="AE18" i="70"/>
  <c r="AD18" i="70"/>
  <c r="AC18" i="70"/>
  <c r="AB18" i="70"/>
  <c r="AA18" i="70"/>
  <c r="Z18" i="70"/>
  <c r="Y18" i="70"/>
  <c r="X18" i="70"/>
  <c r="W18" i="70"/>
  <c r="V18" i="70"/>
  <c r="U18" i="70"/>
  <c r="T18" i="70"/>
  <c r="S18" i="70"/>
  <c r="R18" i="70"/>
  <c r="Q18" i="70"/>
  <c r="P18" i="70"/>
  <c r="O18" i="70"/>
  <c r="N18" i="70"/>
  <c r="M18" i="70"/>
  <c r="L18" i="70"/>
  <c r="K18" i="70"/>
  <c r="J18" i="70"/>
  <c r="I18" i="70"/>
  <c r="H18" i="70"/>
  <c r="G18" i="70"/>
  <c r="F18" i="70"/>
  <c r="E18" i="70"/>
  <c r="D18" i="70"/>
  <c r="C18" i="70"/>
  <c r="B18" i="70"/>
  <c r="DD16" i="70"/>
  <c r="DC16" i="70"/>
  <c r="DB16" i="70"/>
  <c r="DA16" i="70"/>
  <c r="CZ16" i="70"/>
  <c r="CY16" i="70"/>
  <c r="CX16" i="70"/>
  <c r="CW16" i="70"/>
  <c r="CV16" i="70"/>
  <c r="CU16" i="70"/>
  <c r="CT16" i="70"/>
  <c r="CS16" i="70"/>
  <c r="CR16" i="70"/>
  <c r="CQ16" i="70"/>
  <c r="CP16" i="70"/>
  <c r="CJ16" i="70"/>
  <c r="CE16" i="70"/>
  <c r="DD15" i="70"/>
  <c r="DC15" i="70"/>
  <c r="DB15" i="70"/>
  <c r="DA15" i="70"/>
  <c r="CZ15" i="70"/>
  <c r="CY15" i="70"/>
  <c r="CX15" i="70"/>
  <c r="CW15" i="70"/>
  <c r="CV15" i="70"/>
  <c r="CU15" i="70"/>
  <c r="CT15" i="70"/>
  <c r="CS15" i="70"/>
  <c r="CR15" i="70"/>
  <c r="CQ15" i="70"/>
  <c r="CE15" i="70"/>
  <c r="DD14" i="70"/>
  <c r="DC14" i="70"/>
  <c r="DB14" i="70"/>
  <c r="DA14" i="70"/>
  <c r="CZ14" i="70"/>
  <c r="CY14" i="70"/>
  <c r="CX14" i="70"/>
  <c r="CW14" i="70"/>
  <c r="CV14" i="70"/>
  <c r="CU14" i="70"/>
  <c r="CT14" i="70"/>
  <c r="CS14" i="70"/>
  <c r="CR14" i="70"/>
  <c r="CQ14" i="70"/>
  <c r="CF14" i="70"/>
  <c r="CE14" i="70"/>
  <c r="DD13" i="70"/>
  <c r="DC13" i="70"/>
  <c r="DB13" i="70"/>
  <c r="DA13" i="70"/>
  <c r="CZ13" i="70"/>
  <c r="CY13" i="70"/>
  <c r="CX13" i="70"/>
  <c r="CW13" i="70"/>
  <c r="CV13" i="70"/>
  <c r="CU13" i="70"/>
  <c r="CT13" i="70"/>
  <c r="CS13" i="70"/>
  <c r="CR13" i="70"/>
  <c r="CQ13" i="70"/>
  <c r="CE13" i="70"/>
  <c r="DD12" i="70"/>
  <c r="DC12" i="70"/>
  <c r="DB12" i="70"/>
  <c r="DA12" i="70"/>
  <c r="CZ12" i="70"/>
  <c r="CY12" i="70"/>
  <c r="CX12" i="70"/>
  <c r="CW12" i="70"/>
  <c r="CV12" i="70"/>
  <c r="CU12" i="70"/>
  <c r="CT12" i="70"/>
  <c r="CS12" i="70"/>
  <c r="CR12" i="70"/>
  <c r="CQ12" i="70"/>
  <c r="CE12" i="70"/>
  <c r="DD11" i="70"/>
  <c r="DC11" i="70"/>
  <c r="DB11" i="70"/>
  <c r="DA11" i="70"/>
  <c r="CZ11" i="70"/>
  <c r="CY11" i="70"/>
  <c r="CX11" i="70"/>
  <c r="CW11" i="70"/>
  <c r="CV11" i="70"/>
  <c r="CU11" i="70"/>
  <c r="CT11" i="70"/>
  <c r="CS11" i="70"/>
  <c r="CR11" i="70"/>
  <c r="CQ11" i="70"/>
  <c r="CN11" i="70"/>
  <c r="CM11" i="70"/>
  <c r="CL11" i="70"/>
  <c r="CI11" i="70"/>
  <c r="CH11" i="70"/>
  <c r="CG11" i="70"/>
  <c r="CF11" i="70"/>
  <c r="CE11" i="70"/>
  <c r="DD10" i="70"/>
  <c r="DC10" i="70"/>
  <c r="DB10" i="70"/>
  <c r="DA10" i="70"/>
  <c r="CZ10" i="70"/>
  <c r="CY10" i="70"/>
  <c r="CX10" i="70"/>
  <c r="CW10" i="70"/>
  <c r="CV10" i="70"/>
  <c r="CU10" i="70"/>
  <c r="CT10" i="70"/>
  <c r="CS10" i="70"/>
  <c r="CR10" i="70"/>
  <c r="CQ10" i="70"/>
  <c r="CK10" i="70"/>
  <c r="CF10" i="70"/>
  <c r="CE10" i="70"/>
  <c r="DD9" i="70"/>
  <c r="DC9" i="70"/>
  <c r="DB9" i="70"/>
  <c r="DA9" i="70"/>
  <c r="CZ9" i="70"/>
  <c r="CY9" i="70"/>
  <c r="CX9" i="70"/>
  <c r="CW9" i="70"/>
  <c r="CV9" i="70"/>
  <c r="CU9" i="70"/>
  <c r="CT9" i="70"/>
  <c r="CS9" i="70"/>
  <c r="CR9" i="70"/>
  <c r="CQ9" i="70"/>
  <c r="CO9" i="70"/>
  <c r="CN9" i="70"/>
  <c r="CG9" i="70"/>
  <c r="CF9" i="70"/>
  <c r="CE9" i="70"/>
  <c r="DD8" i="70"/>
  <c r="DC8" i="70"/>
  <c r="DB8" i="70"/>
  <c r="DA8" i="70"/>
  <c r="CZ8" i="70"/>
  <c r="CY8" i="70"/>
  <c r="CX8" i="70"/>
  <c r="CW8" i="70"/>
  <c r="CV8" i="70"/>
  <c r="CU8" i="70"/>
  <c r="CT8" i="70"/>
  <c r="CS8" i="70"/>
  <c r="CR8" i="70"/>
  <c r="CQ8" i="70"/>
  <c r="CO8" i="70"/>
  <c r="CH8" i="70"/>
  <c r="CF8" i="70"/>
  <c r="CE8" i="70"/>
  <c r="DD7" i="70"/>
  <c r="DC7" i="70"/>
  <c r="DB7" i="70"/>
  <c r="DA7" i="70"/>
  <c r="CZ7" i="70"/>
  <c r="CY7" i="70"/>
  <c r="CX7" i="70"/>
  <c r="CW7" i="70"/>
  <c r="CV7" i="70"/>
  <c r="CU7" i="70"/>
  <c r="CT7" i="70"/>
  <c r="CS7" i="70"/>
  <c r="CR7" i="70"/>
  <c r="CQ7" i="70"/>
  <c r="CO7" i="70"/>
  <c r="CJ7" i="70"/>
  <c r="CG7" i="70"/>
  <c r="CF7" i="70"/>
  <c r="CE7" i="70"/>
  <c r="DD6" i="70"/>
  <c r="DC6" i="70"/>
  <c r="DB6" i="70"/>
  <c r="DA6" i="70"/>
  <c r="CZ6" i="70"/>
  <c r="CY6" i="70"/>
  <c r="CX6" i="70"/>
  <c r="CW6" i="70"/>
  <c r="CV6" i="70"/>
  <c r="CU6" i="70"/>
  <c r="CT6" i="70"/>
  <c r="CS6" i="70"/>
  <c r="CR6" i="70"/>
  <c r="CQ6" i="70"/>
  <c r="CO6" i="70"/>
  <c r="CN6" i="70"/>
  <c r="CM6" i="70"/>
  <c r="CK6" i="70"/>
  <c r="CJ6" i="70"/>
  <c r="CI6" i="70"/>
  <c r="CH6" i="70"/>
  <c r="CG6" i="70"/>
  <c r="CF6" i="70"/>
  <c r="CE6" i="70"/>
  <c r="DD5" i="70"/>
  <c r="DC5" i="70"/>
  <c r="DB5" i="70"/>
  <c r="DA5" i="70"/>
  <c r="CZ5" i="70"/>
  <c r="CY5" i="70"/>
  <c r="CX5" i="70"/>
  <c r="CW5" i="70"/>
  <c r="CV5" i="70"/>
  <c r="CU5" i="70"/>
  <c r="CT5" i="70"/>
  <c r="CS5" i="70"/>
  <c r="CR5" i="70"/>
  <c r="CQ5" i="70"/>
  <c r="CP5" i="70"/>
  <c r="CO5" i="70"/>
  <c r="CN5" i="70"/>
  <c r="CM5" i="70"/>
  <c r="CL5" i="70"/>
  <c r="CK5" i="70"/>
  <c r="CJ5" i="70"/>
  <c r="CI5" i="70"/>
  <c r="CH5" i="70"/>
  <c r="CG5" i="70"/>
  <c r="CF5" i="70"/>
  <c r="CE5" i="70"/>
  <c r="BZ5" i="57"/>
  <c r="BZ6" i="57"/>
  <c r="BZ7" i="57"/>
  <c r="BZ8" i="57"/>
  <c r="BZ9" i="57"/>
  <c r="BZ10" i="57"/>
  <c r="BZ11" i="57"/>
  <c r="BZ12" i="57"/>
  <c r="BZ13" i="57"/>
  <c r="BZ14" i="57"/>
  <c r="BZ15" i="57"/>
  <c r="BZ16" i="57"/>
  <c r="AG14" i="54"/>
  <c r="AG13" i="54"/>
  <c r="AG12" i="54"/>
  <c r="AG11" i="54"/>
  <c r="AG10" i="54"/>
  <c r="AG9" i="54"/>
  <c r="AG8" i="54"/>
  <c r="AG7" i="54"/>
  <c r="AG6" i="54"/>
  <c r="AG5" i="54"/>
  <c r="AH12" i="39"/>
  <c r="AH11" i="39"/>
  <c r="AH10" i="39"/>
  <c r="AH9" i="39"/>
  <c r="AH8" i="39"/>
  <c r="AH7" i="39"/>
  <c r="AH6" i="39"/>
  <c r="AH5" i="39"/>
  <c r="AG16" i="39"/>
  <c r="AG15" i="39"/>
  <c r="AG14" i="39"/>
  <c r="AG13" i="39"/>
  <c r="AG12" i="39"/>
  <c r="AG11" i="39"/>
  <c r="AG10" i="39"/>
  <c r="AG9" i="39"/>
  <c r="AG8" i="39"/>
  <c r="AG7" i="39"/>
  <c r="AG6" i="39"/>
  <c r="AG5" i="39"/>
  <c r="AZ18" i="69"/>
  <c r="AY18" i="69"/>
  <c r="AX18" i="69"/>
  <c r="AW18" i="69"/>
  <c r="AV18" i="69"/>
  <c r="AU18" i="69"/>
  <c r="AT18" i="69"/>
  <c r="AS18" i="69"/>
  <c r="AR18" i="69"/>
  <c r="AQ18" i="69"/>
  <c r="AP18" i="69"/>
  <c r="AO18" i="69"/>
  <c r="AN18" i="69"/>
  <c r="AM18" i="69"/>
  <c r="AL18" i="69"/>
  <c r="AK18" i="69"/>
  <c r="AJ18" i="69"/>
  <c r="AI18" i="69"/>
  <c r="AF18" i="69"/>
  <c r="AE18" i="69"/>
  <c r="AD18" i="69"/>
  <c r="AC18" i="69"/>
  <c r="AB18" i="69"/>
  <c r="AA18" i="69"/>
  <c r="Z18" i="69"/>
  <c r="Y18" i="69"/>
  <c r="X18" i="69"/>
  <c r="W18" i="69"/>
  <c r="V18" i="69"/>
  <c r="U18" i="69"/>
  <c r="T18" i="69"/>
  <c r="S18" i="69"/>
  <c r="R18" i="69"/>
  <c r="Q18" i="69"/>
  <c r="P18" i="69"/>
  <c r="O18" i="69"/>
  <c r="N18" i="69"/>
  <c r="M18" i="69"/>
  <c r="L18" i="69"/>
  <c r="K18" i="69"/>
  <c r="J18" i="69"/>
  <c r="I18" i="69"/>
  <c r="H18" i="69"/>
  <c r="G18" i="69"/>
  <c r="F18" i="69"/>
  <c r="E18" i="69"/>
  <c r="D18" i="69"/>
  <c r="C18" i="69"/>
  <c r="B18" i="69"/>
  <c r="DD16" i="69"/>
  <c r="DC16" i="69"/>
  <c r="DB16" i="69"/>
  <c r="DA16" i="69"/>
  <c r="CZ16" i="69"/>
  <c r="CY16" i="69"/>
  <c r="CX16" i="69"/>
  <c r="CW16" i="69"/>
  <c r="CV16" i="69"/>
  <c r="CU16" i="69"/>
  <c r="CT16" i="69"/>
  <c r="CS16" i="69"/>
  <c r="CR16" i="69"/>
  <c r="CQ16" i="69"/>
  <c r="CP16" i="69"/>
  <c r="CE16" i="69"/>
  <c r="CD16" i="69"/>
  <c r="CC16" i="69"/>
  <c r="CB16" i="69"/>
  <c r="CA16" i="69"/>
  <c r="BZ16" i="69"/>
  <c r="BY16" i="69"/>
  <c r="BX16" i="69"/>
  <c r="BW16" i="69"/>
  <c r="BV16" i="69"/>
  <c r="BU16" i="69"/>
  <c r="BT16" i="69"/>
  <c r="BS16" i="69"/>
  <c r="BR16" i="69"/>
  <c r="BQ16" i="69"/>
  <c r="BP16" i="69"/>
  <c r="BO16" i="69"/>
  <c r="BN16" i="69"/>
  <c r="BM16" i="69"/>
  <c r="BL16" i="69"/>
  <c r="BK16" i="69"/>
  <c r="BJ16" i="69"/>
  <c r="CI16" i="69"/>
  <c r="DD15" i="69"/>
  <c r="DC15" i="69"/>
  <c r="DB15" i="69"/>
  <c r="DA15" i="69"/>
  <c r="CZ15" i="69"/>
  <c r="CY15" i="69"/>
  <c r="CX15" i="69"/>
  <c r="CW15" i="69"/>
  <c r="CV15" i="69"/>
  <c r="CU15" i="69"/>
  <c r="CT15" i="69"/>
  <c r="CS15" i="69"/>
  <c r="CR15" i="69"/>
  <c r="CQ15" i="69"/>
  <c r="CP15" i="69"/>
  <c r="CK15" i="69"/>
  <c r="CE15" i="69"/>
  <c r="CD15" i="69"/>
  <c r="CC15" i="69"/>
  <c r="CB15" i="69"/>
  <c r="CA15" i="69"/>
  <c r="BZ15" i="69"/>
  <c r="BY15" i="69"/>
  <c r="BX15" i="69"/>
  <c r="BW15" i="69"/>
  <c r="BV15" i="69"/>
  <c r="BU15" i="69"/>
  <c r="BT15" i="69"/>
  <c r="BS15" i="69"/>
  <c r="BR15" i="69"/>
  <c r="BQ15" i="69"/>
  <c r="BP15" i="69"/>
  <c r="BO15" i="69"/>
  <c r="BN15" i="69"/>
  <c r="BM15" i="69"/>
  <c r="BL15" i="69"/>
  <c r="BK15" i="69"/>
  <c r="BJ15" i="69"/>
  <c r="CH15" i="69"/>
  <c r="DD14" i="69"/>
  <c r="DC14" i="69"/>
  <c r="DB14" i="69"/>
  <c r="DA14" i="69"/>
  <c r="CZ14" i="69"/>
  <c r="CY14" i="69"/>
  <c r="CX14" i="69"/>
  <c r="CW14" i="69"/>
  <c r="CV14" i="69"/>
  <c r="CU14" i="69"/>
  <c r="CT14" i="69"/>
  <c r="CS14" i="69"/>
  <c r="CR14" i="69"/>
  <c r="CQ14" i="69"/>
  <c r="CP14" i="69"/>
  <c r="CN14" i="69"/>
  <c r="CK14" i="69"/>
  <c r="CF14" i="69"/>
  <c r="CE14" i="69"/>
  <c r="CD14" i="69"/>
  <c r="CC14" i="69"/>
  <c r="CB14" i="69"/>
  <c r="CA14" i="69"/>
  <c r="BZ14" i="69"/>
  <c r="BY14" i="69"/>
  <c r="BX14" i="69"/>
  <c r="BW14" i="69"/>
  <c r="BV14" i="69"/>
  <c r="BU14" i="69"/>
  <c r="BT14" i="69"/>
  <c r="BS14" i="69"/>
  <c r="BR14" i="69"/>
  <c r="BQ14" i="69"/>
  <c r="BP14" i="69"/>
  <c r="BO14" i="69"/>
  <c r="BN14" i="69"/>
  <c r="BM14" i="69"/>
  <c r="BL14" i="69"/>
  <c r="BK14" i="69"/>
  <c r="BJ14" i="69"/>
  <c r="CH14" i="69"/>
  <c r="DD13" i="69"/>
  <c r="DC13" i="69"/>
  <c r="DB13" i="69"/>
  <c r="DA13" i="69"/>
  <c r="CZ13" i="69"/>
  <c r="CY13" i="69"/>
  <c r="CX13" i="69"/>
  <c r="CW13" i="69"/>
  <c r="CV13" i="69"/>
  <c r="CU13" i="69"/>
  <c r="CT13" i="69"/>
  <c r="CS13" i="69"/>
  <c r="CR13" i="69"/>
  <c r="CQ13" i="69"/>
  <c r="CP13" i="69"/>
  <c r="CM13" i="69"/>
  <c r="CK13" i="69"/>
  <c r="CF13" i="69"/>
  <c r="CE13" i="69"/>
  <c r="CD13" i="69"/>
  <c r="CC13" i="69"/>
  <c r="CB13" i="69"/>
  <c r="CA13" i="69"/>
  <c r="BZ13" i="69"/>
  <c r="BY13" i="69"/>
  <c r="BX13" i="69"/>
  <c r="BW13" i="69"/>
  <c r="BV13" i="69"/>
  <c r="BU13" i="69"/>
  <c r="BT13" i="69"/>
  <c r="BS13" i="69"/>
  <c r="BR13" i="69"/>
  <c r="BQ13" i="69"/>
  <c r="BP13" i="69"/>
  <c r="BO13" i="69"/>
  <c r="BN13" i="69"/>
  <c r="BM13" i="69"/>
  <c r="BL13" i="69"/>
  <c r="BK13" i="69"/>
  <c r="BJ13" i="69"/>
  <c r="CH13" i="69"/>
  <c r="DD12" i="69"/>
  <c r="DC12" i="69"/>
  <c r="DB12" i="69"/>
  <c r="DA12" i="69"/>
  <c r="CZ12" i="69"/>
  <c r="CY12" i="69"/>
  <c r="CX12" i="69"/>
  <c r="CW12" i="69"/>
  <c r="CV12" i="69"/>
  <c r="CU12" i="69"/>
  <c r="CT12" i="69"/>
  <c r="CS12" i="69"/>
  <c r="CR12" i="69"/>
  <c r="CQ12" i="69"/>
  <c r="CP12" i="69"/>
  <c r="CM12" i="69"/>
  <c r="CJ12" i="69"/>
  <c r="CF12" i="69"/>
  <c r="CE12" i="69"/>
  <c r="CD12" i="69"/>
  <c r="CC12" i="69"/>
  <c r="CB12" i="69"/>
  <c r="CA12" i="69"/>
  <c r="BZ12" i="69"/>
  <c r="BY12" i="69"/>
  <c r="BX12" i="69"/>
  <c r="BW12" i="69"/>
  <c r="BV12" i="69"/>
  <c r="BU12" i="69"/>
  <c r="BT12" i="69"/>
  <c r="BS12" i="69"/>
  <c r="BR12" i="69"/>
  <c r="BQ12" i="69"/>
  <c r="BP12" i="69"/>
  <c r="BO12" i="69"/>
  <c r="BN12" i="69"/>
  <c r="BM12" i="69"/>
  <c r="BL12" i="69"/>
  <c r="BK12" i="69"/>
  <c r="BJ12" i="69"/>
  <c r="CH12" i="69"/>
  <c r="DD11" i="69"/>
  <c r="DC11" i="69"/>
  <c r="DB11" i="69"/>
  <c r="DA11" i="69"/>
  <c r="CZ11" i="69"/>
  <c r="CY11" i="69"/>
  <c r="CX11" i="69"/>
  <c r="CW11" i="69"/>
  <c r="CV11" i="69"/>
  <c r="CU11" i="69"/>
  <c r="CT11" i="69"/>
  <c r="CS11" i="69"/>
  <c r="CR11" i="69"/>
  <c r="CQ11" i="69"/>
  <c r="CP11" i="69"/>
  <c r="CN11" i="69"/>
  <c r="CM11" i="69"/>
  <c r="CL11" i="69"/>
  <c r="CK11" i="69"/>
  <c r="CJ11" i="69"/>
  <c r="CI11" i="69"/>
  <c r="CF11" i="69"/>
  <c r="CE11" i="69"/>
  <c r="CD11" i="69"/>
  <c r="CC11" i="69"/>
  <c r="CB11" i="69"/>
  <c r="CA11" i="69"/>
  <c r="BZ11" i="69"/>
  <c r="BY11" i="69"/>
  <c r="BX11" i="69"/>
  <c r="BW11" i="69"/>
  <c r="BV11" i="69"/>
  <c r="BU11" i="69"/>
  <c r="BT11" i="69"/>
  <c r="BS11" i="69"/>
  <c r="BR11" i="69"/>
  <c r="BQ11" i="69"/>
  <c r="BP11" i="69"/>
  <c r="BO11" i="69"/>
  <c r="BN11" i="69"/>
  <c r="BM11" i="69"/>
  <c r="BL11" i="69"/>
  <c r="BK11" i="69"/>
  <c r="BJ11" i="69"/>
  <c r="AG18" i="69"/>
  <c r="DD10" i="69"/>
  <c r="DC10" i="69"/>
  <c r="DB10" i="69"/>
  <c r="DA10" i="69"/>
  <c r="CZ10" i="69"/>
  <c r="CY10" i="69"/>
  <c r="CX10" i="69"/>
  <c r="CW10" i="69"/>
  <c r="CV10" i="69"/>
  <c r="CU10" i="69"/>
  <c r="CT10" i="69"/>
  <c r="CS10" i="69"/>
  <c r="CR10" i="69"/>
  <c r="CQ10" i="69"/>
  <c r="CN10" i="69"/>
  <c r="CM10" i="69"/>
  <c r="CL10" i="69"/>
  <c r="CK10" i="69"/>
  <c r="CJ10" i="69"/>
  <c r="CI10" i="69"/>
  <c r="CF10" i="69"/>
  <c r="CE10" i="69"/>
  <c r="CD10" i="69"/>
  <c r="CC10" i="69"/>
  <c r="CB10" i="69"/>
  <c r="CA10" i="69"/>
  <c r="BZ10" i="69"/>
  <c r="BY10" i="69"/>
  <c r="BX10" i="69"/>
  <c r="BW10" i="69"/>
  <c r="BV10" i="69"/>
  <c r="BU10" i="69"/>
  <c r="BT10" i="69"/>
  <c r="BS10" i="69"/>
  <c r="BR10" i="69"/>
  <c r="BQ10" i="69"/>
  <c r="BP10" i="69"/>
  <c r="BO10" i="69"/>
  <c r="BN10" i="69"/>
  <c r="BM10" i="69"/>
  <c r="BL10" i="69"/>
  <c r="BK10" i="69"/>
  <c r="BJ10" i="69"/>
  <c r="CP10" i="69"/>
  <c r="DD9" i="69"/>
  <c r="DC9" i="69"/>
  <c r="DB9" i="69"/>
  <c r="DA9" i="69"/>
  <c r="CZ9" i="69"/>
  <c r="CY9" i="69"/>
  <c r="CX9" i="69"/>
  <c r="CW9" i="69"/>
  <c r="CV9" i="69"/>
  <c r="CU9" i="69"/>
  <c r="CT9" i="69"/>
  <c r="CS9" i="69"/>
  <c r="CR9" i="69"/>
  <c r="CQ9" i="69"/>
  <c r="CN9" i="69"/>
  <c r="CM9" i="69"/>
  <c r="CL9" i="69"/>
  <c r="CK9" i="69"/>
  <c r="CJ9" i="69"/>
  <c r="CI9" i="69"/>
  <c r="CF9" i="69"/>
  <c r="CE9" i="69"/>
  <c r="CD9" i="69"/>
  <c r="CC9" i="69"/>
  <c r="CB9" i="69"/>
  <c r="CA9" i="69"/>
  <c r="BZ9" i="69"/>
  <c r="BY9" i="69"/>
  <c r="BX9" i="69"/>
  <c r="BW9" i="69"/>
  <c r="BV9" i="69"/>
  <c r="BU9" i="69"/>
  <c r="BT9" i="69"/>
  <c r="BS9" i="69"/>
  <c r="BR9" i="69"/>
  <c r="BQ9" i="69"/>
  <c r="BP9" i="69"/>
  <c r="BO9" i="69"/>
  <c r="BN9" i="69"/>
  <c r="BM9" i="69"/>
  <c r="BL9" i="69"/>
  <c r="BK9" i="69"/>
  <c r="BJ9" i="69"/>
  <c r="CP9" i="69"/>
  <c r="DD8" i="69"/>
  <c r="DC8" i="69"/>
  <c r="DB8" i="69"/>
  <c r="DA8" i="69"/>
  <c r="CZ8" i="69"/>
  <c r="CY8" i="69"/>
  <c r="CX8" i="69"/>
  <c r="CW8" i="69"/>
  <c r="CV8" i="69"/>
  <c r="CU8" i="69"/>
  <c r="CT8" i="69"/>
  <c r="CS8" i="69"/>
  <c r="CR8" i="69"/>
  <c r="CQ8" i="69"/>
  <c r="CN8" i="69"/>
  <c r="CM8" i="69"/>
  <c r="CL8" i="69"/>
  <c r="CK8" i="69"/>
  <c r="CJ8" i="69"/>
  <c r="CI8" i="69"/>
  <c r="CF8" i="69"/>
  <c r="CE8" i="69"/>
  <c r="CD8" i="69"/>
  <c r="CC8" i="69"/>
  <c r="CB8" i="69"/>
  <c r="CA8" i="69"/>
  <c r="BZ8" i="69"/>
  <c r="BY8" i="69"/>
  <c r="BX8" i="69"/>
  <c r="BW8" i="69"/>
  <c r="BV8" i="69"/>
  <c r="BU8" i="69"/>
  <c r="BT8" i="69"/>
  <c r="BS8" i="69"/>
  <c r="BR8" i="69"/>
  <c r="BQ8" i="69"/>
  <c r="BP8" i="69"/>
  <c r="BO8" i="69"/>
  <c r="BN8" i="69"/>
  <c r="BM8" i="69"/>
  <c r="BL8" i="69"/>
  <c r="BK8" i="69"/>
  <c r="BJ8" i="69"/>
  <c r="CP8" i="69"/>
  <c r="DD7" i="69"/>
  <c r="DC7" i="69"/>
  <c r="DB7" i="69"/>
  <c r="DA7" i="69"/>
  <c r="CZ7" i="69"/>
  <c r="CY7" i="69"/>
  <c r="CX7" i="69"/>
  <c r="CW7" i="69"/>
  <c r="CV7" i="69"/>
  <c r="CU7" i="69"/>
  <c r="CT7" i="69"/>
  <c r="CS7" i="69"/>
  <c r="CR7" i="69"/>
  <c r="CQ7" i="69"/>
  <c r="CN7" i="69"/>
  <c r="CM7" i="69"/>
  <c r="CL7" i="69"/>
  <c r="CK7" i="69"/>
  <c r="CJ7" i="69"/>
  <c r="CI7" i="69"/>
  <c r="CF7" i="69"/>
  <c r="CE7" i="69"/>
  <c r="CD7" i="69"/>
  <c r="CC7" i="69"/>
  <c r="CB7" i="69"/>
  <c r="CA7" i="69"/>
  <c r="BZ7" i="69"/>
  <c r="BY7" i="69"/>
  <c r="BX7" i="69"/>
  <c r="BW7" i="69"/>
  <c r="BV7" i="69"/>
  <c r="BU7" i="69"/>
  <c r="BT7" i="69"/>
  <c r="BS7" i="69"/>
  <c r="BR7" i="69"/>
  <c r="BQ7" i="69"/>
  <c r="BP7" i="69"/>
  <c r="BO7" i="69"/>
  <c r="BN7" i="69"/>
  <c r="BM7" i="69"/>
  <c r="BL7" i="69"/>
  <c r="BK7" i="69"/>
  <c r="BJ7" i="69"/>
  <c r="CP7" i="69"/>
  <c r="DD6" i="69"/>
  <c r="DC6" i="69"/>
  <c r="DB6" i="69"/>
  <c r="DA6" i="69"/>
  <c r="CZ6" i="69"/>
  <c r="CY6" i="69"/>
  <c r="CX6" i="69"/>
  <c r="CW6" i="69"/>
  <c r="CV6" i="69"/>
  <c r="CU6" i="69"/>
  <c r="CT6" i="69"/>
  <c r="CS6" i="69"/>
  <c r="CR6" i="69"/>
  <c r="CQ6" i="69"/>
  <c r="CN6" i="69"/>
  <c r="CM6" i="69"/>
  <c r="CL6" i="69"/>
  <c r="CK6" i="69"/>
  <c r="CJ6" i="69"/>
  <c r="CI6" i="69"/>
  <c r="CF6" i="69"/>
  <c r="CE6" i="69"/>
  <c r="CD6" i="69"/>
  <c r="CC6" i="69"/>
  <c r="CB6" i="69"/>
  <c r="CA6" i="69"/>
  <c r="BZ6" i="69"/>
  <c r="BY6" i="69"/>
  <c r="BX6" i="69"/>
  <c r="BW6" i="69"/>
  <c r="BV6" i="69"/>
  <c r="BU6" i="69"/>
  <c r="BT6" i="69"/>
  <c r="BS6" i="69"/>
  <c r="BR6" i="69"/>
  <c r="BQ6" i="69"/>
  <c r="BP6" i="69"/>
  <c r="BO6" i="69"/>
  <c r="BN6" i="69"/>
  <c r="BM6" i="69"/>
  <c r="BL6" i="69"/>
  <c r="BK6" i="69"/>
  <c r="BJ6" i="69"/>
  <c r="CP6" i="69"/>
  <c r="DD5" i="69"/>
  <c r="DC5" i="69"/>
  <c r="DB5" i="69"/>
  <c r="DA5" i="69"/>
  <c r="CZ5" i="69"/>
  <c r="CY5" i="69"/>
  <c r="CX5" i="69"/>
  <c r="CW5" i="69"/>
  <c r="CV5" i="69"/>
  <c r="CU5" i="69"/>
  <c r="CT5" i="69"/>
  <c r="CS5" i="69"/>
  <c r="CR5" i="69"/>
  <c r="CQ5" i="69"/>
  <c r="CN5" i="69"/>
  <c r="CM5" i="69"/>
  <c r="CL5" i="69"/>
  <c r="CK5" i="69"/>
  <c r="CJ5" i="69"/>
  <c r="CI5" i="69"/>
  <c r="CF5" i="69"/>
  <c r="CE5" i="69"/>
  <c r="CD5" i="69"/>
  <c r="CC5" i="69"/>
  <c r="CB5" i="69"/>
  <c r="CA5" i="69"/>
  <c r="BZ5" i="69"/>
  <c r="BY5" i="69"/>
  <c r="BX5" i="69"/>
  <c r="BW5" i="69"/>
  <c r="BV5" i="69"/>
  <c r="BU5" i="69"/>
  <c r="BT5" i="69"/>
  <c r="BS5" i="69"/>
  <c r="BR5" i="69"/>
  <c r="BQ5" i="69"/>
  <c r="BP5" i="69"/>
  <c r="BO5" i="69"/>
  <c r="BN5" i="69"/>
  <c r="BM5" i="69"/>
  <c r="BL5" i="69"/>
  <c r="BK5" i="69"/>
  <c r="BJ5" i="69"/>
  <c r="CP5" i="69"/>
  <c r="AG13" i="45"/>
  <c r="AG15" i="45"/>
  <c r="AG14" i="45"/>
  <c r="AH5" i="45"/>
  <c r="AH4" i="63" s="1"/>
  <c r="AG16" i="45"/>
  <c r="AG11" i="45"/>
  <c r="AG12" i="45"/>
  <c r="AG10" i="45"/>
  <c r="AG9" i="45"/>
  <c r="AG8" i="45"/>
  <c r="AG7" i="45"/>
  <c r="AG6" i="45"/>
  <c r="AG14" i="38"/>
  <c r="AG13" i="38"/>
  <c r="AG12" i="38"/>
  <c r="AG11" i="38"/>
  <c r="AH5" i="50"/>
  <c r="AG16" i="50"/>
  <c r="AG15" i="50"/>
  <c r="AG14" i="50"/>
  <c r="AG13" i="50"/>
  <c r="AG12" i="50"/>
  <c r="AG11" i="50"/>
  <c r="AG10" i="50"/>
  <c r="AG9" i="50"/>
  <c r="AG8" i="50"/>
  <c r="AG7" i="50"/>
  <c r="AH7" i="42"/>
  <c r="AH6" i="42"/>
  <c r="AH5" i="42"/>
  <c r="AG16" i="42"/>
  <c r="AG15" i="42"/>
  <c r="AG14" i="42"/>
  <c r="AG13" i="42"/>
  <c r="AG12" i="42"/>
  <c r="AG11" i="42"/>
  <c r="AG10" i="42"/>
  <c r="AG9" i="42"/>
  <c r="AG8" i="42"/>
  <c r="AG7" i="42"/>
  <c r="AG6" i="42"/>
  <c r="AG5" i="42"/>
  <c r="AH8" i="35"/>
  <c r="AH7" i="35"/>
  <c r="AH6" i="35"/>
  <c r="AH5" i="35"/>
  <c r="AG16" i="35"/>
  <c r="AG15" i="35"/>
  <c r="AG14" i="35"/>
  <c r="AG13" i="35"/>
  <c r="AG12" i="35"/>
  <c r="AG11" i="35"/>
  <c r="AG10" i="35"/>
  <c r="AG9" i="35"/>
  <c r="AG8" i="35"/>
  <c r="AG11" i="58"/>
  <c r="AG10" i="58"/>
  <c r="AG9" i="58"/>
  <c r="AG8" i="58"/>
  <c r="AG7" i="58"/>
  <c r="AH8" i="43"/>
  <c r="AH7" i="43"/>
  <c r="AH6" i="43"/>
  <c r="AH5" i="43"/>
  <c r="AG16" i="43"/>
  <c r="AG15" i="43"/>
  <c r="AG14" i="43"/>
  <c r="AG13" i="43"/>
  <c r="AG12" i="43"/>
  <c r="AG11" i="43"/>
  <c r="AG10" i="43"/>
  <c r="AG9" i="43"/>
  <c r="AG8" i="43"/>
  <c r="AG7" i="43"/>
  <c r="AG6" i="43"/>
  <c r="AG5" i="43"/>
  <c r="AG16" i="47"/>
  <c r="AG15" i="63" s="1"/>
  <c r="AG15" i="47"/>
  <c r="AG14" i="63" s="1"/>
  <c r="AG14" i="47"/>
  <c r="AG13" i="47"/>
  <c r="AG12" i="63" s="1"/>
  <c r="AG12" i="47"/>
  <c r="AG11" i="63" s="1"/>
  <c r="AG11" i="47"/>
  <c r="AG10" i="63" s="1"/>
  <c r="AG10" i="47"/>
  <c r="AG9" i="63" s="1"/>
  <c r="AG9" i="47"/>
  <c r="AG8" i="63" s="1"/>
  <c r="AG8" i="47"/>
  <c r="AG7" i="63" s="1"/>
  <c r="AG7" i="47"/>
  <c r="AG6" i="63" s="1"/>
  <c r="AG6" i="47"/>
  <c r="AG5" i="63" s="1"/>
  <c r="AG15" i="36"/>
  <c r="AG14" i="36"/>
  <c r="AG13" i="36"/>
  <c r="AG12" i="36"/>
  <c r="AG11" i="36"/>
  <c r="AG8" i="36"/>
  <c r="AG7" i="36"/>
  <c r="AG6" i="36"/>
  <c r="AG5" i="36"/>
  <c r="AH10" i="52"/>
  <c r="AH9" i="52"/>
  <c r="AH8" i="52"/>
  <c r="AH7" i="52"/>
  <c r="AH6" i="52"/>
  <c r="AH5" i="52"/>
  <c r="AG16" i="52"/>
  <c r="AG15" i="52"/>
  <c r="AG14" i="52"/>
  <c r="AG13" i="52"/>
  <c r="AG12" i="52"/>
  <c r="AG11" i="52"/>
  <c r="AG10" i="52"/>
  <c r="AG9" i="52"/>
  <c r="AG8" i="52"/>
  <c r="AG7" i="52"/>
  <c r="AG6" i="52"/>
  <c r="AG5" i="52"/>
  <c r="AH9" i="46"/>
  <c r="AH8" i="46"/>
  <c r="AH7" i="46"/>
  <c r="AH6" i="46"/>
  <c r="AH5" i="46"/>
  <c r="AG16" i="46"/>
  <c r="AG15" i="46"/>
  <c r="AG14" i="46"/>
  <c r="AG13" i="46"/>
  <c r="AG12" i="46"/>
  <c r="AG11" i="46"/>
  <c r="AG10" i="46"/>
  <c r="AG9" i="46"/>
  <c r="AG8" i="46"/>
  <c r="AG7" i="46"/>
  <c r="AG6" i="46"/>
  <c r="AG5" i="46"/>
  <c r="AH10" i="68"/>
  <c r="AH9" i="68"/>
  <c r="AH8" i="68"/>
  <c r="CO8" i="68" s="1"/>
  <c r="AH5" i="68"/>
  <c r="AG16" i="68"/>
  <c r="CO16" i="68" s="1"/>
  <c r="AG14" i="68"/>
  <c r="CK14" i="68" s="1"/>
  <c r="AH7" i="68"/>
  <c r="CI7" i="68" s="1"/>
  <c r="AH6" i="68"/>
  <c r="AG15" i="68"/>
  <c r="CF15" i="68" s="1"/>
  <c r="CI5" i="68"/>
  <c r="AG12" i="68"/>
  <c r="CF12" i="68" s="1"/>
  <c r="AG11" i="68"/>
  <c r="AG13" i="68"/>
  <c r="CL11" i="68"/>
  <c r="AZ18" i="68"/>
  <c r="AY18" i="68"/>
  <c r="AX18" i="68"/>
  <c r="AW18" i="68"/>
  <c r="AV18" i="68"/>
  <c r="AU18" i="68"/>
  <c r="AT18" i="68"/>
  <c r="AS18" i="68"/>
  <c r="AR18" i="68"/>
  <c r="AQ18" i="68"/>
  <c r="AP18" i="68"/>
  <c r="AO18" i="68"/>
  <c r="AN18" i="68"/>
  <c r="AM18" i="68"/>
  <c r="AL18" i="68"/>
  <c r="AK18" i="68"/>
  <c r="AJ18" i="68"/>
  <c r="AI18" i="68"/>
  <c r="AF18" i="68"/>
  <c r="AE18" i="68"/>
  <c r="AD18" i="68"/>
  <c r="AC18" i="68"/>
  <c r="AB18" i="68"/>
  <c r="AA18" i="68"/>
  <c r="Z18" i="68"/>
  <c r="Y18" i="68"/>
  <c r="X18" i="68"/>
  <c r="W18" i="68"/>
  <c r="V18" i="68"/>
  <c r="U18" i="68"/>
  <c r="T18" i="68"/>
  <c r="S18" i="68"/>
  <c r="R18" i="68"/>
  <c r="Q18" i="68"/>
  <c r="P18" i="68"/>
  <c r="O18" i="68"/>
  <c r="N18" i="68"/>
  <c r="M18" i="68"/>
  <c r="L18" i="68"/>
  <c r="K18" i="68"/>
  <c r="J18" i="68"/>
  <c r="I18" i="68"/>
  <c r="H18" i="68"/>
  <c r="G18" i="68"/>
  <c r="F18" i="68"/>
  <c r="E18" i="68"/>
  <c r="D18" i="68"/>
  <c r="C18" i="68"/>
  <c r="B18" i="68"/>
  <c r="DD16" i="68"/>
  <c r="DC16" i="68"/>
  <c r="DB16" i="68"/>
  <c r="DA16" i="68"/>
  <c r="CZ16" i="68"/>
  <c r="CY16" i="68"/>
  <c r="CX16" i="68"/>
  <c r="CW16" i="68"/>
  <c r="CV16" i="68"/>
  <c r="CU16" i="68"/>
  <c r="CT16" i="68"/>
  <c r="CS16" i="68"/>
  <c r="CR16" i="68"/>
  <c r="CQ16" i="68"/>
  <c r="CP16" i="68"/>
  <c r="CN16" i="68"/>
  <c r="CK16" i="68"/>
  <c r="CH16" i="68"/>
  <c r="CG16" i="68"/>
  <c r="CF16" i="68"/>
  <c r="CE16" i="68"/>
  <c r="CD16" i="68"/>
  <c r="CC16" i="68"/>
  <c r="CB16" i="68"/>
  <c r="CA16" i="68"/>
  <c r="BZ16" i="68"/>
  <c r="BY16" i="68"/>
  <c r="BX16" i="68"/>
  <c r="BW16" i="68"/>
  <c r="BV16" i="68"/>
  <c r="BU16" i="68"/>
  <c r="BT16" i="68"/>
  <c r="BS16" i="68"/>
  <c r="BR16" i="68"/>
  <c r="BQ16" i="68"/>
  <c r="BP16" i="68"/>
  <c r="BO16" i="68"/>
  <c r="BN16" i="68"/>
  <c r="BM16" i="68"/>
  <c r="BL16" i="68"/>
  <c r="BK16" i="68"/>
  <c r="BJ16" i="68"/>
  <c r="DD15" i="68"/>
  <c r="DC15" i="68"/>
  <c r="DB15" i="68"/>
  <c r="DA15" i="68"/>
  <c r="CZ15" i="68"/>
  <c r="CY15" i="68"/>
  <c r="CX15" i="68"/>
  <c r="CW15" i="68"/>
  <c r="CV15" i="68"/>
  <c r="CU15" i="68"/>
  <c r="CT15" i="68"/>
  <c r="CS15" i="68"/>
  <c r="CR15" i="68"/>
  <c r="CQ15" i="68"/>
  <c r="CP15" i="68"/>
  <c r="CL15" i="68"/>
  <c r="CE15" i="68"/>
  <c r="CD15" i="68"/>
  <c r="CC15" i="68"/>
  <c r="CB15" i="68"/>
  <c r="CA15" i="68"/>
  <c r="BZ15" i="68"/>
  <c r="BY15" i="68"/>
  <c r="BX15" i="68"/>
  <c r="BW15" i="68"/>
  <c r="BV15" i="68"/>
  <c r="BU15" i="68"/>
  <c r="BT15" i="68"/>
  <c r="BS15" i="68"/>
  <c r="BR15" i="68"/>
  <c r="BQ15" i="68"/>
  <c r="BP15" i="68"/>
  <c r="BO15" i="68"/>
  <c r="BN15" i="68"/>
  <c r="BM15" i="68"/>
  <c r="BL15" i="68"/>
  <c r="BK15" i="68"/>
  <c r="BJ15" i="68"/>
  <c r="DD14" i="68"/>
  <c r="DC14" i="68"/>
  <c r="DB14" i="68"/>
  <c r="DA14" i="68"/>
  <c r="CZ14" i="68"/>
  <c r="CY14" i="68"/>
  <c r="CX14" i="68"/>
  <c r="CW14" i="68"/>
  <c r="CV14" i="68"/>
  <c r="CU14" i="68"/>
  <c r="CT14" i="68"/>
  <c r="CS14" i="68"/>
  <c r="CR14" i="68"/>
  <c r="CQ14" i="68"/>
  <c r="CP14" i="68"/>
  <c r="CE14" i="68"/>
  <c r="CD14" i="68"/>
  <c r="CC14" i="68"/>
  <c r="CB14" i="68"/>
  <c r="CA14" i="68"/>
  <c r="BZ14" i="68"/>
  <c r="BY14" i="68"/>
  <c r="BX14" i="68"/>
  <c r="BW14" i="68"/>
  <c r="BV14" i="68"/>
  <c r="BU14" i="68"/>
  <c r="BT14" i="68"/>
  <c r="BS14" i="68"/>
  <c r="BR14" i="68"/>
  <c r="BQ14" i="68"/>
  <c r="BP14" i="68"/>
  <c r="BO14" i="68"/>
  <c r="BN14" i="68"/>
  <c r="BM14" i="68"/>
  <c r="BL14" i="68"/>
  <c r="BK14" i="68"/>
  <c r="BJ14" i="68"/>
  <c r="DD13" i="68"/>
  <c r="DC13" i="68"/>
  <c r="DB13" i="68"/>
  <c r="DA13" i="68"/>
  <c r="CZ13" i="68"/>
  <c r="CY13" i="68"/>
  <c r="CX13" i="68"/>
  <c r="CW13" i="68"/>
  <c r="CV13" i="68"/>
  <c r="CU13" i="68"/>
  <c r="CT13" i="68"/>
  <c r="CS13" i="68"/>
  <c r="CR13" i="68"/>
  <c r="CQ13" i="68"/>
  <c r="CP13" i="68"/>
  <c r="CO13" i="68"/>
  <c r="CN13" i="68"/>
  <c r="CM13" i="68"/>
  <c r="CL13" i="68"/>
  <c r="CK13" i="68"/>
  <c r="CJ13" i="68"/>
  <c r="CI13" i="68"/>
  <c r="CH13" i="68"/>
  <c r="CG13" i="68"/>
  <c r="CF13" i="68"/>
  <c r="CE13" i="68"/>
  <c r="CD13" i="68"/>
  <c r="CC13" i="68"/>
  <c r="CB13" i="68"/>
  <c r="CA13" i="68"/>
  <c r="BZ13" i="68"/>
  <c r="BY13" i="68"/>
  <c r="BX13" i="68"/>
  <c r="BW13" i="68"/>
  <c r="BV13" i="68"/>
  <c r="BU13" i="68"/>
  <c r="BT13" i="68"/>
  <c r="BS13" i="68"/>
  <c r="BR13" i="68"/>
  <c r="BQ13" i="68"/>
  <c r="BP13" i="68"/>
  <c r="BO13" i="68"/>
  <c r="BN13" i="68"/>
  <c r="BM13" i="68"/>
  <c r="BL13" i="68"/>
  <c r="BK13" i="68"/>
  <c r="BJ13" i="68"/>
  <c r="DD12" i="68"/>
  <c r="DC12" i="68"/>
  <c r="DB12" i="68"/>
  <c r="DA12" i="68"/>
  <c r="CZ12" i="68"/>
  <c r="CY12" i="68"/>
  <c r="CX12" i="68"/>
  <c r="CW12" i="68"/>
  <c r="CV12" i="68"/>
  <c r="CU12" i="68"/>
  <c r="CT12" i="68"/>
  <c r="CS12" i="68"/>
  <c r="CR12" i="68"/>
  <c r="CQ12" i="68"/>
  <c r="CP12" i="68"/>
  <c r="CO12" i="68"/>
  <c r="CM12" i="68"/>
  <c r="CK12" i="68"/>
  <c r="CH12" i="68"/>
  <c r="CG12" i="68"/>
  <c r="CE12" i="68"/>
  <c r="CD12" i="68"/>
  <c r="CC12" i="68"/>
  <c r="CB12" i="68"/>
  <c r="CA12" i="68"/>
  <c r="BZ12" i="68"/>
  <c r="BY12" i="68"/>
  <c r="BX12" i="68"/>
  <c r="BW12" i="68"/>
  <c r="BV12" i="68"/>
  <c r="BU12" i="68"/>
  <c r="BT12" i="68"/>
  <c r="BS12" i="68"/>
  <c r="BR12" i="68"/>
  <c r="BQ12" i="68"/>
  <c r="BP12" i="68"/>
  <c r="BO12" i="68"/>
  <c r="BN12" i="68"/>
  <c r="BM12" i="68"/>
  <c r="BL12" i="68"/>
  <c r="BK12" i="68"/>
  <c r="BJ12" i="68"/>
  <c r="DD11" i="68"/>
  <c r="DC11" i="68"/>
  <c r="DB11" i="68"/>
  <c r="DA11" i="68"/>
  <c r="CZ11" i="68"/>
  <c r="CY11" i="68"/>
  <c r="CX11" i="68"/>
  <c r="CW11" i="68"/>
  <c r="CV11" i="68"/>
  <c r="CU11" i="68"/>
  <c r="CT11" i="68"/>
  <c r="CS11" i="68"/>
  <c r="CR11" i="68"/>
  <c r="CQ11" i="68"/>
  <c r="CP11" i="68"/>
  <c r="CO11" i="68"/>
  <c r="CN11" i="68"/>
  <c r="CM11" i="68"/>
  <c r="CG11" i="68"/>
  <c r="CF11" i="68"/>
  <c r="CE11" i="68"/>
  <c r="CD11" i="68"/>
  <c r="CC11" i="68"/>
  <c r="CB11" i="68"/>
  <c r="CA11" i="68"/>
  <c r="BZ11" i="68"/>
  <c r="BY11" i="68"/>
  <c r="BX11" i="68"/>
  <c r="BW11" i="68"/>
  <c r="BV11" i="68"/>
  <c r="BU11" i="68"/>
  <c r="BT11" i="68"/>
  <c r="BS11" i="68"/>
  <c r="BR11" i="68"/>
  <c r="BQ11" i="68"/>
  <c r="BP11" i="68"/>
  <c r="BO11" i="68"/>
  <c r="BN11" i="68"/>
  <c r="BM11" i="68"/>
  <c r="BL11" i="68"/>
  <c r="BK11" i="68"/>
  <c r="BJ11" i="68"/>
  <c r="DD10" i="68"/>
  <c r="DC10" i="68"/>
  <c r="DB10" i="68"/>
  <c r="DA10" i="68"/>
  <c r="CZ10" i="68"/>
  <c r="CY10" i="68"/>
  <c r="CX10" i="68"/>
  <c r="CW10" i="68"/>
  <c r="CV10" i="68"/>
  <c r="CU10" i="68"/>
  <c r="CT10" i="68"/>
  <c r="CS10" i="68"/>
  <c r="CR10" i="68"/>
  <c r="CQ10" i="68"/>
  <c r="CP10" i="68"/>
  <c r="CO10" i="68"/>
  <c r="CN10" i="68"/>
  <c r="CM10" i="68"/>
  <c r="CL10" i="68"/>
  <c r="CK10" i="68"/>
  <c r="CJ10" i="68"/>
  <c r="CI10" i="68"/>
  <c r="CH10" i="68"/>
  <c r="CG10" i="68"/>
  <c r="CF10" i="68"/>
  <c r="CE10" i="68"/>
  <c r="CD10" i="68"/>
  <c r="CC10" i="68"/>
  <c r="CB10" i="68"/>
  <c r="CA10" i="68"/>
  <c r="BZ10" i="68"/>
  <c r="BY10" i="68"/>
  <c r="BX10" i="68"/>
  <c r="BW10" i="68"/>
  <c r="BV10" i="68"/>
  <c r="BU10" i="68"/>
  <c r="BT10" i="68"/>
  <c r="BS10" i="68"/>
  <c r="BR10" i="68"/>
  <c r="BQ10" i="68"/>
  <c r="BP10" i="68"/>
  <c r="BO10" i="68"/>
  <c r="BN10" i="68"/>
  <c r="BM10" i="68"/>
  <c r="BL10" i="68"/>
  <c r="BK10" i="68"/>
  <c r="BJ10" i="68"/>
  <c r="DD9" i="68"/>
  <c r="DC9" i="68"/>
  <c r="DB9" i="68"/>
  <c r="DA9" i="68"/>
  <c r="CZ9" i="68"/>
  <c r="CY9" i="68"/>
  <c r="CX9" i="68"/>
  <c r="CW9" i="68"/>
  <c r="CV9" i="68"/>
  <c r="CU9" i="68"/>
  <c r="CT9" i="68"/>
  <c r="CS9" i="68"/>
  <c r="CR9" i="68"/>
  <c r="CQ9" i="68"/>
  <c r="CP9" i="68"/>
  <c r="CO9" i="68"/>
  <c r="CN9" i="68"/>
  <c r="CM9" i="68"/>
  <c r="CL9" i="68"/>
  <c r="CK9" i="68"/>
  <c r="CJ9" i="68"/>
  <c r="CI9" i="68"/>
  <c r="CH9" i="68"/>
  <c r="CG9" i="68"/>
  <c r="CF9" i="68"/>
  <c r="CE9" i="68"/>
  <c r="CD9" i="68"/>
  <c r="CC9" i="68"/>
  <c r="CB9" i="68"/>
  <c r="CA9" i="68"/>
  <c r="BZ9" i="68"/>
  <c r="BY9" i="68"/>
  <c r="BX9" i="68"/>
  <c r="BW9" i="68"/>
  <c r="BV9" i="68"/>
  <c r="BU9" i="68"/>
  <c r="BT9" i="68"/>
  <c r="BS9" i="68"/>
  <c r="BR9" i="68"/>
  <c r="BQ9" i="68"/>
  <c r="BP9" i="68"/>
  <c r="BO9" i="68"/>
  <c r="BN9" i="68"/>
  <c r="BM9" i="68"/>
  <c r="BL9" i="68"/>
  <c r="BK9" i="68"/>
  <c r="BJ9" i="68"/>
  <c r="DD8" i="68"/>
  <c r="DC8" i="68"/>
  <c r="DB8" i="68"/>
  <c r="DA8" i="68"/>
  <c r="CZ8" i="68"/>
  <c r="CY8" i="68"/>
  <c r="CX8" i="68"/>
  <c r="CW8" i="68"/>
  <c r="CV8" i="68"/>
  <c r="CU8" i="68"/>
  <c r="CT8" i="68"/>
  <c r="CS8" i="68"/>
  <c r="CR8" i="68"/>
  <c r="CQ8" i="68"/>
  <c r="CP8" i="68"/>
  <c r="CM8" i="68"/>
  <c r="CL8" i="68"/>
  <c r="CI8" i="68"/>
  <c r="CH8" i="68"/>
  <c r="CF8" i="68"/>
  <c r="CE8" i="68"/>
  <c r="CD8" i="68"/>
  <c r="CC8" i="68"/>
  <c r="CB8" i="68"/>
  <c r="CA8" i="68"/>
  <c r="BZ8" i="68"/>
  <c r="BY8" i="68"/>
  <c r="BX8" i="68"/>
  <c r="BW8" i="68"/>
  <c r="BV8" i="68"/>
  <c r="BU8" i="68"/>
  <c r="BT8" i="68"/>
  <c r="BS8" i="68"/>
  <c r="BR8" i="68"/>
  <c r="BQ8" i="68"/>
  <c r="BP8" i="68"/>
  <c r="BO8" i="68"/>
  <c r="BN8" i="68"/>
  <c r="BM8" i="68"/>
  <c r="BL8" i="68"/>
  <c r="BK8" i="68"/>
  <c r="BJ8" i="68"/>
  <c r="DD7" i="68"/>
  <c r="DC7" i="68"/>
  <c r="DB7" i="68"/>
  <c r="DA7" i="68"/>
  <c r="CZ7" i="68"/>
  <c r="CY7" i="68"/>
  <c r="CX7" i="68"/>
  <c r="CW7" i="68"/>
  <c r="CV7" i="68"/>
  <c r="CU7" i="68"/>
  <c r="CT7" i="68"/>
  <c r="CS7" i="68"/>
  <c r="CR7" i="68"/>
  <c r="CQ7" i="68"/>
  <c r="CO7" i="68"/>
  <c r="CN7" i="68"/>
  <c r="CK7" i="68"/>
  <c r="CJ7" i="68"/>
  <c r="CG7" i="68"/>
  <c r="CF7" i="68"/>
  <c r="CE7" i="68"/>
  <c r="CD7" i="68"/>
  <c r="CC7" i="68"/>
  <c r="CB7" i="68"/>
  <c r="CA7" i="68"/>
  <c r="BZ7" i="68"/>
  <c r="BY7" i="68"/>
  <c r="BX7" i="68"/>
  <c r="BW7" i="68"/>
  <c r="BV7" i="68"/>
  <c r="BU7" i="68"/>
  <c r="BT7" i="68"/>
  <c r="BS7" i="68"/>
  <c r="BR7" i="68"/>
  <c r="BQ7" i="68"/>
  <c r="BP7" i="68"/>
  <c r="BO7" i="68"/>
  <c r="BN7" i="68"/>
  <c r="BM7" i="68"/>
  <c r="BL7" i="68"/>
  <c r="BK7" i="68"/>
  <c r="BJ7" i="68"/>
  <c r="DD6" i="68"/>
  <c r="DC6" i="68"/>
  <c r="DB6" i="68"/>
  <c r="DA6" i="68"/>
  <c r="CZ6" i="68"/>
  <c r="CY6" i="68"/>
  <c r="CX6" i="68"/>
  <c r="CW6" i="68"/>
  <c r="CV6" i="68"/>
  <c r="CU6" i="68"/>
  <c r="CT6" i="68"/>
  <c r="CS6" i="68"/>
  <c r="CR6" i="68"/>
  <c r="CQ6" i="68"/>
  <c r="CP6" i="68"/>
  <c r="CO6" i="68"/>
  <c r="CN6" i="68"/>
  <c r="CM6" i="68"/>
  <c r="CL6" i="68"/>
  <c r="CK6" i="68"/>
  <c r="CJ6" i="68"/>
  <c r="CI6" i="68"/>
  <c r="CH6" i="68"/>
  <c r="CG6" i="68"/>
  <c r="CF6" i="68"/>
  <c r="CE6" i="68"/>
  <c r="CD6" i="68"/>
  <c r="CC6" i="68"/>
  <c r="CB6" i="68"/>
  <c r="CA6" i="68"/>
  <c r="BZ6" i="68"/>
  <c r="BY6" i="68"/>
  <c r="BX6" i="68"/>
  <c r="BW6" i="68"/>
  <c r="BV6" i="68"/>
  <c r="BU6" i="68"/>
  <c r="BT6" i="68"/>
  <c r="BS6" i="68"/>
  <c r="BR6" i="68"/>
  <c r="BQ6" i="68"/>
  <c r="BP6" i="68"/>
  <c r="BO6" i="68"/>
  <c r="BN6" i="68"/>
  <c r="BM6" i="68"/>
  <c r="BL6" i="68"/>
  <c r="BK6" i="68"/>
  <c r="BJ6" i="68"/>
  <c r="DD5" i="68"/>
  <c r="DC5" i="68"/>
  <c r="DB5" i="68"/>
  <c r="DA5" i="68"/>
  <c r="CZ5" i="68"/>
  <c r="CY5" i="68"/>
  <c r="CX5" i="68"/>
  <c r="CW5" i="68"/>
  <c r="CV5" i="68"/>
  <c r="CU5" i="68"/>
  <c r="CT5" i="68"/>
  <c r="CS5" i="68"/>
  <c r="CR5" i="68"/>
  <c r="CQ5" i="68"/>
  <c r="CK5" i="68"/>
  <c r="CJ5" i="68"/>
  <c r="CH5" i="68"/>
  <c r="CF5" i="68"/>
  <c r="CE5" i="68"/>
  <c r="CD5" i="68"/>
  <c r="CC5" i="68"/>
  <c r="CB5" i="68"/>
  <c r="CA5" i="68"/>
  <c r="BZ5" i="68"/>
  <c r="BY5" i="68"/>
  <c r="BX5" i="68"/>
  <c r="BW5" i="68"/>
  <c r="BV5" i="68"/>
  <c r="BU5" i="68"/>
  <c r="BT5" i="68"/>
  <c r="BS5" i="68"/>
  <c r="BR5" i="68"/>
  <c r="BQ5" i="68"/>
  <c r="BP5" i="68"/>
  <c r="BO5" i="68"/>
  <c r="BN5" i="68"/>
  <c r="BM5" i="68"/>
  <c r="BL5" i="68"/>
  <c r="BK5" i="68"/>
  <c r="BJ5" i="68"/>
  <c r="AH8" i="31"/>
  <c r="AH7" i="31"/>
  <c r="AH6" i="31"/>
  <c r="AH5" i="31"/>
  <c r="AG16" i="31"/>
  <c r="AG15" i="31"/>
  <c r="AG14" i="31"/>
  <c r="AG13" i="31"/>
  <c r="AG12" i="31"/>
  <c r="AG11" i="31"/>
  <c r="AG10" i="31"/>
  <c r="AG9" i="31"/>
  <c r="AG8" i="31"/>
  <c r="AG7" i="31"/>
  <c r="AG6" i="31"/>
  <c r="AG5" i="31"/>
  <c r="AG14" i="51"/>
  <c r="AG13" i="51"/>
  <c r="AH7" i="51"/>
  <c r="AH6" i="51"/>
  <c r="AH5" i="51"/>
  <c r="AG16" i="51"/>
  <c r="AG15" i="51"/>
  <c r="AG12" i="51"/>
  <c r="AG11" i="51"/>
  <c r="AG10" i="51"/>
  <c r="AG9" i="51"/>
  <c r="AG8" i="51"/>
  <c r="AG7" i="51"/>
  <c r="AG6" i="51"/>
  <c r="AG5" i="51"/>
  <c r="AG11" i="49"/>
  <c r="AG10" i="49"/>
  <c r="AG9" i="49"/>
  <c r="AG8" i="49"/>
  <c r="AG7" i="49"/>
  <c r="AG6" i="49"/>
  <c r="AG5" i="49"/>
  <c r="AH7" i="53"/>
  <c r="AH6" i="53"/>
  <c r="AH5" i="53"/>
  <c r="AG16" i="53"/>
  <c r="AG14" i="53"/>
  <c r="AG15" i="53"/>
  <c r="AG13" i="53"/>
  <c r="AG12" i="53"/>
  <c r="AG11" i="53"/>
  <c r="AG7" i="53"/>
  <c r="AF18" i="58"/>
  <c r="AH17" i="63" l="1"/>
  <c r="AG13" i="63"/>
  <c r="CB18" i="73"/>
  <c r="CJ11" i="70"/>
  <c r="CK11" i="70"/>
  <c r="CO11" i="70"/>
  <c r="CK8" i="70"/>
  <c r="CM8" i="70"/>
  <c r="CP8" i="70"/>
  <c r="CK7" i="70"/>
  <c r="CL7" i="70"/>
  <c r="CM7" i="70"/>
  <c r="CN7" i="70"/>
  <c r="CH7" i="70"/>
  <c r="CP7" i="70"/>
  <c r="CG10" i="70"/>
  <c r="CI10" i="70"/>
  <c r="CJ10" i="70"/>
  <c r="CL10" i="70"/>
  <c r="CM10" i="70"/>
  <c r="CN10" i="70"/>
  <c r="CP9" i="70"/>
  <c r="CH9" i="70"/>
  <c r="CM9" i="70"/>
  <c r="CN8" i="70"/>
  <c r="CI8" i="70"/>
  <c r="CJ8" i="70"/>
  <c r="CH10" i="70"/>
  <c r="CP10" i="70"/>
  <c r="CI9" i="70"/>
  <c r="CJ9" i="70"/>
  <c r="CL9" i="70"/>
  <c r="CL6" i="70"/>
  <c r="CL15" i="70"/>
  <c r="CN14" i="70"/>
  <c r="CM14" i="70"/>
  <c r="CO13" i="70"/>
  <c r="CH13" i="70"/>
  <c r="CJ12" i="70"/>
  <c r="CK12" i="70"/>
  <c r="CI13" i="70"/>
  <c r="CG14" i="70"/>
  <c r="CO14" i="70"/>
  <c r="CM15" i="70"/>
  <c r="CK16" i="70"/>
  <c r="CL12" i="70"/>
  <c r="CJ13" i="70"/>
  <c r="CH14" i="70"/>
  <c r="CF15" i="70"/>
  <c r="CN15" i="70"/>
  <c r="CL16" i="70"/>
  <c r="CM12" i="70"/>
  <c r="CK13" i="70"/>
  <c r="CI14" i="70"/>
  <c r="CG15" i="70"/>
  <c r="CO15" i="70"/>
  <c r="CM16" i="70"/>
  <c r="CF12" i="70"/>
  <c r="CN12" i="70"/>
  <c r="CL13" i="70"/>
  <c r="CJ14" i="70"/>
  <c r="CH15" i="70"/>
  <c r="CF16" i="70"/>
  <c r="CN16" i="70"/>
  <c r="CG12" i="70"/>
  <c r="CO12" i="70"/>
  <c r="CM13" i="70"/>
  <c r="CK14" i="70"/>
  <c r="CI15" i="70"/>
  <c r="CG16" i="70"/>
  <c r="CO16" i="70"/>
  <c r="CH12" i="70"/>
  <c r="CF13" i="70"/>
  <c r="CN13" i="70"/>
  <c r="CL14" i="70"/>
  <c r="CJ15" i="70"/>
  <c r="CH16" i="70"/>
  <c r="CG13" i="70"/>
  <c r="BY18" i="70"/>
  <c r="BZ18" i="70"/>
  <c r="CA18" i="70"/>
  <c r="CC18" i="70"/>
  <c r="CB18" i="70"/>
  <c r="BY18" i="57"/>
  <c r="CK12" i="69"/>
  <c r="CN13" i="69"/>
  <c r="CI14" i="69"/>
  <c r="CL15" i="69"/>
  <c r="CL12" i="69"/>
  <c r="CJ14" i="69"/>
  <c r="CM15" i="69"/>
  <c r="CF16" i="69"/>
  <c r="CN15" i="69"/>
  <c r="CJ16" i="69"/>
  <c r="CN12" i="69"/>
  <c r="CI13" i="69"/>
  <c r="CL14" i="69"/>
  <c r="CK16" i="69"/>
  <c r="CJ13" i="69"/>
  <c r="CM14" i="69"/>
  <c r="CF15" i="69"/>
  <c r="CL16" i="69"/>
  <c r="CI15" i="69"/>
  <c r="CM16" i="69"/>
  <c r="CI12" i="69"/>
  <c r="CL13" i="69"/>
  <c r="CJ15" i="69"/>
  <c r="CN16" i="69"/>
  <c r="CA18" i="69"/>
  <c r="CC18" i="69"/>
  <c r="BY18" i="69"/>
  <c r="BZ18" i="69"/>
  <c r="CG5" i="69"/>
  <c r="CO5" i="69"/>
  <c r="CG6" i="69"/>
  <c r="CO6" i="69"/>
  <c r="CG7" i="69"/>
  <c r="CO7" i="69"/>
  <c r="CG8" i="69"/>
  <c r="CO8" i="69"/>
  <c r="CG9" i="69"/>
  <c r="CO9" i="69"/>
  <c r="CG10" i="69"/>
  <c r="CO10" i="69"/>
  <c r="CG11" i="69"/>
  <c r="CO11" i="69"/>
  <c r="CG12" i="69"/>
  <c r="CO12" i="69"/>
  <c r="CG13" i="69"/>
  <c r="CO13" i="69"/>
  <c r="CG14" i="69"/>
  <c r="CO14" i="69"/>
  <c r="CG15" i="69"/>
  <c r="CO15" i="69"/>
  <c r="CG16" i="69"/>
  <c r="CO16" i="69"/>
  <c r="AH18" i="69"/>
  <c r="CH5" i="69"/>
  <c r="CH6" i="69"/>
  <c r="CH7" i="69"/>
  <c r="CH8" i="69"/>
  <c r="CH9" i="69"/>
  <c r="CH10" i="69"/>
  <c r="CH11" i="69"/>
  <c r="CH16" i="69"/>
  <c r="CB18" i="69"/>
  <c r="CJ8" i="68"/>
  <c r="CK8" i="68"/>
  <c r="CN8" i="68"/>
  <c r="CG8" i="68"/>
  <c r="CJ16" i="68"/>
  <c r="CM16" i="68"/>
  <c r="CH14" i="68"/>
  <c r="CL14" i="68"/>
  <c r="CL7" i="68"/>
  <c r="CM7" i="68"/>
  <c r="CH7" i="68"/>
  <c r="CP7" i="68"/>
  <c r="CM15" i="68"/>
  <c r="CK15" i="68"/>
  <c r="CN15" i="68"/>
  <c r="CL5" i="68"/>
  <c r="CM5" i="68"/>
  <c r="CN5" i="68"/>
  <c r="CG5" i="68"/>
  <c r="CO5" i="68"/>
  <c r="CP5" i="68"/>
  <c r="AH18" i="68"/>
  <c r="CF14" i="68"/>
  <c r="CN14" i="68"/>
  <c r="CM14" i="68"/>
  <c r="CG14" i="68"/>
  <c r="CO14" i="68"/>
  <c r="CJ14" i="68"/>
  <c r="CI14" i="68"/>
  <c r="CI16" i="68"/>
  <c r="CL16" i="68"/>
  <c r="CN12" i="68"/>
  <c r="CL12" i="68"/>
  <c r="CG15" i="68"/>
  <c r="CO15" i="68"/>
  <c r="CH15" i="68"/>
  <c r="CI15" i="68"/>
  <c r="CJ15" i="68"/>
  <c r="CI12" i="68"/>
  <c r="CJ12" i="68"/>
  <c r="CH11" i="68"/>
  <c r="CI11" i="68"/>
  <c r="AG18" i="68"/>
  <c r="CJ11" i="68"/>
  <c r="CK11" i="68"/>
  <c r="BZ18" i="68"/>
  <c r="CC18" i="68"/>
  <c r="BY18" i="68"/>
  <c r="CA18" i="68"/>
  <c r="CB18" i="68"/>
  <c r="AE12" i="63"/>
  <c r="AE13" i="63"/>
  <c r="AE14" i="38"/>
  <c r="AE15" i="38"/>
  <c r="AE16" i="38"/>
  <c r="AE13" i="38"/>
  <c r="AE16" i="48"/>
  <c r="AD6" i="34"/>
  <c r="AD7" i="34"/>
  <c r="AD5" i="34"/>
  <c r="AE16" i="36"/>
  <c r="AE8" i="36"/>
  <c r="AE9" i="36"/>
  <c r="AE10" i="36"/>
  <c r="AE11" i="36"/>
  <c r="AE12" i="36"/>
  <c r="AE13" i="36"/>
  <c r="AE14" i="36"/>
  <c r="AE15" i="36"/>
  <c r="AE7" i="36"/>
  <c r="AE6" i="36"/>
  <c r="AE5" i="36"/>
  <c r="AD6" i="36"/>
  <c r="AD7" i="36"/>
  <c r="AD5" i="36"/>
  <c r="DE18" i="60" l="1"/>
  <c r="DN18" i="59"/>
  <c r="CN20" i="63" l="1"/>
  <c r="CO20" i="63"/>
  <c r="CP20" i="63"/>
  <c r="CQ20" i="63"/>
  <c r="CR20" i="63"/>
  <c r="CS20" i="63"/>
  <c r="CT20" i="63"/>
  <c r="CU20" i="63"/>
  <c r="CV20" i="63"/>
  <c r="CW20" i="63"/>
  <c r="CX20" i="63"/>
  <c r="CY20" i="63"/>
  <c r="CY19" i="63"/>
  <c r="CX19" i="63"/>
  <c r="CW19" i="63"/>
  <c r="CV19" i="63"/>
  <c r="CU19" i="63"/>
  <c r="CT19" i="63"/>
  <c r="CS19" i="63"/>
  <c r="CR19" i="63"/>
  <c r="CQ19" i="63"/>
  <c r="CP19" i="63"/>
  <c r="CO19" i="63"/>
  <c r="CN19" i="63"/>
  <c r="BJ21" i="64" l="1"/>
  <c r="BK21" i="64"/>
  <c r="BL21" i="64"/>
  <c r="BM21" i="64"/>
  <c r="BN21" i="64"/>
  <c r="BO21" i="64"/>
  <c r="BP21" i="64"/>
  <c r="BQ21" i="64"/>
  <c r="BR21" i="64"/>
  <c r="BS21" i="64"/>
  <c r="BK23" i="65"/>
  <c r="BJ23" i="65"/>
  <c r="BK14" i="65"/>
  <c r="BJ14" i="65"/>
  <c r="AZ15" i="63"/>
  <c r="AZ13" i="63"/>
  <c r="AZ11" i="63"/>
  <c r="AZ9" i="63"/>
  <c r="AZ10" i="63"/>
  <c r="AZ7" i="63"/>
  <c r="AZ5" i="63"/>
  <c r="AZ6" i="63"/>
  <c r="AZ8" i="63"/>
  <c r="AZ12" i="63"/>
  <c r="AZ14" i="63"/>
  <c r="AD15" i="63"/>
  <c r="AE15" i="63"/>
  <c r="AD14" i="63"/>
  <c r="AE14" i="63"/>
  <c r="AD13" i="63"/>
  <c r="AD12" i="63"/>
  <c r="AD11" i="63"/>
  <c r="AE11" i="63"/>
  <c r="AD10" i="63"/>
  <c r="AE10" i="63"/>
  <c r="AD9" i="63"/>
  <c r="AE9" i="63"/>
  <c r="AD8" i="63"/>
  <c r="AE8" i="63"/>
  <c r="AD7" i="63"/>
  <c r="AE7" i="63"/>
  <c r="AD6" i="63"/>
  <c r="AE6" i="63"/>
  <c r="AD5" i="63"/>
  <c r="AE5" i="63"/>
  <c r="AZ4" i="63"/>
  <c r="AE4" i="63"/>
  <c r="AD4" i="63"/>
  <c r="AF8" i="65"/>
  <c r="AG8" i="65"/>
  <c r="AH8" i="65"/>
  <c r="AI8" i="65"/>
  <c r="AJ8" i="65"/>
  <c r="AK8" i="65"/>
  <c r="AL8" i="65"/>
  <c r="AM8" i="65"/>
  <c r="AN8" i="65"/>
  <c r="AO8" i="65"/>
  <c r="AP8" i="65"/>
  <c r="AQ8" i="65"/>
  <c r="AR8" i="65"/>
  <c r="AS8" i="65"/>
  <c r="AT8" i="65"/>
  <c r="AU8" i="65"/>
  <c r="AV8" i="65"/>
  <c r="AW8" i="65"/>
  <c r="AX8" i="65"/>
  <c r="AY8" i="65"/>
  <c r="AZ8" i="65"/>
  <c r="AC4" i="63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C8" i="65" s="1"/>
  <c r="AD18" i="31"/>
  <c r="AD8" i="65" s="1"/>
  <c r="AE18" i="31"/>
  <c r="AE8" i="65" s="1"/>
  <c r="AF18" i="31"/>
  <c r="AG18" i="31"/>
  <c r="AH18" i="31"/>
  <c r="AI18" i="31"/>
  <c r="AJ18" i="31"/>
  <c r="AK18" i="31"/>
  <c r="AL18" i="31"/>
  <c r="AM18" i="31"/>
  <c r="AN18" i="31"/>
  <c r="AO18" i="31"/>
  <c r="AP18" i="31"/>
  <c r="AQ18" i="31"/>
  <c r="AR18" i="31"/>
  <c r="AS18" i="31"/>
  <c r="AT18" i="31"/>
  <c r="AU18" i="31"/>
  <c r="AV18" i="31"/>
  <c r="AW18" i="31"/>
  <c r="AX18" i="31"/>
  <c r="AY18" i="31"/>
  <c r="AZ18" i="31"/>
  <c r="C18" i="36"/>
  <c r="D18" i="36"/>
  <c r="E18" i="36"/>
  <c r="F18" i="36"/>
  <c r="G18" i="36"/>
  <c r="H18" i="36"/>
  <c r="I18" i="36"/>
  <c r="J18" i="36"/>
  <c r="K18" i="36"/>
  <c r="L18" i="36"/>
  <c r="M18" i="36"/>
  <c r="N18" i="36"/>
  <c r="O18" i="36"/>
  <c r="P18" i="36"/>
  <c r="Q18" i="36"/>
  <c r="R18" i="36"/>
  <c r="S18" i="36"/>
  <c r="T18" i="36"/>
  <c r="U18" i="36"/>
  <c r="V18" i="36"/>
  <c r="W18" i="36"/>
  <c r="X18" i="36"/>
  <c r="Y18" i="36"/>
  <c r="Z18" i="36"/>
  <c r="AA18" i="36"/>
  <c r="AB18" i="36"/>
  <c r="AC18" i="36"/>
  <c r="AD18" i="36"/>
  <c r="AD7" i="65" s="1"/>
  <c r="AE18" i="36"/>
  <c r="AE7" i="65" s="1"/>
  <c r="AF18" i="36"/>
  <c r="AF7" i="65" s="1"/>
  <c r="AG18" i="36"/>
  <c r="AG7" i="65" s="1"/>
  <c r="AH18" i="36"/>
  <c r="AH7" i="65" s="1"/>
  <c r="AI18" i="36"/>
  <c r="AI7" i="65" s="1"/>
  <c r="AJ18" i="36"/>
  <c r="AJ7" i="65" s="1"/>
  <c r="AK18" i="36"/>
  <c r="AK7" i="65" s="1"/>
  <c r="AL18" i="36"/>
  <c r="AL7" i="65" s="1"/>
  <c r="AM18" i="36"/>
  <c r="AM7" i="65" s="1"/>
  <c r="AN18" i="36"/>
  <c r="AN7" i="65" s="1"/>
  <c r="AO18" i="36"/>
  <c r="AO7" i="65" s="1"/>
  <c r="AP18" i="36"/>
  <c r="AP7" i="65" s="1"/>
  <c r="AQ18" i="36"/>
  <c r="AQ7" i="65" s="1"/>
  <c r="AR18" i="36"/>
  <c r="AR7" i="65" s="1"/>
  <c r="AS18" i="36"/>
  <c r="AS7" i="65" s="1"/>
  <c r="AT18" i="36"/>
  <c r="AT7" i="65" s="1"/>
  <c r="AU18" i="36"/>
  <c r="AU7" i="65" s="1"/>
  <c r="AV18" i="36"/>
  <c r="AV7" i="65" s="1"/>
  <c r="AW18" i="36"/>
  <c r="AW7" i="65" s="1"/>
  <c r="AX18" i="36"/>
  <c r="AX7" i="65" s="1"/>
  <c r="AY18" i="36"/>
  <c r="AY7" i="65" s="1"/>
  <c r="AZ18" i="36"/>
  <c r="AZ7" i="65" s="1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U5" i="65" s="1"/>
  <c r="V18" i="35"/>
  <c r="W18" i="35"/>
  <c r="X18" i="35"/>
  <c r="X5" i="65" s="1"/>
  <c r="Y18" i="35"/>
  <c r="Z18" i="35"/>
  <c r="AA18" i="35"/>
  <c r="AB18" i="35"/>
  <c r="AC18" i="35"/>
  <c r="AD18" i="35"/>
  <c r="AD5" i="65" s="1"/>
  <c r="AE18" i="35"/>
  <c r="AE5" i="65" s="1"/>
  <c r="AF18" i="35"/>
  <c r="AF5" i="65" s="1"/>
  <c r="AG18" i="35"/>
  <c r="AG5" i="65" s="1"/>
  <c r="AH18" i="35"/>
  <c r="AH5" i="65" s="1"/>
  <c r="AI18" i="35"/>
  <c r="AI5" i="65" s="1"/>
  <c r="AJ18" i="35"/>
  <c r="AJ5" i="65" s="1"/>
  <c r="AK18" i="35"/>
  <c r="AK5" i="65" s="1"/>
  <c r="AL18" i="35"/>
  <c r="AL5" i="65" s="1"/>
  <c r="AM18" i="35"/>
  <c r="AM5" i="65" s="1"/>
  <c r="AN18" i="35"/>
  <c r="AN5" i="65" s="1"/>
  <c r="AO18" i="35"/>
  <c r="AO5" i="65" s="1"/>
  <c r="AP18" i="35"/>
  <c r="AP5" i="65" s="1"/>
  <c r="AQ18" i="35"/>
  <c r="AQ5" i="65" s="1"/>
  <c r="AR18" i="35"/>
  <c r="AR5" i="65" s="1"/>
  <c r="AS18" i="35"/>
  <c r="AS5" i="65" s="1"/>
  <c r="AT18" i="35"/>
  <c r="AT5" i="65" s="1"/>
  <c r="AU18" i="35"/>
  <c r="AU5" i="65" s="1"/>
  <c r="AV18" i="35"/>
  <c r="AV5" i="65" s="1"/>
  <c r="AW18" i="35"/>
  <c r="AW5" i="65" s="1"/>
  <c r="AX18" i="35"/>
  <c r="AX5" i="65" s="1"/>
  <c r="AY18" i="35"/>
  <c r="AY5" i="65" s="1"/>
  <c r="AZ18" i="35"/>
  <c r="AZ5" i="65" s="1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D9" i="65" s="1"/>
  <c r="AE18" i="33"/>
  <c r="AE9" i="65" s="1"/>
  <c r="AF18" i="33"/>
  <c r="AF9" i="65" s="1"/>
  <c r="AG18" i="33"/>
  <c r="AG9" i="65" s="1"/>
  <c r="AH18" i="33"/>
  <c r="AH9" i="65" s="1"/>
  <c r="AI18" i="33"/>
  <c r="AI9" i="65" s="1"/>
  <c r="AJ18" i="33"/>
  <c r="AJ9" i="65" s="1"/>
  <c r="AK18" i="33"/>
  <c r="AK9" i="65" s="1"/>
  <c r="AL18" i="33"/>
  <c r="AL9" i="65" s="1"/>
  <c r="AM18" i="33"/>
  <c r="AM9" i="65" s="1"/>
  <c r="AN18" i="33"/>
  <c r="AN9" i="65" s="1"/>
  <c r="AO18" i="33"/>
  <c r="AO9" i="65" s="1"/>
  <c r="AP18" i="33"/>
  <c r="AP9" i="65" s="1"/>
  <c r="AQ18" i="33"/>
  <c r="AQ9" i="65" s="1"/>
  <c r="AR18" i="33"/>
  <c r="AR9" i="65" s="1"/>
  <c r="AS18" i="33"/>
  <c r="AS9" i="65" s="1"/>
  <c r="AT18" i="33"/>
  <c r="AT9" i="65" s="1"/>
  <c r="AU18" i="33"/>
  <c r="AU9" i="65" s="1"/>
  <c r="AV18" i="33"/>
  <c r="AV9" i="65" s="1"/>
  <c r="AW18" i="33"/>
  <c r="AW9" i="65" s="1"/>
  <c r="AX18" i="33"/>
  <c r="AX9" i="65" s="1"/>
  <c r="AY18" i="33"/>
  <c r="AY9" i="65" s="1"/>
  <c r="AZ18" i="33"/>
  <c r="AZ9" i="65" s="1"/>
  <c r="C18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X6" i="65" s="1"/>
  <c r="Y18" i="34"/>
  <c r="Z18" i="34"/>
  <c r="AA18" i="34"/>
  <c r="AB18" i="34"/>
  <c r="AC18" i="34"/>
  <c r="AD18" i="34"/>
  <c r="AD6" i="65" s="1"/>
  <c r="AE18" i="34"/>
  <c r="AE6" i="65" s="1"/>
  <c r="AF18" i="34"/>
  <c r="AF6" i="65" s="1"/>
  <c r="AG18" i="34"/>
  <c r="AG6" i="65" s="1"/>
  <c r="AH18" i="34"/>
  <c r="AH6" i="65" s="1"/>
  <c r="AI18" i="34"/>
  <c r="AI6" i="65" s="1"/>
  <c r="AJ18" i="34"/>
  <c r="AJ6" i="65" s="1"/>
  <c r="AK18" i="34"/>
  <c r="AK6" i="65" s="1"/>
  <c r="AL18" i="34"/>
  <c r="AL6" i="65" s="1"/>
  <c r="AM18" i="34"/>
  <c r="AM6" i="65" s="1"/>
  <c r="AN18" i="34"/>
  <c r="AN6" i="65" s="1"/>
  <c r="AO18" i="34"/>
  <c r="AO6" i="65" s="1"/>
  <c r="AP18" i="34"/>
  <c r="AP6" i="65" s="1"/>
  <c r="AQ18" i="34"/>
  <c r="AQ6" i="65" s="1"/>
  <c r="AR18" i="34"/>
  <c r="AR6" i="65" s="1"/>
  <c r="AS18" i="34"/>
  <c r="AS6" i="65" s="1"/>
  <c r="AT18" i="34"/>
  <c r="AT6" i="65" s="1"/>
  <c r="AU18" i="34"/>
  <c r="AU6" i="65" s="1"/>
  <c r="AV18" i="34"/>
  <c r="AV6" i="65" s="1"/>
  <c r="AW18" i="34"/>
  <c r="AW6" i="65" s="1"/>
  <c r="AX18" i="34"/>
  <c r="AX6" i="65" s="1"/>
  <c r="AY18" i="34"/>
  <c r="AY6" i="65" s="1"/>
  <c r="AZ18" i="34"/>
  <c r="AZ6" i="65" s="1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D10" i="65" s="1"/>
  <c r="AE18" i="38"/>
  <c r="AE10" i="65" s="1"/>
  <c r="AF18" i="38"/>
  <c r="AF10" i="65" s="1"/>
  <c r="AG18" i="38"/>
  <c r="AG10" i="65" s="1"/>
  <c r="AH18" i="38"/>
  <c r="AH10" i="65" s="1"/>
  <c r="AI18" i="38"/>
  <c r="AI10" i="65" s="1"/>
  <c r="AJ18" i="38"/>
  <c r="AJ10" i="65" s="1"/>
  <c r="AK18" i="38"/>
  <c r="AK10" i="65" s="1"/>
  <c r="AL18" i="38"/>
  <c r="AL10" i="65" s="1"/>
  <c r="AM18" i="38"/>
  <c r="AM10" i="65" s="1"/>
  <c r="AN18" i="38"/>
  <c r="AN10" i="65" s="1"/>
  <c r="AO18" i="38"/>
  <c r="AO10" i="65" s="1"/>
  <c r="AP18" i="38"/>
  <c r="AP10" i="65" s="1"/>
  <c r="AQ18" i="38"/>
  <c r="AQ10" i="65" s="1"/>
  <c r="AR18" i="38"/>
  <c r="AR10" i="65" s="1"/>
  <c r="AS18" i="38"/>
  <c r="AS10" i="65" s="1"/>
  <c r="AT18" i="38"/>
  <c r="AT10" i="65" s="1"/>
  <c r="AU18" i="38"/>
  <c r="AU10" i="65" s="1"/>
  <c r="AV18" i="38"/>
  <c r="AV10" i="65" s="1"/>
  <c r="AW18" i="38"/>
  <c r="AW10" i="65" s="1"/>
  <c r="AX18" i="38"/>
  <c r="AX10" i="65" s="1"/>
  <c r="AY18" i="38"/>
  <c r="AY10" i="65" s="1"/>
  <c r="AZ18" i="38"/>
  <c r="AZ10" i="65" s="1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AD18" i="40"/>
  <c r="AD6" i="64" s="1"/>
  <c r="AE18" i="40"/>
  <c r="AE6" i="64" s="1"/>
  <c r="AF18" i="40"/>
  <c r="AF6" i="64" s="1"/>
  <c r="AG18" i="40"/>
  <c r="AG6" i="64" s="1"/>
  <c r="AH18" i="40"/>
  <c r="AH6" i="64" s="1"/>
  <c r="AI18" i="40"/>
  <c r="AI6" i="64" s="1"/>
  <c r="AJ18" i="40"/>
  <c r="AJ6" i="64" s="1"/>
  <c r="AK18" i="40"/>
  <c r="AK6" i="64" s="1"/>
  <c r="AL18" i="40"/>
  <c r="AL6" i="64" s="1"/>
  <c r="AM18" i="40"/>
  <c r="AM6" i="64" s="1"/>
  <c r="AN18" i="40"/>
  <c r="AN6" i="64" s="1"/>
  <c r="AO18" i="40"/>
  <c r="AO6" i="64" s="1"/>
  <c r="AP18" i="40"/>
  <c r="AP6" i="64" s="1"/>
  <c r="AQ18" i="40"/>
  <c r="AQ6" i="64" s="1"/>
  <c r="AR18" i="40"/>
  <c r="AR6" i="64" s="1"/>
  <c r="AS18" i="40"/>
  <c r="AS6" i="64" s="1"/>
  <c r="AT18" i="40"/>
  <c r="AT6" i="64" s="1"/>
  <c r="AU18" i="40"/>
  <c r="AU6" i="64" s="1"/>
  <c r="AV18" i="40"/>
  <c r="AV6" i="64" s="1"/>
  <c r="AW18" i="40"/>
  <c r="AW6" i="64" s="1"/>
  <c r="AX18" i="40"/>
  <c r="AX6" i="64" s="1"/>
  <c r="AY18" i="40"/>
  <c r="AY6" i="64" s="1"/>
  <c r="AZ18" i="40"/>
  <c r="AZ6" i="64" s="1"/>
  <c r="C18" i="39"/>
  <c r="D18" i="39"/>
  <c r="E18" i="39"/>
  <c r="F18" i="39"/>
  <c r="G18" i="39"/>
  <c r="H18" i="39"/>
  <c r="I18" i="39"/>
  <c r="J18" i="39"/>
  <c r="K18" i="39"/>
  <c r="L18" i="39"/>
  <c r="M18" i="39"/>
  <c r="N18" i="39"/>
  <c r="O18" i="39"/>
  <c r="P18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AC18" i="39"/>
  <c r="AC5" i="64" s="1"/>
  <c r="AD18" i="39"/>
  <c r="AD5" i="64" s="1"/>
  <c r="AE18" i="39"/>
  <c r="AE5" i="64" s="1"/>
  <c r="AF18" i="39"/>
  <c r="AF5" i="64" s="1"/>
  <c r="AG18" i="39"/>
  <c r="AG5" i="64" s="1"/>
  <c r="AH18" i="39"/>
  <c r="AH5" i="64" s="1"/>
  <c r="AI18" i="39"/>
  <c r="AI5" i="64" s="1"/>
  <c r="AJ18" i="39"/>
  <c r="AJ5" i="64" s="1"/>
  <c r="AK18" i="39"/>
  <c r="AK5" i="64" s="1"/>
  <c r="AL18" i="39"/>
  <c r="AL5" i="64" s="1"/>
  <c r="AM18" i="39"/>
  <c r="AM5" i="64" s="1"/>
  <c r="AN18" i="39"/>
  <c r="AN5" i="64" s="1"/>
  <c r="AO18" i="39"/>
  <c r="AO5" i="64" s="1"/>
  <c r="AP18" i="39"/>
  <c r="AP5" i="64" s="1"/>
  <c r="AQ18" i="39"/>
  <c r="AQ5" i="64" s="1"/>
  <c r="AR18" i="39"/>
  <c r="AR5" i="64" s="1"/>
  <c r="AS18" i="39"/>
  <c r="AS5" i="64" s="1"/>
  <c r="AT18" i="39"/>
  <c r="AT5" i="64" s="1"/>
  <c r="AU18" i="39"/>
  <c r="AU5" i="64" s="1"/>
  <c r="AV18" i="39"/>
  <c r="AV5" i="64" s="1"/>
  <c r="AW18" i="39"/>
  <c r="AW5" i="64" s="1"/>
  <c r="AX18" i="39"/>
  <c r="AX5" i="64" s="1"/>
  <c r="AY18" i="39"/>
  <c r="AY5" i="64" s="1"/>
  <c r="AZ18" i="39"/>
  <c r="AZ5" i="64" s="1"/>
  <c r="C18" i="41"/>
  <c r="D18" i="41"/>
  <c r="E18" i="41"/>
  <c r="F18" i="41"/>
  <c r="G18" i="41"/>
  <c r="H18" i="41"/>
  <c r="I18" i="41"/>
  <c r="J18" i="41"/>
  <c r="K18" i="41"/>
  <c r="L18" i="41"/>
  <c r="M18" i="41"/>
  <c r="N18" i="41"/>
  <c r="O18" i="41"/>
  <c r="P18" i="41"/>
  <c r="Q18" i="41"/>
  <c r="R18" i="41"/>
  <c r="S18" i="41"/>
  <c r="T18" i="41"/>
  <c r="U18" i="41"/>
  <c r="V18" i="41"/>
  <c r="W18" i="41"/>
  <c r="X18" i="41"/>
  <c r="Y18" i="41"/>
  <c r="Z18" i="41"/>
  <c r="AA18" i="41"/>
  <c r="AB18" i="41"/>
  <c r="AC18" i="41"/>
  <c r="AD18" i="41"/>
  <c r="AD7" i="64" s="1"/>
  <c r="AE18" i="41"/>
  <c r="AE7" i="64" s="1"/>
  <c r="AF18" i="41"/>
  <c r="AF7" i="64" s="1"/>
  <c r="AG18" i="41"/>
  <c r="AG7" i="64" s="1"/>
  <c r="AH18" i="41"/>
  <c r="AH7" i="64" s="1"/>
  <c r="AI18" i="41"/>
  <c r="AI7" i="64" s="1"/>
  <c r="AJ18" i="41"/>
  <c r="AJ7" i="64" s="1"/>
  <c r="AK18" i="41"/>
  <c r="AK7" i="64" s="1"/>
  <c r="AL18" i="41"/>
  <c r="AL7" i="64" s="1"/>
  <c r="AM18" i="41"/>
  <c r="AM7" i="64" s="1"/>
  <c r="AN18" i="41"/>
  <c r="AN7" i="64" s="1"/>
  <c r="AO18" i="41"/>
  <c r="AO7" i="64" s="1"/>
  <c r="AP18" i="41"/>
  <c r="AP7" i="64" s="1"/>
  <c r="AQ18" i="41"/>
  <c r="AQ7" i="64" s="1"/>
  <c r="AR18" i="41"/>
  <c r="AR7" i="64" s="1"/>
  <c r="AS18" i="41"/>
  <c r="AS7" i="64" s="1"/>
  <c r="AT18" i="41"/>
  <c r="AT7" i="64" s="1"/>
  <c r="AU18" i="41"/>
  <c r="AU7" i="64" s="1"/>
  <c r="AV18" i="41"/>
  <c r="AV7" i="64" s="1"/>
  <c r="AW18" i="41"/>
  <c r="AW7" i="64" s="1"/>
  <c r="AX18" i="41"/>
  <c r="AX7" i="64" s="1"/>
  <c r="AY18" i="41"/>
  <c r="AY7" i="64" s="1"/>
  <c r="AZ18" i="41"/>
  <c r="AZ7" i="64" s="1"/>
  <c r="C18" i="44"/>
  <c r="D18" i="44"/>
  <c r="E18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U18" i="44"/>
  <c r="V18" i="44"/>
  <c r="W18" i="44"/>
  <c r="X18" i="44"/>
  <c r="Y18" i="44"/>
  <c r="Z18" i="44"/>
  <c r="AA18" i="44"/>
  <c r="AB18" i="44"/>
  <c r="AC18" i="44"/>
  <c r="AD18" i="44"/>
  <c r="AD8" i="64" s="1"/>
  <c r="AE18" i="44"/>
  <c r="AE8" i="64" s="1"/>
  <c r="AF18" i="44"/>
  <c r="AF8" i="64" s="1"/>
  <c r="AG18" i="44"/>
  <c r="AG8" i="64" s="1"/>
  <c r="AH18" i="44"/>
  <c r="AH8" i="64" s="1"/>
  <c r="AI18" i="44"/>
  <c r="AI8" i="64" s="1"/>
  <c r="AJ18" i="44"/>
  <c r="AJ8" i="64" s="1"/>
  <c r="AK18" i="44"/>
  <c r="AK8" i="64" s="1"/>
  <c r="AL18" i="44"/>
  <c r="AL8" i="64" s="1"/>
  <c r="AM18" i="44"/>
  <c r="AM8" i="64" s="1"/>
  <c r="AN18" i="44"/>
  <c r="AN8" i="64" s="1"/>
  <c r="AO18" i="44"/>
  <c r="AO8" i="64" s="1"/>
  <c r="AP18" i="44"/>
  <c r="AP8" i="64" s="1"/>
  <c r="AQ18" i="44"/>
  <c r="AQ8" i="64" s="1"/>
  <c r="AR18" i="44"/>
  <c r="AR8" i="64" s="1"/>
  <c r="AS18" i="44"/>
  <c r="AS8" i="64" s="1"/>
  <c r="AT18" i="44"/>
  <c r="AT8" i="64" s="1"/>
  <c r="AU18" i="44"/>
  <c r="AU8" i="64" s="1"/>
  <c r="AV18" i="44"/>
  <c r="AV8" i="64" s="1"/>
  <c r="AW18" i="44"/>
  <c r="AW8" i="64" s="1"/>
  <c r="AX18" i="44"/>
  <c r="AX8" i="64" s="1"/>
  <c r="AY18" i="44"/>
  <c r="AY8" i="64" s="1"/>
  <c r="AZ18" i="44"/>
  <c r="AZ8" i="64" s="1"/>
  <c r="C18" i="42"/>
  <c r="D18" i="42"/>
  <c r="E18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D9" i="64" s="1"/>
  <c r="AE18" i="42"/>
  <c r="AE9" i="64" s="1"/>
  <c r="AF18" i="42"/>
  <c r="AF9" i="64" s="1"/>
  <c r="AG18" i="42"/>
  <c r="AG9" i="64" s="1"/>
  <c r="AH18" i="42"/>
  <c r="AH9" i="64" s="1"/>
  <c r="AI18" i="42"/>
  <c r="AI9" i="64" s="1"/>
  <c r="AJ18" i="42"/>
  <c r="AJ9" i="64" s="1"/>
  <c r="AK18" i="42"/>
  <c r="AK9" i="64" s="1"/>
  <c r="AL18" i="42"/>
  <c r="AL9" i="64" s="1"/>
  <c r="AM18" i="42"/>
  <c r="AM9" i="64" s="1"/>
  <c r="AN18" i="42"/>
  <c r="AN9" i="64" s="1"/>
  <c r="AO18" i="42"/>
  <c r="AO9" i="64" s="1"/>
  <c r="AP18" i="42"/>
  <c r="AP9" i="64" s="1"/>
  <c r="AQ18" i="42"/>
  <c r="AQ9" i="64" s="1"/>
  <c r="AR18" i="42"/>
  <c r="AR9" i="64" s="1"/>
  <c r="AS18" i="42"/>
  <c r="AS9" i="64" s="1"/>
  <c r="AT18" i="42"/>
  <c r="AT9" i="64" s="1"/>
  <c r="AU18" i="42"/>
  <c r="AU9" i="64" s="1"/>
  <c r="AV18" i="42"/>
  <c r="AV9" i="64" s="1"/>
  <c r="AW18" i="42"/>
  <c r="AW9" i="64" s="1"/>
  <c r="AX18" i="42"/>
  <c r="AX9" i="64" s="1"/>
  <c r="AY18" i="42"/>
  <c r="AY9" i="64" s="1"/>
  <c r="AZ18" i="42"/>
  <c r="AZ9" i="64" s="1"/>
  <c r="C18" i="49"/>
  <c r="D18" i="49"/>
  <c r="E18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U18" i="49"/>
  <c r="V18" i="49"/>
  <c r="W18" i="49"/>
  <c r="X18" i="49"/>
  <c r="Y18" i="49"/>
  <c r="Z18" i="49"/>
  <c r="AA18" i="49"/>
  <c r="AB18" i="49"/>
  <c r="AC18" i="49"/>
  <c r="AD18" i="49"/>
  <c r="AD14" i="64" s="1"/>
  <c r="AE18" i="49"/>
  <c r="AE14" i="64" s="1"/>
  <c r="AF18" i="49"/>
  <c r="AF14" i="64" s="1"/>
  <c r="AG18" i="49"/>
  <c r="AG14" i="64" s="1"/>
  <c r="AH18" i="49"/>
  <c r="AH14" i="64" s="1"/>
  <c r="AI18" i="49"/>
  <c r="AI14" i="64" s="1"/>
  <c r="AJ18" i="49"/>
  <c r="AJ14" i="64" s="1"/>
  <c r="AK18" i="49"/>
  <c r="AK14" i="64" s="1"/>
  <c r="AL18" i="49"/>
  <c r="AL14" i="64" s="1"/>
  <c r="AM18" i="49"/>
  <c r="AM14" i="64" s="1"/>
  <c r="AN18" i="49"/>
  <c r="AN14" i="64" s="1"/>
  <c r="AO18" i="49"/>
  <c r="AO14" i="64" s="1"/>
  <c r="AP18" i="49"/>
  <c r="AP14" i="64" s="1"/>
  <c r="AQ18" i="49"/>
  <c r="AQ14" i="64" s="1"/>
  <c r="AR18" i="49"/>
  <c r="AR14" i="64" s="1"/>
  <c r="AS18" i="49"/>
  <c r="AS14" i="64" s="1"/>
  <c r="AT18" i="49"/>
  <c r="AT14" i="64" s="1"/>
  <c r="AU18" i="49"/>
  <c r="AU14" i="64" s="1"/>
  <c r="AV18" i="49"/>
  <c r="AV14" i="64" s="1"/>
  <c r="AW18" i="49"/>
  <c r="AW14" i="64" s="1"/>
  <c r="AX18" i="49"/>
  <c r="AX14" i="64" s="1"/>
  <c r="AY18" i="49"/>
  <c r="AY14" i="64" s="1"/>
  <c r="AZ18" i="49"/>
  <c r="AZ14" i="64" s="1"/>
  <c r="C18" i="50"/>
  <c r="D18" i="50"/>
  <c r="E18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R18" i="50"/>
  <c r="S18" i="50"/>
  <c r="T18" i="50"/>
  <c r="U18" i="50"/>
  <c r="V18" i="50"/>
  <c r="W18" i="50"/>
  <c r="X18" i="50"/>
  <c r="Y18" i="50"/>
  <c r="Z18" i="50"/>
  <c r="AA18" i="50"/>
  <c r="AB18" i="50"/>
  <c r="AC18" i="50"/>
  <c r="AD18" i="50"/>
  <c r="AD15" i="64" s="1"/>
  <c r="AE18" i="50"/>
  <c r="AE15" i="64" s="1"/>
  <c r="AF18" i="50"/>
  <c r="AF15" i="64" s="1"/>
  <c r="AG18" i="50"/>
  <c r="AG15" i="64" s="1"/>
  <c r="AH18" i="50"/>
  <c r="AH15" i="64" s="1"/>
  <c r="AI18" i="50"/>
  <c r="AI15" i="64" s="1"/>
  <c r="AJ18" i="50"/>
  <c r="AJ15" i="64" s="1"/>
  <c r="AK18" i="50"/>
  <c r="AK15" i="64" s="1"/>
  <c r="AL18" i="50"/>
  <c r="AL15" i="64" s="1"/>
  <c r="AM18" i="50"/>
  <c r="AM15" i="64" s="1"/>
  <c r="AN18" i="50"/>
  <c r="AN15" i="64" s="1"/>
  <c r="AO18" i="50"/>
  <c r="AO15" i="64" s="1"/>
  <c r="AP18" i="50"/>
  <c r="AP15" i="64" s="1"/>
  <c r="AQ18" i="50"/>
  <c r="AQ15" i="64" s="1"/>
  <c r="AR18" i="50"/>
  <c r="AR15" i="64" s="1"/>
  <c r="AS18" i="50"/>
  <c r="AS15" i="64" s="1"/>
  <c r="AT18" i="50"/>
  <c r="AT15" i="64" s="1"/>
  <c r="AU18" i="50"/>
  <c r="AU15" i="64" s="1"/>
  <c r="AV18" i="50"/>
  <c r="AV15" i="64" s="1"/>
  <c r="AW18" i="50"/>
  <c r="AW15" i="64" s="1"/>
  <c r="AX18" i="50"/>
  <c r="AX15" i="64" s="1"/>
  <c r="AY18" i="50"/>
  <c r="AY15" i="64" s="1"/>
  <c r="AZ18" i="50"/>
  <c r="AZ15" i="64" s="1"/>
  <c r="C18" i="67"/>
  <c r="D18" i="67"/>
  <c r="E18" i="67"/>
  <c r="F18" i="67"/>
  <c r="G18" i="67"/>
  <c r="H18" i="67"/>
  <c r="I18" i="67"/>
  <c r="J18" i="67"/>
  <c r="K18" i="67"/>
  <c r="L18" i="67"/>
  <c r="M18" i="67"/>
  <c r="N18" i="67"/>
  <c r="O18" i="67"/>
  <c r="P18" i="67"/>
  <c r="Q18" i="67"/>
  <c r="R18" i="67"/>
  <c r="S18" i="67"/>
  <c r="T18" i="67"/>
  <c r="U18" i="67"/>
  <c r="V18" i="67"/>
  <c r="W18" i="67"/>
  <c r="X18" i="67"/>
  <c r="Y18" i="67"/>
  <c r="Z18" i="67"/>
  <c r="AA18" i="67"/>
  <c r="AB18" i="67"/>
  <c r="AC18" i="67"/>
  <c r="AD18" i="67"/>
  <c r="AD21" i="64" s="1"/>
  <c r="AE18" i="67"/>
  <c r="AE21" i="64" s="1"/>
  <c r="AF18" i="67"/>
  <c r="AF21" i="64" s="1"/>
  <c r="AG18" i="67"/>
  <c r="AG21" i="64" s="1"/>
  <c r="AH18" i="67"/>
  <c r="AH21" i="64" s="1"/>
  <c r="AI18" i="67"/>
  <c r="AI21" i="64" s="1"/>
  <c r="AJ18" i="67"/>
  <c r="AJ21" i="64" s="1"/>
  <c r="AK18" i="67"/>
  <c r="AK21" i="64" s="1"/>
  <c r="AL18" i="67"/>
  <c r="AL21" i="64" s="1"/>
  <c r="AM18" i="67"/>
  <c r="AM21" i="64" s="1"/>
  <c r="AN18" i="67"/>
  <c r="AN21" i="64" s="1"/>
  <c r="AO18" i="67"/>
  <c r="AO21" i="64" s="1"/>
  <c r="AP18" i="67"/>
  <c r="AP21" i="64" s="1"/>
  <c r="AQ18" i="67"/>
  <c r="AQ21" i="64" s="1"/>
  <c r="AR18" i="67"/>
  <c r="AR21" i="64" s="1"/>
  <c r="AS18" i="67"/>
  <c r="AS21" i="64" s="1"/>
  <c r="AT18" i="67"/>
  <c r="AT21" i="64" s="1"/>
  <c r="AU18" i="67"/>
  <c r="AU21" i="64" s="1"/>
  <c r="AV18" i="67"/>
  <c r="AV21" i="64" s="1"/>
  <c r="AW18" i="67"/>
  <c r="AW21" i="64" s="1"/>
  <c r="AX18" i="67"/>
  <c r="AX21" i="64" s="1"/>
  <c r="AY18" i="67"/>
  <c r="AY21" i="64" s="1"/>
  <c r="AZ18" i="67"/>
  <c r="AZ21" i="64" s="1"/>
  <c r="C18" i="51"/>
  <c r="D18" i="51"/>
  <c r="E18" i="51"/>
  <c r="F18" i="51"/>
  <c r="G18" i="51"/>
  <c r="H18" i="51"/>
  <c r="I18" i="51"/>
  <c r="J18" i="51"/>
  <c r="K18" i="51"/>
  <c r="L18" i="51"/>
  <c r="M18" i="51"/>
  <c r="N18" i="51"/>
  <c r="O18" i="51"/>
  <c r="P18" i="51"/>
  <c r="Q18" i="51"/>
  <c r="R18" i="51"/>
  <c r="S18" i="51"/>
  <c r="T18" i="51"/>
  <c r="U18" i="51"/>
  <c r="V18" i="51"/>
  <c r="W18" i="51"/>
  <c r="X18" i="51"/>
  <c r="Y18" i="51"/>
  <c r="Z18" i="51"/>
  <c r="AA18" i="51"/>
  <c r="AB18" i="51"/>
  <c r="AC18" i="51"/>
  <c r="AD18" i="51"/>
  <c r="AD16" i="64" s="1"/>
  <c r="AE18" i="51"/>
  <c r="AE16" i="64" s="1"/>
  <c r="AF18" i="51"/>
  <c r="AF16" i="64" s="1"/>
  <c r="AG18" i="51"/>
  <c r="AG16" i="64" s="1"/>
  <c r="AH18" i="51"/>
  <c r="AH16" i="64" s="1"/>
  <c r="AI18" i="51"/>
  <c r="AI16" i="64" s="1"/>
  <c r="AJ18" i="51"/>
  <c r="AJ16" i="64" s="1"/>
  <c r="AK18" i="51"/>
  <c r="AK16" i="64" s="1"/>
  <c r="AL18" i="51"/>
  <c r="AL16" i="64" s="1"/>
  <c r="AM18" i="51"/>
  <c r="AM16" i="64" s="1"/>
  <c r="AN18" i="51"/>
  <c r="AN16" i="64" s="1"/>
  <c r="AO18" i="51"/>
  <c r="AO16" i="64" s="1"/>
  <c r="AP18" i="51"/>
  <c r="AP16" i="64" s="1"/>
  <c r="AQ18" i="51"/>
  <c r="AQ16" i="64" s="1"/>
  <c r="AR18" i="51"/>
  <c r="AR16" i="64" s="1"/>
  <c r="AS18" i="51"/>
  <c r="AS16" i="64" s="1"/>
  <c r="AT18" i="51"/>
  <c r="AT16" i="64" s="1"/>
  <c r="AU18" i="51"/>
  <c r="AU16" i="64" s="1"/>
  <c r="AV18" i="51"/>
  <c r="AV16" i="64" s="1"/>
  <c r="AW18" i="51"/>
  <c r="AW16" i="64" s="1"/>
  <c r="AX18" i="51"/>
  <c r="AX16" i="64" s="1"/>
  <c r="AY18" i="51"/>
  <c r="AY16" i="64" s="1"/>
  <c r="AZ18" i="51"/>
  <c r="AZ16" i="64" s="1"/>
  <c r="C18" i="52"/>
  <c r="D18" i="52"/>
  <c r="E18" i="52"/>
  <c r="F18" i="52"/>
  <c r="G18" i="52"/>
  <c r="H18" i="52"/>
  <c r="I18" i="52"/>
  <c r="J18" i="52"/>
  <c r="K18" i="52"/>
  <c r="L18" i="52"/>
  <c r="M18" i="52"/>
  <c r="N18" i="52"/>
  <c r="O18" i="52"/>
  <c r="P18" i="52"/>
  <c r="Q18" i="52"/>
  <c r="R18" i="52"/>
  <c r="S18" i="52"/>
  <c r="T18" i="52"/>
  <c r="U18" i="52"/>
  <c r="V18" i="52"/>
  <c r="W18" i="52"/>
  <c r="X18" i="52"/>
  <c r="Y18" i="52"/>
  <c r="Z18" i="52"/>
  <c r="AA18" i="52"/>
  <c r="AB18" i="52"/>
  <c r="AC18" i="52"/>
  <c r="AD18" i="52"/>
  <c r="AD17" i="64" s="1"/>
  <c r="AE18" i="52"/>
  <c r="AE17" i="64" s="1"/>
  <c r="AF18" i="52"/>
  <c r="AF17" i="64" s="1"/>
  <c r="AG18" i="52"/>
  <c r="AG17" i="64" s="1"/>
  <c r="AH18" i="52"/>
  <c r="AH17" i="64" s="1"/>
  <c r="AI18" i="52"/>
  <c r="AI17" i="64" s="1"/>
  <c r="AJ18" i="52"/>
  <c r="AJ17" i="64" s="1"/>
  <c r="AK18" i="52"/>
  <c r="AK17" i="64" s="1"/>
  <c r="AL18" i="52"/>
  <c r="AL17" i="64" s="1"/>
  <c r="AM18" i="52"/>
  <c r="AM17" i="64" s="1"/>
  <c r="AN18" i="52"/>
  <c r="AN17" i="64" s="1"/>
  <c r="AO18" i="52"/>
  <c r="AO17" i="64" s="1"/>
  <c r="AP18" i="52"/>
  <c r="AP17" i="64" s="1"/>
  <c r="AQ18" i="52"/>
  <c r="AQ17" i="64" s="1"/>
  <c r="AR18" i="52"/>
  <c r="AR17" i="64" s="1"/>
  <c r="AS18" i="52"/>
  <c r="AS17" i="64" s="1"/>
  <c r="AT18" i="52"/>
  <c r="AT17" i="64" s="1"/>
  <c r="AU18" i="52"/>
  <c r="AU17" i="64" s="1"/>
  <c r="AV18" i="52"/>
  <c r="AV17" i="64" s="1"/>
  <c r="AW18" i="52"/>
  <c r="AW17" i="64" s="1"/>
  <c r="AX18" i="52"/>
  <c r="AX17" i="64" s="1"/>
  <c r="AY18" i="52"/>
  <c r="AY17" i="64" s="1"/>
  <c r="AZ18" i="52"/>
  <c r="AZ17" i="64" s="1"/>
  <c r="C18" i="53"/>
  <c r="D18" i="53"/>
  <c r="E18" i="53"/>
  <c r="F18" i="53"/>
  <c r="G18" i="53"/>
  <c r="H18" i="53"/>
  <c r="I18" i="53"/>
  <c r="J18" i="53"/>
  <c r="K18" i="53"/>
  <c r="L18" i="53"/>
  <c r="M18" i="53"/>
  <c r="N18" i="53"/>
  <c r="O18" i="53"/>
  <c r="P18" i="53"/>
  <c r="Q18" i="53"/>
  <c r="R18" i="53"/>
  <c r="S18" i="53"/>
  <c r="T18" i="53"/>
  <c r="U18" i="53"/>
  <c r="V18" i="53"/>
  <c r="W18" i="53"/>
  <c r="X18" i="53"/>
  <c r="Y18" i="53"/>
  <c r="Z18" i="53"/>
  <c r="AA18" i="53"/>
  <c r="AB18" i="53"/>
  <c r="AC18" i="53"/>
  <c r="AD18" i="53"/>
  <c r="AD18" i="64" s="1"/>
  <c r="AE18" i="53"/>
  <c r="AE18" i="64" s="1"/>
  <c r="AF18" i="53"/>
  <c r="AF18" i="64" s="1"/>
  <c r="AG18" i="53"/>
  <c r="AG18" i="64" s="1"/>
  <c r="AH18" i="53"/>
  <c r="AH18" i="64" s="1"/>
  <c r="AI18" i="53"/>
  <c r="AI18" i="64" s="1"/>
  <c r="AJ18" i="53"/>
  <c r="AJ18" i="64" s="1"/>
  <c r="AK18" i="53"/>
  <c r="AK18" i="64" s="1"/>
  <c r="AL18" i="53"/>
  <c r="AL18" i="64" s="1"/>
  <c r="AM18" i="53"/>
  <c r="AM18" i="64" s="1"/>
  <c r="AN18" i="53"/>
  <c r="AN18" i="64" s="1"/>
  <c r="AO18" i="53"/>
  <c r="AO18" i="64" s="1"/>
  <c r="AP18" i="53"/>
  <c r="AP18" i="64" s="1"/>
  <c r="AQ18" i="53"/>
  <c r="AQ18" i="64" s="1"/>
  <c r="AR18" i="53"/>
  <c r="AR18" i="64" s="1"/>
  <c r="AS18" i="53"/>
  <c r="AS18" i="64" s="1"/>
  <c r="AT18" i="53"/>
  <c r="AT18" i="64" s="1"/>
  <c r="AU18" i="53"/>
  <c r="AU18" i="64" s="1"/>
  <c r="AV18" i="53"/>
  <c r="AV18" i="64" s="1"/>
  <c r="AW18" i="53"/>
  <c r="AW18" i="64" s="1"/>
  <c r="AX18" i="53"/>
  <c r="AX18" i="64" s="1"/>
  <c r="AY18" i="53"/>
  <c r="AY18" i="64" s="1"/>
  <c r="AZ18" i="53"/>
  <c r="AZ18" i="64" s="1"/>
  <c r="C18" i="54"/>
  <c r="D18" i="54"/>
  <c r="E18" i="54"/>
  <c r="F18" i="54"/>
  <c r="G18" i="54"/>
  <c r="H18" i="54"/>
  <c r="I18" i="54"/>
  <c r="J18" i="54"/>
  <c r="K18" i="54"/>
  <c r="L18" i="54"/>
  <c r="M18" i="54"/>
  <c r="N18" i="54"/>
  <c r="O18" i="54"/>
  <c r="P18" i="54"/>
  <c r="Q18" i="54"/>
  <c r="R18" i="54"/>
  <c r="S18" i="54"/>
  <c r="T18" i="54"/>
  <c r="U18" i="54"/>
  <c r="V18" i="54"/>
  <c r="W18" i="54"/>
  <c r="X18" i="54"/>
  <c r="Y18" i="54"/>
  <c r="Z18" i="54"/>
  <c r="AA18" i="54"/>
  <c r="AB18" i="54"/>
  <c r="AC18" i="54"/>
  <c r="AD18" i="54"/>
  <c r="AD19" i="64" s="1"/>
  <c r="AE18" i="54"/>
  <c r="AE19" i="64" s="1"/>
  <c r="AF18" i="54"/>
  <c r="AF19" i="64" s="1"/>
  <c r="AG18" i="54"/>
  <c r="AG19" i="64" s="1"/>
  <c r="AH18" i="54"/>
  <c r="AH19" i="64" s="1"/>
  <c r="AI18" i="54"/>
  <c r="AI19" i="64" s="1"/>
  <c r="AJ18" i="54"/>
  <c r="AJ19" i="64" s="1"/>
  <c r="AK18" i="54"/>
  <c r="AK19" i="64" s="1"/>
  <c r="AL18" i="54"/>
  <c r="AL19" i="64" s="1"/>
  <c r="AM18" i="54"/>
  <c r="AM19" i="64" s="1"/>
  <c r="AN18" i="54"/>
  <c r="AN19" i="64" s="1"/>
  <c r="AO18" i="54"/>
  <c r="AO19" i="64" s="1"/>
  <c r="AP18" i="54"/>
  <c r="AP19" i="64" s="1"/>
  <c r="AQ18" i="54"/>
  <c r="AQ19" i="64" s="1"/>
  <c r="AR18" i="54"/>
  <c r="AR19" i="64" s="1"/>
  <c r="AS18" i="54"/>
  <c r="AS19" i="64" s="1"/>
  <c r="AT18" i="54"/>
  <c r="AT19" i="64" s="1"/>
  <c r="AU18" i="54"/>
  <c r="AU19" i="64" s="1"/>
  <c r="AV18" i="54"/>
  <c r="AV19" i="64" s="1"/>
  <c r="AW18" i="54"/>
  <c r="AW19" i="64" s="1"/>
  <c r="AX18" i="54"/>
  <c r="AX19" i="64" s="1"/>
  <c r="AY18" i="54"/>
  <c r="AY19" i="64" s="1"/>
  <c r="AZ18" i="54"/>
  <c r="AZ19" i="64" s="1"/>
  <c r="C18" i="55"/>
  <c r="D18" i="55"/>
  <c r="E18" i="55"/>
  <c r="F18" i="55"/>
  <c r="G18" i="55"/>
  <c r="H18" i="55"/>
  <c r="I18" i="55"/>
  <c r="J18" i="55"/>
  <c r="K18" i="55"/>
  <c r="L18" i="55"/>
  <c r="M18" i="55"/>
  <c r="N18" i="55"/>
  <c r="O18" i="55"/>
  <c r="P18" i="55"/>
  <c r="Q18" i="55"/>
  <c r="R18" i="55"/>
  <c r="S18" i="55"/>
  <c r="T18" i="55"/>
  <c r="U18" i="55"/>
  <c r="V18" i="55"/>
  <c r="W18" i="55"/>
  <c r="X18" i="55"/>
  <c r="Y18" i="55"/>
  <c r="Z18" i="55"/>
  <c r="AA18" i="55"/>
  <c r="AB18" i="55"/>
  <c r="AC18" i="55"/>
  <c r="AD18" i="55"/>
  <c r="AD20" i="64" s="1"/>
  <c r="AE18" i="55"/>
  <c r="AE20" i="64" s="1"/>
  <c r="AF18" i="55"/>
  <c r="AF20" i="64" s="1"/>
  <c r="AG18" i="55"/>
  <c r="AG20" i="64" s="1"/>
  <c r="AH18" i="55"/>
  <c r="AH20" i="64" s="1"/>
  <c r="AI18" i="55"/>
  <c r="AI20" i="64" s="1"/>
  <c r="AJ18" i="55"/>
  <c r="AJ20" i="64" s="1"/>
  <c r="AK18" i="55"/>
  <c r="AK20" i="64" s="1"/>
  <c r="AL18" i="55"/>
  <c r="AL20" i="64" s="1"/>
  <c r="AM18" i="55"/>
  <c r="AM20" i="64" s="1"/>
  <c r="AN18" i="55"/>
  <c r="AN20" i="64" s="1"/>
  <c r="AO18" i="55"/>
  <c r="AO20" i="64" s="1"/>
  <c r="AP18" i="55"/>
  <c r="AP20" i="64" s="1"/>
  <c r="AQ18" i="55"/>
  <c r="AQ20" i="64" s="1"/>
  <c r="AR18" i="55"/>
  <c r="AR20" i="64" s="1"/>
  <c r="AS18" i="55"/>
  <c r="AS20" i="64" s="1"/>
  <c r="AT18" i="55"/>
  <c r="AT20" i="64" s="1"/>
  <c r="AU18" i="55"/>
  <c r="AU20" i="64" s="1"/>
  <c r="AV18" i="55"/>
  <c r="AV20" i="64" s="1"/>
  <c r="AW18" i="55"/>
  <c r="AW20" i="64" s="1"/>
  <c r="AX18" i="55"/>
  <c r="AX20" i="64" s="1"/>
  <c r="AY18" i="55"/>
  <c r="AY20" i="64" s="1"/>
  <c r="AZ18" i="55"/>
  <c r="AZ20" i="64" s="1"/>
  <c r="C18" i="47"/>
  <c r="D18" i="47"/>
  <c r="E18" i="47"/>
  <c r="F18" i="47"/>
  <c r="G18" i="47"/>
  <c r="H18" i="47"/>
  <c r="I18" i="47"/>
  <c r="J18" i="47"/>
  <c r="K18" i="47"/>
  <c r="L18" i="47"/>
  <c r="M18" i="47"/>
  <c r="N18" i="47"/>
  <c r="O18" i="47"/>
  <c r="P18" i="47"/>
  <c r="Q18" i="47"/>
  <c r="R18" i="47"/>
  <c r="S18" i="47"/>
  <c r="T18" i="47"/>
  <c r="U18" i="47"/>
  <c r="V18" i="47"/>
  <c r="W18" i="47"/>
  <c r="X18" i="47"/>
  <c r="Y18" i="47"/>
  <c r="Z18" i="47"/>
  <c r="AA18" i="47"/>
  <c r="AB18" i="47"/>
  <c r="AC18" i="47"/>
  <c r="AD18" i="47"/>
  <c r="AD14" i="65" s="1"/>
  <c r="AE18" i="47"/>
  <c r="AE14" i="65" s="1"/>
  <c r="AF18" i="47"/>
  <c r="AF14" i="65" s="1"/>
  <c r="AG18" i="47"/>
  <c r="AG14" i="65" s="1"/>
  <c r="AI18" i="47"/>
  <c r="AH14" i="65" s="1"/>
  <c r="AJ18" i="47"/>
  <c r="AI14" i="65" s="1"/>
  <c r="AK18" i="47"/>
  <c r="AJ14" i="65" s="1"/>
  <c r="AL18" i="47"/>
  <c r="AK14" i="65" s="1"/>
  <c r="AM18" i="47"/>
  <c r="AL14" i="65" s="1"/>
  <c r="AN18" i="47"/>
  <c r="AM14" i="65" s="1"/>
  <c r="AO18" i="47"/>
  <c r="AN14" i="65" s="1"/>
  <c r="AP18" i="47"/>
  <c r="AO14" i="65" s="1"/>
  <c r="AQ18" i="47"/>
  <c r="AP14" i="65" s="1"/>
  <c r="AR18" i="47"/>
  <c r="AQ14" i="65" s="1"/>
  <c r="AS18" i="47"/>
  <c r="AR14" i="65" s="1"/>
  <c r="AT18" i="47"/>
  <c r="AS14" i="65" s="1"/>
  <c r="AU18" i="47"/>
  <c r="AT14" i="65" s="1"/>
  <c r="AV18" i="47"/>
  <c r="AU14" i="65" s="1"/>
  <c r="AW18" i="47"/>
  <c r="AV14" i="65" s="1"/>
  <c r="AX18" i="47"/>
  <c r="AW14" i="65" s="1"/>
  <c r="AY18" i="47"/>
  <c r="AX14" i="65" s="1"/>
  <c r="AZ18" i="47"/>
  <c r="AY14" i="65" s="1"/>
  <c r="BA18" i="47"/>
  <c r="AZ14" i="65" s="1"/>
  <c r="C18" i="45"/>
  <c r="D18" i="45"/>
  <c r="E18" i="45"/>
  <c r="F18" i="45"/>
  <c r="G18" i="45"/>
  <c r="H18" i="45"/>
  <c r="I18" i="45"/>
  <c r="J18" i="45"/>
  <c r="K18" i="45"/>
  <c r="L18" i="45"/>
  <c r="M18" i="45"/>
  <c r="N18" i="45"/>
  <c r="O18" i="45"/>
  <c r="P18" i="45"/>
  <c r="Q18" i="45"/>
  <c r="R18" i="45"/>
  <c r="S18" i="45"/>
  <c r="T18" i="45"/>
  <c r="U18" i="45"/>
  <c r="V18" i="45"/>
  <c r="W18" i="45"/>
  <c r="X18" i="45"/>
  <c r="Y18" i="45"/>
  <c r="Z18" i="45"/>
  <c r="AA18" i="45"/>
  <c r="AB18" i="45"/>
  <c r="AC18" i="45"/>
  <c r="AD18" i="45"/>
  <c r="AD16" i="65" s="1"/>
  <c r="AE18" i="45"/>
  <c r="AE16" i="65" s="1"/>
  <c r="AF18" i="45"/>
  <c r="AF16" i="65" s="1"/>
  <c r="AG18" i="45"/>
  <c r="AG16" i="65" s="1"/>
  <c r="AH18" i="45"/>
  <c r="AH16" i="65" s="1"/>
  <c r="AI16" i="65"/>
  <c r="AJ18" i="45"/>
  <c r="AJ16" i="65" s="1"/>
  <c r="AK18" i="45"/>
  <c r="AK16" i="65" s="1"/>
  <c r="AL18" i="45"/>
  <c r="AL16" i="65" s="1"/>
  <c r="AM18" i="45"/>
  <c r="AM16" i="65" s="1"/>
  <c r="AN18" i="45"/>
  <c r="AN16" i="65" s="1"/>
  <c r="AO18" i="45"/>
  <c r="AO16" i="65" s="1"/>
  <c r="AP18" i="45"/>
  <c r="AP16" i="65" s="1"/>
  <c r="AQ18" i="45"/>
  <c r="AQ16" i="65" s="1"/>
  <c r="AR18" i="45"/>
  <c r="AR16" i="65" s="1"/>
  <c r="AS18" i="45"/>
  <c r="AS16" i="65" s="1"/>
  <c r="AT18" i="45"/>
  <c r="AT16" i="65" s="1"/>
  <c r="AU18" i="45"/>
  <c r="AU16" i="65" s="1"/>
  <c r="AV18" i="45"/>
  <c r="AV16" i="65" s="1"/>
  <c r="AW18" i="45"/>
  <c r="AW16" i="65" s="1"/>
  <c r="AX18" i="45"/>
  <c r="AX16" i="65" s="1"/>
  <c r="AY18" i="45"/>
  <c r="AY16" i="65" s="1"/>
  <c r="AZ18" i="45"/>
  <c r="AZ16" i="65" s="1"/>
  <c r="C18" i="48"/>
  <c r="D18" i="48"/>
  <c r="E18" i="48"/>
  <c r="F18" i="48"/>
  <c r="G18" i="48"/>
  <c r="H18" i="48"/>
  <c r="I18" i="48"/>
  <c r="J18" i="48"/>
  <c r="K18" i="48"/>
  <c r="L18" i="48"/>
  <c r="M18" i="48"/>
  <c r="N18" i="48"/>
  <c r="O18" i="48"/>
  <c r="P18" i="48"/>
  <c r="Q18" i="48"/>
  <c r="R18" i="48"/>
  <c r="S18" i="48"/>
  <c r="T18" i="48"/>
  <c r="U18" i="48"/>
  <c r="V18" i="48"/>
  <c r="X18" i="48"/>
  <c r="Y18" i="48"/>
  <c r="Z18" i="48"/>
  <c r="AA18" i="48"/>
  <c r="AB18" i="48"/>
  <c r="AC18" i="48"/>
  <c r="AD18" i="48"/>
  <c r="AD18" i="65" s="1"/>
  <c r="AE18" i="48"/>
  <c r="AE18" i="65" s="1"/>
  <c r="AF18" i="48"/>
  <c r="AF18" i="65" s="1"/>
  <c r="AG18" i="48"/>
  <c r="AG18" i="65" s="1"/>
  <c r="AH18" i="48"/>
  <c r="AH18" i="65" s="1"/>
  <c r="AI18" i="48"/>
  <c r="AI18" i="65" s="1"/>
  <c r="AJ18" i="48"/>
  <c r="AJ18" i="65" s="1"/>
  <c r="AK18" i="48"/>
  <c r="AK18" i="65" s="1"/>
  <c r="AL18" i="48"/>
  <c r="AL18" i="65" s="1"/>
  <c r="AM18" i="48"/>
  <c r="AM18" i="65" s="1"/>
  <c r="AN18" i="48"/>
  <c r="AN18" i="65" s="1"/>
  <c r="AO18" i="48"/>
  <c r="AO18" i="65" s="1"/>
  <c r="AP18" i="48"/>
  <c r="AP18" i="65" s="1"/>
  <c r="AQ18" i="48"/>
  <c r="AQ18" i="65" s="1"/>
  <c r="AR18" i="48"/>
  <c r="AR18" i="65" s="1"/>
  <c r="AS18" i="48"/>
  <c r="AS18" i="65" s="1"/>
  <c r="AT18" i="48"/>
  <c r="AT18" i="65" s="1"/>
  <c r="AU18" i="48"/>
  <c r="AU18" i="65" s="1"/>
  <c r="AV18" i="48"/>
  <c r="AV18" i="65" s="1"/>
  <c r="AW18" i="48"/>
  <c r="AW18" i="65" s="1"/>
  <c r="AX18" i="48"/>
  <c r="AX18" i="65" s="1"/>
  <c r="AY18" i="48"/>
  <c r="AY18" i="65" s="1"/>
  <c r="AZ18" i="48"/>
  <c r="AZ18" i="65" s="1"/>
  <c r="C18" i="46"/>
  <c r="D18" i="46"/>
  <c r="E18" i="46"/>
  <c r="F18" i="46"/>
  <c r="G18" i="46"/>
  <c r="H18" i="46"/>
  <c r="I18" i="46"/>
  <c r="J18" i="46"/>
  <c r="K18" i="46"/>
  <c r="L18" i="46"/>
  <c r="M18" i="46"/>
  <c r="N18" i="46"/>
  <c r="O18" i="46"/>
  <c r="P18" i="46"/>
  <c r="Q18" i="46"/>
  <c r="R18" i="46"/>
  <c r="S18" i="46"/>
  <c r="T18" i="46"/>
  <c r="U18" i="46"/>
  <c r="V18" i="46"/>
  <c r="W18" i="46"/>
  <c r="X18" i="46"/>
  <c r="Y18" i="46"/>
  <c r="Z18" i="46"/>
  <c r="AA18" i="46"/>
  <c r="AB18" i="46"/>
  <c r="AC18" i="46"/>
  <c r="AD18" i="46"/>
  <c r="AD20" i="65" s="1"/>
  <c r="AE18" i="46"/>
  <c r="AE20" i="65" s="1"/>
  <c r="AF18" i="46"/>
  <c r="AF20" i="65" s="1"/>
  <c r="AG18" i="46"/>
  <c r="AG20" i="65" s="1"/>
  <c r="AH18" i="46"/>
  <c r="AH20" i="65" s="1"/>
  <c r="AI18" i="46"/>
  <c r="AI20" i="65" s="1"/>
  <c r="AJ18" i="46"/>
  <c r="AJ20" i="65" s="1"/>
  <c r="AK18" i="46"/>
  <c r="AK20" i="65" s="1"/>
  <c r="AL18" i="46"/>
  <c r="AL20" i="65" s="1"/>
  <c r="AM18" i="46"/>
  <c r="AM20" i="65" s="1"/>
  <c r="AN18" i="46"/>
  <c r="AN20" i="65" s="1"/>
  <c r="AO18" i="46"/>
  <c r="AO20" i="65" s="1"/>
  <c r="AP18" i="46"/>
  <c r="AP20" i="65" s="1"/>
  <c r="AQ18" i="46"/>
  <c r="AQ20" i="65" s="1"/>
  <c r="AR18" i="46"/>
  <c r="AR20" i="65" s="1"/>
  <c r="AS18" i="46"/>
  <c r="AS20" i="65" s="1"/>
  <c r="AT18" i="46"/>
  <c r="AT20" i="65" s="1"/>
  <c r="AU18" i="46"/>
  <c r="AU20" i="65" s="1"/>
  <c r="AV18" i="46"/>
  <c r="AV20" i="65" s="1"/>
  <c r="AW18" i="46"/>
  <c r="AW20" i="65" s="1"/>
  <c r="AX18" i="46"/>
  <c r="AX20" i="65" s="1"/>
  <c r="AY18" i="46"/>
  <c r="AY20" i="65" s="1"/>
  <c r="AZ18" i="46"/>
  <c r="AZ20" i="65" s="1"/>
  <c r="C18" i="56"/>
  <c r="D18" i="56"/>
  <c r="E18" i="56"/>
  <c r="F18" i="56"/>
  <c r="G18" i="56"/>
  <c r="H18" i="56"/>
  <c r="I18" i="56"/>
  <c r="J18" i="56"/>
  <c r="K18" i="56"/>
  <c r="L18" i="56"/>
  <c r="M18" i="56"/>
  <c r="N18" i="56"/>
  <c r="O18" i="56"/>
  <c r="P18" i="56"/>
  <c r="Q18" i="56"/>
  <c r="R18" i="56"/>
  <c r="S18" i="56"/>
  <c r="T18" i="56"/>
  <c r="U18" i="56"/>
  <c r="V18" i="56"/>
  <c r="W18" i="56"/>
  <c r="X18" i="56"/>
  <c r="Y18" i="56"/>
  <c r="Z18" i="56"/>
  <c r="AA18" i="56"/>
  <c r="AB18" i="56"/>
  <c r="AC18" i="56"/>
  <c r="AD18" i="56"/>
  <c r="AD22" i="65" s="1"/>
  <c r="AE18" i="56"/>
  <c r="AE22" i="65" s="1"/>
  <c r="AF18" i="56"/>
  <c r="AF22" i="65" s="1"/>
  <c r="AG18" i="56"/>
  <c r="AG22" i="65" s="1"/>
  <c r="AH18" i="56"/>
  <c r="AH22" i="65" s="1"/>
  <c r="AI18" i="56"/>
  <c r="AI22" i="65" s="1"/>
  <c r="AJ18" i="56"/>
  <c r="AJ22" i="65" s="1"/>
  <c r="AK18" i="56"/>
  <c r="AK22" i="65" s="1"/>
  <c r="AL18" i="56"/>
  <c r="AL22" i="65" s="1"/>
  <c r="AM18" i="56"/>
  <c r="AM22" i="65" s="1"/>
  <c r="AN18" i="56"/>
  <c r="AN22" i="65" s="1"/>
  <c r="AO18" i="56"/>
  <c r="AO22" i="65" s="1"/>
  <c r="AP18" i="56"/>
  <c r="AP22" i="65" s="1"/>
  <c r="AQ18" i="56"/>
  <c r="AQ22" i="65" s="1"/>
  <c r="AR18" i="56"/>
  <c r="AR22" i="65" s="1"/>
  <c r="AS18" i="56"/>
  <c r="AS22" i="65" s="1"/>
  <c r="AT18" i="56"/>
  <c r="AT22" i="65" s="1"/>
  <c r="AU18" i="56"/>
  <c r="AU22" i="65" s="1"/>
  <c r="AV18" i="56"/>
  <c r="AV22" i="65" s="1"/>
  <c r="AW18" i="56"/>
  <c r="AW22" i="65" s="1"/>
  <c r="AX18" i="56"/>
  <c r="AX22" i="65" s="1"/>
  <c r="AY18" i="56"/>
  <c r="AY22" i="65" s="1"/>
  <c r="AZ18" i="56"/>
  <c r="AZ22" i="65" s="1"/>
  <c r="C18" i="58"/>
  <c r="D18" i="58"/>
  <c r="E18" i="58"/>
  <c r="F18" i="58"/>
  <c r="G18" i="58"/>
  <c r="H18" i="58"/>
  <c r="I18" i="58"/>
  <c r="J18" i="58"/>
  <c r="K18" i="58"/>
  <c r="L18" i="58"/>
  <c r="M18" i="58"/>
  <c r="N18" i="58"/>
  <c r="O18" i="58"/>
  <c r="P18" i="58"/>
  <c r="Q18" i="58"/>
  <c r="R18" i="58"/>
  <c r="S18" i="58"/>
  <c r="T18" i="58"/>
  <c r="U18" i="58"/>
  <c r="V18" i="58"/>
  <c r="W18" i="58"/>
  <c r="X18" i="58"/>
  <c r="Y18" i="58"/>
  <c r="Z18" i="58"/>
  <c r="AA18" i="58"/>
  <c r="AB18" i="58"/>
  <c r="AC18" i="58"/>
  <c r="AD18" i="58"/>
  <c r="AD23" i="65" s="1"/>
  <c r="AE18" i="58"/>
  <c r="AE23" i="65" s="1"/>
  <c r="AF23" i="65"/>
  <c r="AG18" i="58"/>
  <c r="AG23" i="65" s="1"/>
  <c r="AH18" i="58"/>
  <c r="AH23" i="65" s="1"/>
  <c r="AI18" i="58"/>
  <c r="AI23" i="65" s="1"/>
  <c r="AJ18" i="58"/>
  <c r="AJ23" i="65" s="1"/>
  <c r="AK18" i="58"/>
  <c r="AK23" i="65" s="1"/>
  <c r="AL18" i="58"/>
  <c r="AL23" i="65" s="1"/>
  <c r="AM18" i="58"/>
  <c r="AM23" i="65" s="1"/>
  <c r="AN18" i="58"/>
  <c r="AN23" i="65" s="1"/>
  <c r="AO18" i="58"/>
  <c r="AO23" i="65" s="1"/>
  <c r="AP18" i="58"/>
  <c r="AP23" i="65" s="1"/>
  <c r="AQ18" i="58"/>
  <c r="AQ23" i="65" s="1"/>
  <c r="AR18" i="58"/>
  <c r="AR23" i="65" s="1"/>
  <c r="AS18" i="58"/>
  <c r="AS23" i="65" s="1"/>
  <c r="AT18" i="58"/>
  <c r="AT23" i="65" s="1"/>
  <c r="AU18" i="58"/>
  <c r="AU23" i="65" s="1"/>
  <c r="AV18" i="58"/>
  <c r="AV23" i="65" s="1"/>
  <c r="AW18" i="58"/>
  <c r="AW23" i="65" s="1"/>
  <c r="AX18" i="58"/>
  <c r="AX23" i="65" s="1"/>
  <c r="AY18" i="58"/>
  <c r="AY23" i="65" s="1"/>
  <c r="AZ18" i="58"/>
  <c r="AZ23" i="65" s="1"/>
  <c r="C18" i="57"/>
  <c r="D18" i="57"/>
  <c r="E18" i="57"/>
  <c r="F18" i="57"/>
  <c r="G18" i="57"/>
  <c r="H18" i="57"/>
  <c r="I18" i="57"/>
  <c r="J18" i="57"/>
  <c r="K18" i="57"/>
  <c r="L18" i="57"/>
  <c r="M18" i="57"/>
  <c r="N18" i="57"/>
  <c r="O18" i="57"/>
  <c r="P18" i="57"/>
  <c r="Q18" i="57"/>
  <c r="R18" i="57"/>
  <c r="S18" i="57"/>
  <c r="T18" i="57"/>
  <c r="U18" i="57"/>
  <c r="V18" i="57"/>
  <c r="W18" i="57"/>
  <c r="X18" i="57"/>
  <c r="Y18" i="57"/>
  <c r="Z18" i="57"/>
  <c r="AA18" i="57"/>
  <c r="AB18" i="57"/>
  <c r="AC18" i="57"/>
  <c r="AD18" i="57"/>
  <c r="AD24" i="65" s="1"/>
  <c r="AE18" i="57"/>
  <c r="AE24" i="65" s="1"/>
  <c r="AF18" i="57"/>
  <c r="AF24" i="65" s="1"/>
  <c r="AG18" i="57"/>
  <c r="AG24" i="65" s="1"/>
  <c r="AH18" i="57"/>
  <c r="AH24" i="65" s="1"/>
  <c r="AI18" i="57"/>
  <c r="AI24" i="65" s="1"/>
  <c r="AJ18" i="57"/>
  <c r="AJ24" i="65" s="1"/>
  <c r="AK18" i="57"/>
  <c r="AK24" i="65" s="1"/>
  <c r="AL18" i="57"/>
  <c r="AL24" i="65" s="1"/>
  <c r="AM18" i="57"/>
  <c r="AM24" i="65" s="1"/>
  <c r="AN18" i="57"/>
  <c r="AN24" i="65" s="1"/>
  <c r="AO18" i="57"/>
  <c r="AO24" i="65" s="1"/>
  <c r="AP18" i="57"/>
  <c r="AP24" i="65" s="1"/>
  <c r="AQ18" i="57"/>
  <c r="AQ24" i="65" s="1"/>
  <c r="AR18" i="57"/>
  <c r="AR24" i="65" s="1"/>
  <c r="AS18" i="57"/>
  <c r="AS24" i="65" s="1"/>
  <c r="AT18" i="57"/>
  <c r="AT24" i="65" s="1"/>
  <c r="AU18" i="57"/>
  <c r="AU24" i="65" s="1"/>
  <c r="AV18" i="57"/>
  <c r="AV24" i="65" s="1"/>
  <c r="AW18" i="57"/>
  <c r="AW24" i="65" s="1"/>
  <c r="AX18" i="57"/>
  <c r="AX24" i="65" s="1"/>
  <c r="AY18" i="57"/>
  <c r="AY24" i="65" s="1"/>
  <c r="AZ18" i="57"/>
  <c r="AZ24" i="65" s="1"/>
  <c r="C18" i="59"/>
  <c r="D18" i="59"/>
  <c r="E18" i="59"/>
  <c r="F18" i="59"/>
  <c r="G18" i="59"/>
  <c r="H18" i="59"/>
  <c r="I18" i="59"/>
  <c r="J18" i="59"/>
  <c r="K18" i="59"/>
  <c r="L18" i="59"/>
  <c r="M18" i="59"/>
  <c r="N18" i="59"/>
  <c r="O18" i="59"/>
  <c r="P18" i="59"/>
  <c r="Q18" i="59"/>
  <c r="R18" i="59"/>
  <c r="S18" i="59"/>
  <c r="T18" i="59"/>
  <c r="U18" i="59"/>
  <c r="V18" i="59"/>
  <c r="W18" i="59"/>
  <c r="X18" i="59"/>
  <c r="Y18" i="59"/>
  <c r="Z18" i="59"/>
  <c r="AA18" i="59"/>
  <c r="AB18" i="59"/>
  <c r="AC18" i="59"/>
  <c r="AD18" i="59"/>
  <c r="AD28" i="65" s="1"/>
  <c r="AE18" i="59"/>
  <c r="AE28" i="65" s="1"/>
  <c r="AF18" i="59"/>
  <c r="AF28" i="65" s="1"/>
  <c r="AG18" i="59"/>
  <c r="AG28" i="65" s="1"/>
  <c r="AH18" i="59"/>
  <c r="AH28" i="65" s="1"/>
  <c r="AI18" i="59"/>
  <c r="AI28" i="65" s="1"/>
  <c r="AJ18" i="59"/>
  <c r="AJ28" i="65" s="1"/>
  <c r="AK18" i="59"/>
  <c r="AK28" i="65" s="1"/>
  <c r="AL18" i="59"/>
  <c r="AL28" i="65" s="1"/>
  <c r="AM18" i="59"/>
  <c r="AM28" i="65" s="1"/>
  <c r="AN18" i="59"/>
  <c r="AN28" i="65" s="1"/>
  <c r="AO18" i="59"/>
  <c r="AO28" i="65" s="1"/>
  <c r="AP18" i="59"/>
  <c r="AP28" i="65" s="1"/>
  <c r="AQ18" i="59"/>
  <c r="AQ28" i="65" s="1"/>
  <c r="AR18" i="59"/>
  <c r="AR28" i="65" s="1"/>
  <c r="AS18" i="59"/>
  <c r="AS28" i="65" s="1"/>
  <c r="AT18" i="59"/>
  <c r="AT28" i="65" s="1"/>
  <c r="AU18" i="59"/>
  <c r="AU28" i="65" s="1"/>
  <c r="AV18" i="59"/>
  <c r="AV28" i="65" s="1"/>
  <c r="AW18" i="59"/>
  <c r="AW28" i="65" s="1"/>
  <c r="AX18" i="59"/>
  <c r="AX28" i="65" s="1"/>
  <c r="AY18" i="59"/>
  <c r="AY28" i="65" s="1"/>
  <c r="AZ18" i="59"/>
  <c r="AZ28" i="65" s="1"/>
  <c r="C18" i="60"/>
  <c r="D18" i="60"/>
  <c r="E18" i="60"/>
  <c r="F18" i="60"/>
  <c r="G18" i="60"/>
  <c r="H18" i="60"/>
  <c r="I18" i="60"/>
  <c r="J18" i="60"/>
  <c r="K18" i="60"/>
  <c r="L18" i="60"/>
  <c r="M18" i="60"/>
  <c r="N18" i="60"/>
  <c r="O18" i="60"/>
  <c r="P18" i="60"/>
  <c r="Q18" i="60"/>
  <c r="R18" i="60"/>
  <c r="S18" i="60"/>
  <c r="T18" i="60"/>
  <c r="U18" i="60"/>
  <c r="V18" i="60"/>
  <c r="W18" i="60"/>
  <c r="X18" i="60"/>
  <c r="Y18" i="60"/>
  <c r="Z18" i="60"/>
  <c r="AA18" i="60"/>
  <c r="AB18" i="60"/>
  <c r="AC18" i="60"/>
  <c r="AD18" i="60"/>
  <c r="AD29" i="65" s="1"/>
  <c r="AE18" i="60"/>
  <c r="AE29" i="65" s="1"/>
  <c r="AF18" i="60"/>
  <c r="AF29" i="65" s="1"/>
  <c r="AG18" i="60"/>
  <c r="AG29" i="65" s="1"/>
  <c r="AH18" i="60"/>
  <c r="AH29" i="65" s="1"/>
  <c r="AI18" i="60"/>
  <c r="AI29" i="65" s="1"/>
  <c r="AJ18" i="60"/>
  <c r="AJ29" i="65" s="1"/>
  <c r="AK18" i="60"/>
  <c r="AK29" i="65" s="1"/>
  <c r="AL18" i="60"/>
  <c r="AL29" i="65" s="1"/>
  <c r="AM18" i="60"/>
  <c r="AM29" i="65" s="1"/>
  <c r="AN18" i="60"/>
  <c r="AN29" i="65" s="1"/>
  <c r="AO18" i="60"/>
  <c r="AO29" i="65" s="1"/>
  <c r="AP18" i="60"/>
  <c r="AP29" i="65" s="1"/>
  <c r="AQ18" i="60"/>
  <c r="AQ29" i="65" s="1"/>
  <c r="AR18" i="60"/>
  <c r="AR29" i="65" s="1"/>
  <c r="AS18" i="60"/>
  <c r="AS29" i="65" s="1"/>
  <c r="AT18" i="60"/>
  <c r="AT29" i="65" s="1"/>
  <c r="AU18" i="60"/>
  <c r="AU29" i="65" s="1"/>
  <c r="AV18" i="60"/>
  <c r="AV29" i="65" s="1"/>
  <c r="AW18" i="60"/>
  <c r="AW29" i="65" s="1"/>
  <c r="AX18" i="60"/>
  <c r="AX29" i="65" s="1"/>
  <c r="AY18" i="60"/>
  <c r="AY29" i="65" s="1"/>
  <c r="AZ18" i="60"/>
  <c r="AZ29" i="65" s="1"/>
  <c r="C18" i="61"/>
  <c r="D18" i="61"/>
  <c r="E18" i="61"/>
  <c r="F18" i="61"/>
  <c r="G18" i="61"/>
  <c r="H18" i="61"/>
  <c r="I18" i="61"/>
  <c r="J18" i="61"/>
  <c r="K18" i="61"/>
  <c r="L18" i="61"/>
  <c r="M18" i="61"/>
  <c r="N18" i="61"/>
  <c r="O18" i="61"/>
  <c r="P18" i="61"/>
  <c r="Q18" i="61"/>
  <c r="R18" i="61"/>
  <c r="S18" i="61"/>
  <c r="T18" i="61"/>
  <c r="U18" i="61"/>
  <c r="V18" i="61"/>
  <c r="W18" i="61"/>
  <c r="X18" i="61"/>
  <c r="Y18" i="61"/>
  <c r="Z18" i="61"/>
  <c r="AA18" i="61"/>
  <c r="AB18" i="61"/>
  <c r="AC18" i="61"/>
  <c r="AD18" i="61"/>
  <c r="AD30" i="65" s="1"/>
  <c r="AE18" i="61"/>
  <c r="AE30" i="65" s="1"/>
  <c r="AF18" i="61"/>
  <c r="AF30" i="65" s="1"/>
  <c r="AG18" i="61"/>
  <c r="AG30" i="65" s="1"/>
  <c r="AH18" i="61"/>
  <c r="AH30" i="65" s="1"/>
  <c r="AI18" i="61"/>
  <c r="AI30" i="65" s="1"/>
  <c r="AJ18" i="61"/>
  <c r="AJ30" i="65" s="1"/>
  <c r="AK18" i="61"/>
  <c r="AK30" i="65" s="1"/>
  <c r="AL18" i="61"/>
  <c r="AL30" i="65" s="1"/>
  <c r="AM18" i="61"/>
  <c r="AM30" i="65" s="1"/>
  <c r="AN18" i="61"/>
  <c r="AN30" i="65" s="1"/>
  <c r="AO18" i="61"/>
  <c r="AO30" i="65" s="1"/>
  <c r="AP18" i="61"/>
  <c r="AP30" i="65" s="1"/>
  <c r="AQ18" i="61"/>
  <c r="AQ30" i="65" s="1"/>
  <c r="AR18" i="61"/>
  <c r="AR30" i="65" s="1"/>
  <c r="AS18" i="61"/>
  <c r="AS30" i="65" s="1"/>
  <c r="AT18" i="61"/>
  <c r="AT30" i="65" s="1"/>
  <c r="AU18" i="61"/>
  <c r="AU30" i="65" s="1"/>
  <c r="AV18" i="61"/>
  <c r="AV30" i="65" s="1"/>
  <c r="AW18" i="61"/>
  <c r="AW30" i="65" s="1"/>
  <c r="AX18" i="61"/>
  <c r="AX30" i="65" s="1"/>
  <c r="AY18" i="61"/>
  <c r="AY30" i="65" s="1"/>
  <c r="AZ18" i="61"/>
  <c r="AZ30" i="65" s="1"/>
  <c r="C18" i="43"/>
  <c r="D18" i="43"/>
  <c r="E18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Z18" i="43"/>
  <c r="AA18" i="43"/>
  <c r="AB18" i="43"/>
  <c r="AC18" i="43"/>
  <c r="AD18" i="43"/>
  <c r="AD10" i="64" s="1"/>
  <c r="AE18" i="43"/>
  <c r="AE10" i="64" s="1"/>
  <c r="AF18" i="43"/>
  <c r="AF10" i="64" s="1"/>
  <c r="AG18" i="43"/>
  <c r="AG10" i="64" s="1"/>
  <c r="AH18" i="43"/>
  <c r="AH10" i="64" s="1"/>
  <c r="AI18" i="43"/>
  <c r="AI10" i="64" s="1"/>
  <c r="AJ18" i="43"/>
  <c r="AJ10" i="64" s="1"/>
  <c r="AK18" i="43"/>
  <c r="AK10" i="64" s="1"/>
  <c r="AL18" i="43"/>
  <c r="AL10" i="64" s="1"/>
  <c r="AM18" i="43"/>
  <c r="AM10" i="64" s="1"/>
  <c r="AN18" i="43"/>
  <c r="AN10" i="64" s="1"/>
  <c r="AO18" i="43"/>
  <c r="AO10" i="64" s="1"/>
  <c r="AP18" i="43"/>
  <c r="AP10" i="64" s="1"/>
  <c r="AQ18" i="43"/>
  <c r="AQ10" i="64" s="1"/>
  <c r="AR18" i="43"/>
  <c r="AR10" i="64" s="1"/>
  <c r="AS18" i="43"/>
  <c r="AS10" i="64" s="1"/>
  <c r="AT18" i="43"/>
  <c r="AT10" i="64" s="1"/>
  <c r="AU18" i="43"/>
  <c r="AU10" i="64" s="1"/>
  <c r="AV18" i="43"/>
  <c r="AV10" i="64" s="1"/>
  <c r="AW18" i="43"/>
  <c r="AW10" i="64" s="1"/>
  <c r="AX18" i="43"/>
  <c r="AX10" i="64" s="1"/>
  <c r="AY18" i="43"/>
  <c r="AY10" i="64" s="1"/>
  <c r="AZ18" i="43"/>
  <c r="AZ10" i="64" s="1"/>
  <c r="B18" i="31"/>
  <c r="B18" i="36"/>
  <c r="B18" i="35"/>
  <c r="B18" i="33"/>
  <c r="B18" i="34"/>
  <c r="B18" i="38"/>
  <c r="B18" i="40"/>
  <c r="B18" i="39"/>
  <c r="B18" i="41"/>
  <c r="B18" i="44"/>
  <c r="B18" i="42"/>
  <c r="B18" i="49"/>
  <c r="B18" i="50"/>
  <c r="B18" i="67"/>
  <c r="B18" i="51"/>
  <c r="B18" i="52"/>
  <c r="B18" i="53"/>
  <c r="B18" i="54"/>
  <c r="B18" i="55"/>
  <c r="B18" i="47"/>
  <c r="B18" i="45"/>
  <c r="B18" i="48"/>
  <c r="B18" i="46"/>
  <c r="B18" i="56"/>
  <c r="B18" i="58"/>
  <c r="B18" i="57"/>
  <c r="B18" i="59"/>
  <c r="B18" i="60"/>
  <c r="B18" i="61"/>
  <c r="B18" i="43"/>
  <c r="CF6" i="31"/>
  <c r="CF7" i="31"/>
  <c r="CF8" i="31"/>
  <c r="CF9" i="31"/>
  <c r="CF10" i="31"/>
  <c r="CF11" i="31"/>
  <c r="CF12" i="31"/>
  <c r="CF13" i="31"/>
  <c r="CF14" i="31"/>
  <c r="CF15" i="31"/>
  <c r="CF16" i="31"/>
  <c r="CF6" i="36"/>
  <c r="CF7" i="36"/>
  <c r="CF8" i="36"/>
  <c r="CF9" i="36"/>
  <c r="CF10" i="36"/>
  <c r="CF11" i="36"/>
  <c r="CF12" i="36"/>
  <c r="CF13" i="36"/>
  <c r="CF14" i="36"/>
  <c r="CF15" i="36"/>
  <c r="CF16" i="36"/>
  <c r="CF6" i="35"/>
  <c r="CF7" i="35"/>
  <c r="CF8" i="35"/>
  <c r="CF9" i="35"/>
  <c r="CF10" i="35"/>
  <c r="CF11" i="35"/>
  <c r="CF12" i="35"/>
  <c r="CF13" i="35"/>
  <c r="CF14" i="35"/>
  <c r="CF15" i="35"/>
  <c r="CF16" i="35"/>
  <c r="CF6" i="33"/>
  <c r="CF7" i="33"/>
  <c r="CF8" i="33"/>
  <c r="CF9" i="33"/>
  <c r="CF10" i="33"/>
  <c r="CF11" i="33"/>
  <c r="CF12" i="33"/>
  <c r="CF13" i="33"/>
  <c r="CF14" i="33"/>
  <c r="CF15" i="33"/>
  <c r="CF16" i="33"/>
  <c r="CF6" i="34"/>
  <c r="CF7" i="34"/>
  <c r="CF8" i="34"/>
  <c r="CF9" i="34"/>
  <c r="CF10" i="34"/>
  <c r="CF11" i="34"/>
  <c r="CF12" i="34"/>
  <c r="CF13" i="34"/>
  <c r="CF14" i="34"/>
  <c r="CF15" i="34"/>
  <c r="CF16" i="34"/>
  <c r="CF6" i="38"/>
  <c r="CF7" i="38"/>
  <c r="CF8" i="38"/>
  <c r="CF9" i="38"/>
  <c r="CF10" i="38"/>
  <c r="CF11" i="38"/>
  <c r="CF12" i="38"/>
  <c r="CF13" i="38"/>
  <c r="CF14" i="38"/>
  <c r="CF15" i="38"/>
  <c r="CF16" i="38"/>
  <c r="CF6" i="40"/>
  <c r="CF7" i="40"/>
  <c r="CF8" i="40"/>
  <c r="CF9" i="40"/>
  <c r="CF10" i="40"/>
  <c r="CF11" i="40"/>
  <c r="CF12" i="40"/>
  <c r="CF13" i="40"/>
  <c r="CF14" i="40"/>
  <c r="CF15" i="40"/>
  <c r="CF16" i="40"/>
  <c r="CF6" i="39"/>
  <c r="CF7" i="39"/>
  <c r="CF8" i="39"/>
  <c r="CF9" i="39"/>
  <c r="CF10" i="39"/>
  <c r="CF11" i="39"/>
  <c r="CF12" i="39"/>
  <c r="CF13" i="39"/>
  <c r="CF14" i="39"/>
  <c r="CF15" i="39"/>
  <c r="CF16" i="39"/>
  <c r="CF6" i="41"/>
  <c r="CF7" i="41"/>
  <c r="CF8" i="41"/>
  <c r="CF9" i="41"/>
  <c r="CF10" i="41"/>
  <c r="CF11" i="41"/>
  <c r="CF12" i="41"/>
  <c r="CF13" i="41"/>
  <c r="CF14" i="41"/>
  <c r="CF15" i="41"/>
  <c r="CF16" i="41"/>
  <c r="CF6" i="44"/>
  <c r="CF7" i="44"/>
  <c r="CF8" i="44"/>
  <c r="CF9" i="44"/>
  <c r="CF10" i="44"/>
  <c r="CF11" i="44"/>
  <c r="CF12" i="44"/>
  <c r="CF13" i="44"/>
  <c r="CF14" i="44"/>
  <c r="CF15" i="44"/>
  <c r="CF16" i="44"/>
  <c r="CF6" i="43"/>
  <c r="CF7" i="43"/>
  <c r="CF8" i="43"/>
  <c r="CF9" i="43"/>
  <c r="CF10" i="43"/>
  <c r="CF11" i="43"/>
  <c r="CF12" i="43"/>
  <c r="CF13" i="43"/>
  <c r="CF14" i="43"/>
  <c r="CF15" i="43"/>
  <c r="CF16" i="43"/>
  <c r="CF6" i="49"/>
  <c r="CF7" i="49"/>
  <c r="CF8" i="49"/>
  <c r="CF9" i="49"/>
  <c r="CF10" i="49"/>
  <c r="CF11" i="49"/>
  <c r="CF12" i="49"/>
  <c r="CF13" i="49"/>
  <c r="CF14" i="49"/>
  <c r="CF15" i="49"/>
  <c r="CF16" i="49"/>
  <c r="CF6" i="50"/>
  <c r="CF7" i="50"/>
  <c r="CF8" i="50"/>
  <c r="CF9" i="50"/>
  <c r="CF10" i="50"/>
  <c r="CF11" i="50"/>
  <c r="CF12" i="50"/>
  <c r="CF13" i="50"/>
  <c r="CF14" i="50"/>
  <c r="CF15" i="50"/>
  <c r="CF16" i="50"/>
  <c r="CF6" i="67"/>
  <c r="CF7" i="67"/>
  <c r="CF8" i="67"/>
  <c r="CF9" i="67"/>
  <c r="CF10" i="67"/>
  <c r="CF11" i="67"/>
  <c r="CF12" i="67"/>
  <c r="CF13" i="67"/>
  <c r="CF14" i="67"/>
  <c r="CF15" i="67"/>
  <c r="CF16" i="67"/>
  <c r="CF6" i="51"/>
  <c r="CF7" i="51"/>
  <c r="CF8" i="51"/>
  <c r="CF9" i="51"/>
  <c r="CF10" i="51"/>
  <c r="CF11" i="51"/>
  <c r="CF12" i="51"/>
  <c r="CF13" i="51"/>
  <c r="CF14" i="51"/>
  <c r="CF15" i="51"/>
  <c r="CF16" i="51"/>
  <c r="CF6" i="52"/>
  <c r="CF7" i="52"/>
  <c r="CF8" i="52"/>
  <c r="CF9" i="52"/>
  <c r="CF10" i="52"/>
  <c r="CF11" i="52"/>
  <c r="CF12" i="52"/>
  <c r="CF13" i="52"/>
  <c r="CF14" i="52"/>
  <c r="CF15" i="52"/>
  <c r="CF16" i="52"/>
  <c r="CF6" i="53"/>
  <c r="CF7" i="53"/>
  <c r="CF8" i="53"/>
  <c r="CF9" i="53"/>
  <c r="CF10" i="53"/>
  <c r="CF11" i="53"/>
  <c r="CF12" i="53"/>
  <c r="CF13" i="53"/>
  <c r="CF14" i="53"/>
  <c r="CF15" i="53"/>
  <c r="CF16" i="53"/>
  <c r="CF6" i="54"/>
  <c r="CF7" i="54"/>
  <c r="CF8" i="54"/>
  <c r="CF9" i="54"/>
  <c r="CF10" i="54"/>
  <c r="CF11" i="54"/>
  <c r="CF12" i="54"/>
  <c r="CF13" i="54"/>
  <c r="CF14" i="54"/>
  <c r="CF15" i="54"/>
  <c r="CF16" i="54"/>
  <c r="CF6" i="55"/>
  <c r="CF7" i="55"/>
  <c r="CF8" i="55"/>
  <c r="CF9" i="55"/>
  <c r="CF10" i="55"/>
  <c r="CF11" i="55"/>
  <c r="CF12" i="55"/>
  <c r="CF13" i="55"/>
  <c r="CF14" i="55"/>
  <c r="CF15" i="55"/>
  <c r="CF16" i="55"/>
  <c r="CH6" i="47"/>
  <c r="CH7" i="47"/>
  <c r="CH8" i="47"/>
  <c r="CH9" i="47"/>
  <c r="CH10" i="47"/>
  <c r="CH11" i="47"/>
  <c r="CH12" i="47"/>
  <c r="CH13" i="47"/>
  <c r="CH14" i="47"/>
  <c r="CH15" i="47"/>
  <c r="CH16" i="47"/>
  <c r="CF6" i="45"/>
  <c r="CF7" i="45"/>
  <c r="CF8" i="45"/>
  <c r="CF9" i="45"/>
  <c r="CF10" i="45"/>
  <c r="CF11" i="45"/>
  <c r="CF12" i="45"/>
  <c r="CF13" i="45"/>
  <c r="CF14" i="45"/>
  <c r="CF15" i="45"/>
  <c r="CF16" i="45"/>
  <c r="CF6" i="48"/>
  <c r="CF7" i="48"/>
  <c r="CF8" i="48"/>
  <c r="CF9" i="48"/>
  <c r="CF10" i="48"/>
  <c r="CF11" i="48"/>
  <c r="CF12" i="48"/>
  <c r="CF13" i="48"/>
  <c r="CF14" i="48"/>
  <c r="CF15" i="48"/>
  <c r="CF16" i="48"/>
  <c r="CF6" i="46"/>
  <c r="CF7" i="46"/>
  <c r="CF8" i="46"/>
  <c r="CF9" i="46"/>
  <c r="CF10" i="46"/>
  <c r="CF11" i="46"/>
  <c r="CF12" i="46"/>
  <c r="CF13" i="46"/>
  <c r="CF14" i="46"/>
  <c r="CF15" i="46"/>
  <c r="CF16" i="46"/>
  <c r="CF6" i="56"/>
  <c r="CF7" i="56"/>
  <c r="CF8" i="56"/>
  <c r="CF9" i="56"/>
  <c r="CF10" i="56"/>
  <c r="CF11" i="56"/>
  <c r="CF12" i="56"/>
  <c r="CF13" i="56"/>
  <c r="CF14" i="56"/>
  <c r="CF15" i="56"/>
  <c r="CF16" i="56"/>
  <c r="CF6" i="58"/>
  <c r="CF7" i="58"/>
  <c r="CF8" i="58"/>
  <c r="CF9" i="58"/>
  <c r="CF10" i="58"/>
  <c r="CF11" i="58"/>
  <c r="CF12" i="58"/>
  <c r="CF13" i="58"/>
  <c r="CF14" i="58"/>
  <c r="CF15" i="58"/>
  <c r="CF16" i="58"/>
  <c r="CG6" i="57"/>
  <c r="CG7" i="57"/>
  <c r="CG8" i="57"/>
  <c r="CG9" i="57"/>
  <c r="CG10" i="57"/>
  <c r="CG11" i="57"/>
  <c r="CG12" i="57"/>
  <c r="CG13" i="57"/>
  <c r="CG14" i="57"/>
  <c r="CG15" i="57"/>
  <c r="CG16" i="57"/>
  <c r="CF6" i="59"/>
  <c r="CF7" i="59"/>
  <c r="CF8" i="59"/>
  <c r="CF9" i="59"/>
  <c r="CF10" i="59"/>
  <c r="CF11" i="59"/>
  <c r="CF12" i="59"/>
  <c r="CF13" i="59"/>
  <c r="CF14" i="59"/>
  <c r="CF15" i="59"/>
  <c r="CF16" i="59"/>
  <c r="CF6" i="60"/>
  <c r="CF7" i="60"/>
  <c r="CF8" i="60"/>
  <c r="CF9" i="60"/>
  <c r="CF10" i="60"/>
  <c r="CF11" i="60"/>
  <c r="CF12" i="60"/>
  <c r="CF13" i="60"/>
  <c r="CF14" i="60"/>
  <c r="CF15" i="60"/>
  <c r="CF16" i="60"/>
  <c r="CF6" i="61"/>
  <c r="CF7" i="61"/>
  <c r="CF8" i="61"/>
  <c r="CF9" i="61"/>
  <c r="CF10" i="61"/>
  <c r="CF11" i="61"/>
  <c r="CF12" i="61"/>
  <c r="CF13" i="61"/>
  <c r="CF14" i="61"/>
  <c r="CF15" i="61"/>
  <c r="CF16" i="61"/>
  <c r="CF6" i="42"/>
  <c r="CF7" i="42"/>
  <c r="CF8" i="42"/>
  <c r="CF9" i="42"/>
  <c r="CF10" i="42"/>
  <c r="CF11" i="42"/>
  <c r="CF12" i="42"/>
  <c r="CF13" i="42"/>
  <c r="CF14" i="42"/>
  <c r="CF15" i="42"/>
  <c r="CF16" i="42"/>
  <c r="BX7" i="31"/>
  <c r="BX7" i="36"/>
  <c r="BX7" i="35"/>
  <c r="BX7" i="33"/>
  <c r="BX7" i="34"/>
  <c r="BX7" i="38"/>
  <c r="BX7" i="39"/>
  <c r="BX7" i="41"/>
  <c r="BX7" i="44"/>
  <c r="BX7" i="42"/>
  <c r="BX7" i="43"/>
  <c r="BX7" i="49"/>
  <c r="BX7" i="50"/>
  <c r="BX7" i="67"/>
  <c r="BX7" i="51"/>
  <c r="BX7" i="52"/>
  <c r="BX7" i="53"/>
  <c r="BX7" i="54"/>
  <c r="BX7" i="55"/>
  <c r="BY7" i="47"/>
  <c r="BX7" i="45"/>
  <c r="BX7" i="48"/>
  <c r="BX7" i="46"/>
  <c r="BX7" i="56"/>
  <c r="BX7" i="58"/>
  <c r="BX7" i="59"/>
  <c r="BX7" i="60"/>
  <c r="BX7" i="61"/>
  <c r="BX7" i="40"/>
  <c r="BT8" i="31"/>
  <c r="BT8" i="35"/>
  <c r="BT8" i="33"/>
  <c r="BT8" i="34"/>
  <c r="BT8" i="38"/>
  <c r="BT8" i="40"/>
  <c r="BT8" i="39"/>
  <c r="BT8" i="41"/>
  <c r="BT8" i="44"/>
  <c r="BT8" i="42"/>
  <c r="BT8" i="43"/>
  <c r="BT8" i="49"/>
  <c r="BT8" i="50"/>
  <c r="BT8" i="67"/>
  <c r="BT8" i="51"/>
  <c r="BT8" i="52"/>
  <c r="BT8" i="53"/>
  <c r="BT8" i="54"/>
  <c r="BT8" i="55"/>
  <c r="BU8" i="47"/>
  <c r="BT8" i="45"/>
  <c r="BT8" i="48"/>
  <c r="BT8" i="46"/>
  <c r="BT8" i="56"/>
  <c r="BT8" i="58"/>
  <c r="BT8" i="59"/>
  <c r="BT8" i="60"/>
  <c r="BT8" i="61"/>
  <c r="BT8" i="36"/>
  <c r="BS6" i="36"/>
  <c r="BS7" i="36"/>
  <c r="BS8" i="36"/>
  <c r="BS9" i="36"/>
  <c r="BS10" i="36"/>
  <c r="BS11" i="36"/>
  <c r="BS12" i="36"/>
  <c r="BS13" i="36"/>
  <c r="BS14" i="36"/>
  <c r="BS15" i="36"/>
  <c r="BS16" i="36"/>
  <c r="BS6" i="35"/>
  <c r="BS7" i="35"/>
  <c r="BS8" i="35"/>
  <c r="BS9" i="35"/>
  <c r="BS10" i="35"/>
  <c r="BS11" i="35"/>
  <c r="BS12" i="35"/>
  <c r="BS13" i="35"/>
  <c r="BS14" i="35"/>
  <c r="BS15" i="35"/>
  <c r="BS16" i="35"/>
  <c r="BS6" i="33"/>
  <c r="BS7" i="33"/>
  <c r="BS8" i="33"/>
  <c r="BS9" i="33"/>
  <c r="BS10" i="33"/>
  <c r="BS11" i="33"/>
  <c r="BS12" i="33"/>
  <c r="BS13" i="33"/>
  <c r="BS14" i="33"/>
  <c r="BS15" i="33"/>
  <c r="BS16" i="33"/>
  <c r="BS6" i="34"/>
  <c r="BS7" i="34"/>
  <c r="BS8" i="34"/>
  <c r="BS9" i="34"/>
  <c r="BS10" i="34"/>
  <c r="BS11" i="34"/>
  <c r="BS12" i="34"/>
  <c r="BS13" i="34"/>
  <c r="BS14" i="34"/>
  <c r="BS15" i="34"/>
  <c r="BS16" i="34"/>
  <c r="BS6" i="38"/>
  <c r="BS7" i="38"/>
  <c r="BS8" i="38"/>
  <c r="BS9" i="38"/>
  <c r="BS10" i="38"/>
  <c r="BS11" i="38"/>
  <c r="BS12" i="38"/>
  <c r="BS13" i="38"/>
  <c r="BS14" i="38"/>
  <c r="BS15" i="38"/>
  <c r="BS16" i="38"/>
  <c r="BS6" i="40"/>
  <c r="BS7" i="40"/>
  <c r="BS8" i="40"/>
  <c r="BS9" i="40"/>
  <c r="BS10" i="40"/>
  <c r="BS11" i="40"/>
  <c r="BS12" i="40"/>
  <c r="BS13" i="40"/>
  <c r="BS14" i="40"/>
  <c r="BS15" i="40"/>
  <c r="BS16" i="40"/>
  <c r="BS6" i="39"/>
  <c r="BS7" i="39"/>
  <c r="BS8" i="39"/>
  <c r="BS9" i="39"/>
  <c r="BS10" i="39"/>
  <c r="BS11" i="39"/>
  <c r="BS12" i="39"/>
  <c r="BS13" i="39"/>
  <c r="BS14" i="39"/>
  <c r="BS15" i="39"/>
  <c r="BS16" i="39"/>
  <c r="BS6" i="41"/>
  <c r="BS7" i="41"/>
  <c r="BS8" i="41"/>
  <c r="BS9" i="41"/>
  <c r="BS10" i="41"/>
  <c r="BS11" i="41"/>
  <c r="BS12" i="41"/>
  <c r="BS13" i="41"/>
  <c r="BS14" i="41"/>
  <c r="BS15" i="41"/>
  <c r="BS16" i="41"/>
  <c r="BS6" i="44"/>
  <c r="BS7" i="44"/>
  <c r="BS8" i="44"/>
  <c r="BS9" i="44"/>
  <c r="BS10" i="44"/>
  <c r="BS11" i="44"/>
  <c r="BS12" i="44"/>
  <c r="BS13" i="44"/>
  <c r="BS14" i="44"/>
  <c r="BS15" i="44"/>
  <c r="BS16" i="44"/>
  <c r="BS6" i="42"/>
  <c r="BS7" i="42"/>
  <c r="BS8" i="42"/>
  <c r="BS9" i="42"/>
  <c r="BS10" i="42"/>
  <c r="BS11" i="42"/>
  <c r="BS12" i="42"/>
  <c r="BS13" i="42"/>
  <c r="BS14" i="42"/>
  <c r="BS15" i="42"/>
  <c r="BS16" i="42"/>
  <c r="BS6" i="43"/>
  <c r="BS7" i="43"/>
  <c r="BS8" i="43"/>
  <c r="BS9" i="43"/>
  <c r="BS10" i="43"/>
  <c r="BS11" i="43"/>
  <c r="BS12" i="43"/>
  <c r="BS13" i="43"/>
  <c r="BS14" i="43"/>
  <c r="BS15" i="43"/>
  <c r="BS16" i="43"/>
  <c r="BS6" i="49"/>
  <c r="BS7" i="49"/>
  <c r="BS8" i="49"/>
  <c r="BS9" i="49"/>
  <c r="BS10" i="49"/>
  <c r="BS11" i="49"/>
  <c r="BS12" i="49"/>
  <c r="BS13" i="49"/>
  <c r="BS14" i="49"/>
  <c r="BS15" i="49"/>
  <c r="BS16" i="49"/>
  <c r="BS6" i="50"/>
  <c r="BS7" i="50"/>
  <c r="BS8" i="50"/>
  <c r="BS9" i="50"/>
  <c r="BS10" i="50"/>
  <c r="BS11" i="50"/>
  <c r="BS12" i="50"/>
  <c r="BS13" i="50"/>
  <c r="BS14" i="50"/>
  <c r="BS15" i="50"/>
  <c r="BS16" i="50"/>
  <c r="BS6" i="67"/>
  <c r="BS7" i="67"/>
  <c r="BS8" i="67"/>
  <c r="BS9" i="67"/>
  <c r="BS10" i="67"/>
  <c r="BS11" i="67"/>
  <c r="BS12" i="67"/>
  <c r="BS13" i="67"/>
  <c r="BS14" i="67"/>
  <c r="BS15" i="67"/>
  <c r="BS16" i="67"/>
  <c r="BS6" i="51"/>
  <c r="BS7" i="51"/>
  <c r="BS8" i="51"/>
  <c r="BS9" i="51"/>
  <c r="BS10" i="51"/>
  <c r="BS11" i="51"/>
  <c r="BS12" i="51"/>
  <c r="BS13" i="51"/>
  <c r="BS14" i="51"/>
  <c r="BS15" i="51"/>
  <c r="BS16" i="51"/>
  <c r="BS6" i="52"/>
  <c r="BS7" i="52"/>
  <c r="BS8" i="52"/>
  <c r="BS9" i="52"/>
  <c r="BS10" i="52"/>
  <c r="BS11" i="52"/>
  <c r="BS12" i="52"/>
  <c r="BS13" i="52"/>
  <c r="BS14" i="52"/>
  <c r="BS15" i="52"/>
  <c r="BS16" i="52"/>
  <c r="BS6" i="53"/>
  <c r="BS7" i="53"/>
  <c r="BS8" i="53"/>
  <c r="BS9" i="53"/>
  <c r="BS10" i="53"/>
  <c r="BS11" i="53"/>
  <c r="BS12" i="53"/>
  <c r="BS13" i="53"/>
  <c r="BS14" i="53"/>
  <c r="BS15" i="53"/>
  <c r="BS16" i="53"/>
  <c r="BS6" i="54"/>
  <c r="BS7" i="54"/>
  <c r="BS8" i="54"/>
  <c r="BS9" i="54"/>
  <c r="BS10" i="54"/>
  <c r="BS11" i="54"/>
  <c r="BS12" i="54"/>
  <c r="BS13" i="54"/>
  <c r="BS14" i="54"/>
  <c r="BS15" i="54"/>
  <c r="BS16" i="54"/>
  <c r="BS6" i="55"/>
  <c r="BS7" i="55"/>
  <c r="BS8" i="55"/>
  <c r="BS9" i="55"/>
  <c r="BS10" i="55"/>
  <c r="BS11" i="55"/>
  <c r="BS12" i="55"/>
  <c r="BS13" i="55"/>
  <c r="BS14" i="55"/>
  <c r="BS15" i="55"/>
  <c r="BS16" i="55"/>
  <c r="BT6" i="47"/>
  <c r="BT7" i="47"/>
  <c r="BT8" i="47"/>
  <c r="BT9" i="47"/>
  <c r="BT10" i="47"/>
  <c r="BT11" i="47"/>
  <c r="BT12" i="47"/>
  <c r="BT13" i="47"/>
  <c r="BT14" i="47"/>
  <c r="BT15" i="47"/>
  <c r="BT16" i="47"/>
  <c r="BS6" i="45"/>
  <c r="BS7" i="45"/>
  <c r="BS8" i="45"/>
  <c r="BS9" i="45"/>
  <c r="BS10" i="45"/>
  <c r="BS11" i="45"/>
  <c r="BS12" i="45"/>
  <c r="BS13" i="45"/>
  <c r="BS14" i="45"/>
  <c r="BS15" i="45"/>
  <c r="BS16" i="45"/>
  <c r="BS6" i="48"/>
  <c r="BS7" i="48"/>
  <c r="BS8" i="48"/>
  <c r="BS9" i="48"/>
  <c r="BS10" i="48"/>
  <c r="BS11" i="48"/>
  <c r="BS12" i="48"/>
  <c r="BS13" i="48"/>
  <c r="BS14" i="48"/>
  <c r="BS15" i="48"/>
  <c r="BS16" i="48"/>
  <c r="BS6" i="46"/>
  <c r="BS7" i="46"/>
  <c r="BS8" i="46"/>
  <c r="BS9" i="46"/>
  <c r="BS10" i="46"/>
  <c r="BS11" i="46"/>
  <c r="BS12" i="46"/>
  <c r="BS13" i="46"/>
  <c r="BS14" i="46"/>
  <c r="BS15" i="46"/>
  <c r="BS16" i="46"/>
  <c r="BS6" i="56"/>
  <c r="BS7" i="56"/>
  <c r="BS8" i="56"/>
  <c r="BS9" i="56"/>
  <c r="BS10" i="56"/>
  <c r="BS11" i="56"/>
  <c r="BS12" i="56"/>
  <c r="BS13" i="56"/>
  <c r="BS14" i="56"/>
  <c r="BS15" i="56"/>
  <c r="BS16" i="56"/>
  <c r="BS6" i="58"/>
  <c r="BS7" i="58"/>
  <c r="BS8" i="58"/>
  <c r="BS9" i="58"/>
  <c r="BS10" i="58"/>
  <c r="BS11" i="58"/>
  <c r="BS12" i="58"/>
  <c r="BS13" i="58"/>
  <c r="BS14" i="58"/>
  <c r="BS15" i="58"/>
  <c r="BS16" i="58"/>
  <c r="BS6" i="59"/>
  <c r="BS7" i="59"/>
  <c r="BS8" i="59"/>
  <c r="BS9" i="59"/>
  <c r="BS10" i="59"/>
  <c r="BS11" i="59"/>
  <c r="BS12" i="59"/>
  <c r="BS13" i="59"/>
  <c r="BS14" i="59"/>
  <c r="BS15" i="59"/>
  <c r="BS16" i="59"/>
  <c r="BS6" i="60"/>
  <c r="BS7" i="60"/>
  <c r="BS8" i="60"/>
  <c r="BS9" i="60"/>
  <c r="BS10" i="60"/>
  <c r="BS11" i="60"/>
  <c r="BS12" i="60"/>
  <c r="BS13" i="60"/>
  <c r="BS14" i="60"/>
  <c r="BS15" i="60"/>
  <c r="BS16" i="60"/>
  <c r="BS6" i="61"/>
  <c r="BS7" i="61"/>
  <c r="BS8" i="61"/>
  <c r="BS9" i="61"/>
  <c r="BS10" i="61"/>
  <c r="BS11" i="61"/>
  <c r="BS12" i="61"/>
  <c r="BS13" i="61"/>
  <c r="BS14" i="61"/>
  <c r="BS15" i="61"/>
  <c r="BS16" i="61"/>
  <c r="BS6" i="31"/>
  <c r="BS7" i="31"/>
  <c r="BS8" i="31"/>
  <c r="BS9" i="31"/>
  <c r="BS10" i="31"/>
  <c r="BS11" i="31"/>
  <c r="BS12" i="31"/>
  <c r="BS13" i="31"/>
  <c r="BS14" i="31"/>
  <c r="BS15" i="31"/>
  <c r="BS16" i="31"/>
  <c r="BR6" i="36"/>
  <c r="BR7" i="36"/>
  <c r="BR8" i="36"/>
  <c r="BR9" i="36"/>
  <c r="BR10" i="36"/>
  <c r="BR11" i="36"/>
  <c r="BR12" i="36"/>
  <c r="BR13" i="36"/>
  <c r="BR14" i="36"/>
  <c r="BR15" i="36"/>
  <c r="BR16" i="36"/>
  <c r="BR6" i="35"/>
  <c r="BR7" i="35"/>
  <c r="BR8" i="35"/>
  <c r="BR9" i="35"/>
  <c r="BR10" i="35"/>
  <c r="BR11" i="35"/>
  <c r="BR12" i="35"/>
  <c r="BR13" i="35"/>
  <c r="BR14" i="35"/>
  <c r="BR15" i="35"/>
  <c r="BR16" i="35"/>
  <c r="BR6" i="33"/>
  <c r="BR7" i="33"/>
  <c r="BR8" i="33"/>
  <c r="BR9" i="33"/>
  <c r="BR10" i="33"/>
  <c r="BR11" i="33"/>
  <c r="BR12" i="33"/>
  <c r="BR13" i="33"/>
  <c r="BR14" i="33"/>
  <c r="BR15" i="33"/>
  <c r="BR16" i="33"/>
  <c r="BR6" i="34"/>
  <c r="BR7" i="34"/>
  <c r="BR8" i="34"/>
  <c r="BR9" i="34"/>
  <c r="BR10" i="34"/>
  <c r="BR11" i="34"/>
  <c r="BR12" i="34"/>
  <c r="BR13" i="34"/>
  <c r="BR14" i="34"/>
  <c r="BR15" i="34"/>
  <c r="BR16" i="34"/>
  <c r="BR6" i="38"/>
  <c r="BR7" i="38"/>
  <c r="BR8" i="38"/>
  <c r="BR9" i="38"/>
  <c r="BR10" i="38"/>
  <c r="BR11" i="38"/>
  <c r="BR12" i="38"/>
  <c r="BR13" i="38"/>
  <c r="BR14" i="38"/>
  <c r="BR15" i="38"/>
  <c r="BR16" i="38"/>
  <c r="BR6" i="40"/>
  <c r="BR7" i="40"/>
  <c r="BR8" i="40"/>
  <c r="BR9" i="40"/>
  <c r="BR10" i="40"/>
  <c r="BR11" i="40"/>
  <c r="BR12" i="40"/>
  <c r="BR13" i="40"/>
  <c r="BR14" i="40"/>
  <c r="BR15" i="40"/>
  <c r="BR16" i="40"/>
  <c r="BR6" i="39"/>
  <c r="BR7" i="39"/>
  <c r="BR8" i="39"/>
  <c r="BR9" i="39"/>
  <c r="BR10" i="39"/>
  <c r="BR11" i="39"/>
  <c r="BR12" i="39"/>
  <c r="BR13" i="39"/>
  <c r="BR14" i="39"/>
  <c r="BR15" i="39"/>
  <c r="BR16" i="39"/>
  <c r="BR6" i="41"/>
  <c r="BR7" i="41"/>
  <c r="BR8" i="41"/>
  <c r="BR9" i="41"/>
  <c r="BR10" i="41"/>
  <c r="BR11" i="41"/>
  <c r="BR12" i="41"/>
  <c r="BR13" i="41"/>
  <c r="BR14" i="41"/>
  <c r="BR15" i="41"/>
  <c r="BR16" i="41"/>
  <c r="BR6" i="44"/>
  <c r="BR7" i="44"/>
  <c r="BR8" i="44"/>
  <c r="BR9" i="44"/>
  <c r="BR10" i="44"/>
  <c r="BR11" i="44"/>
  <c r="BR12" i="44"/>
  <c r="BR13" i="44"/>
  <c r="BR14" i="44"/>
  <c r="BR15" i="44"/>
  <c r="BR16" i="44"/>
  <c r="BR6" i="42"/>
  <c r="BR7" i="42"/>
  <c r="BR8" i="42"/>
  <c r="BR9" i="42"/>
  <c r="BR10" i="42"/>
  <c r="BR11" i="42"/>
  <c r="BR12" i="42"/>
  <c r="BR13" i="42"/>
  <c r="BR14" i="42"/>
  <c r="BR15" i="42"/>
  <c r="BR16" i="42"/>
  <c r="BR6" i="43"/>
  <c r="BR7" i="43"/>
  <c r="BR8" i="43"/>
  <c r="BR9" i="43"/>
  <c r="BR10" i="43"/>
  <c r="BR11" i="43"/>
  <c r="BR12" i="43"/>
  <c r="BR13" i="43"/>
  <c r="BR14" i="43"/>
  <c r="BR15" i="43"/>
  <c r="BR16" i="43"/>
  <c r="BR6" i="49"/>
  <c r="BR7" i="49"/>
  <c r="BR8" i="49"/>
  <c r="BR9" i="49"/>
  <c r="BR10" i="49"/>
  <c r="BR11" i="49"/>
  <c r="BR12" i="49"/>
  <c r="BR13" i="49"/>
  <c r="BR14" i="49"/>
  <c r="BR15" i="49"/>
  <c r="BR16" i="49"/>
  <c r="BR6" i="50"/>
  <c r="BR7" i="50"/>
  <c r="BR8" i="50"/>
  <c r="BR9" i="50"/>
  <c r="BR10" i="50"/>
  <c r="BR11" i="50"/>
  <c r="BR12" i="50"/>
  <c r="BR13" i="50"/>
  <c r="BR14" i="50"/>
  <c r="BR15" i="50"/>
  <c r="BR16" i="50"/>
  <c r="BR6" i="67"/>
  <c r="BR7" i="67"/>
  <c r="BR8" i="67"/>
  <c r="BR9" i="67"/>
  <c r="BR10" i="67"/>
  <c r="BR11" i="67"/>
  <c r="BR12" i="67"/>
  <c r="BR13" i="67"/>
  <c r="BR14" i="67"/>
  <c r="BR15" i="67"/>
  <c r="BR16" i="67"/>
  <c r="BR6" i="51"/>
  <c r="BR7" i="51"/>
  <c r="BR8" i="51"/>
  <c r="BR9" i="51"/>
  <c r="BR10" i="51"/>
  <c r="BR11" i="51"/>
  <c r="BR12" i="51"/>
  <c r="BR13" i="51"/>
  <c r="BR14" i="51"/>
  <c r="BR15" i="51"/>
  <c r="BR16" i="51"/>
  <c r="BR6" i="52"/>
  <c r="BR7" i="52"/>
  <c r="BR8" i="52"/>
  <c r="BR9" i="52"/>
  <c r="BR10" i="52"/>
  <c r="BR11" i="52"/>
  <c r="BR12" i="52"/>
  <c r="BR13" i="52"/>
  <c r="BR14" i="52"/>
  <c r="BR15" i="52"/>
  <c r="BR16" i="52"/>
  <c r="BR6" i="53"/>
  <c r="BR7" i="53"/>
  <c r="BR8" i="53"/>
  <c r="BR9" i="53"/>
  <c r="BR10" i="53"/>
  <c r="BR11" i="53"/>
  <c r="BR12" i="53"/>
  <c r="BR13" i="53"/>
  <c r="BR14" i="53"/>
  <c r="BR15" i="53"/>
  <c r="BR16" i="53"/>
  <c r="BR6" i="54"/>
  <c r="BR7" i="54"/>
  <c r="BR8" i="54"/>
  <c r="BR9" i="54"/>
  <c r="BR10" i="54"/>
  <c r="BR11" i="54"/>
  <c r="BR12" i="54"/>
  <c r="BR13" i="54"/>
  <c r="BR14" i="54"/>
  <c r="BR15" i="54"/>
  <c r="BR16" i="54"/>
  <c r="BR6" i="55"/>
  <c r="BR7" i="55"/>
  <c r="BR8" i="55"/>
  <c r="BR9" i="55"/>
  <c r="BR10" i="55"/>
  <c r="BR11" i="55"/>
  <c r="BR12" i="55"/>
  <c r="BR13" i="55"/>
  <c r="BR14" i="55"/>
  <c r="BR15" i="55"/>
  <c r="BR16" i="55"/>
  <c r="BS6" i="47"/>
  <c r="BS7" i="47"/>
  <c r="BS8" i="47"/>
  <c r="BS9" i="47"/>
  <c r="BS10" i="47"/>
  <c r="BS11" i="47"/>
  <c r="BS12" i="47"/>
  <c r="BS13" i="47"/>
  <c r="BS14" i="47"/>
  <c r="BS15" i="47"/>
  <c r="BS16" i="47"/>
  <c r="BR6" i="45"/>
  <c r="BR7" i="45"/>
  <c r="BR8" i="45"/>
  <c r="BR9" i="45"/>
  <c r="BR10" i="45"/>
  <c r="BR11" i="45"/>
  <c r="BR12" i="45"/>
  <c r="BR13" i="45"/>
  <c r="BR14" i="45"/>
  <c r="BR15" i="45"/>
  <c r="BR16" i="45"/>
  <c r="BR6" i="48"/>
  <c r="BR7" i="48"/>
  <c r="BR8" i="48"/>
  <c r="BR9" i="48"/>
  <c r="BR10" i="48"/>
  <c r="BR11" i="48"/>
  <c r="BR12" i="48"/>
  <c r="BR13" i="48"/>
  <c r="BR14" i="48"/>
  <c r="BR15" i="48"/>
  <c r="BR16" i="48"/>
  <c r="BR6" i="46"/>
  <c r="BR7" i="46"/>
  <c r="BR8" i="46"/>
  <c r="BR9" i="46"/>
  <c r="BR10" i="46"/>
  <c r="BR11" i="46"/>
  <c r="BR12" i="46"/>
  <c r="BR13" i="46"/>
  <c r="BR14" i="46"/>
  <c r="BR15" i="46"/>
  <c r="BR16" i="46"/>
  <c r="BR6" i="56"/>
  <c r="BR7" i="56"/>
  <c r="BR8" i="56"/>
  <c r="BR9" i="56"/>
  <c r="BR10" i="56"/>
  <c r="BR11" i="56"/>
  <c r="BR12" i="56"/>
  <c r="BR13" i="56"/>
  <c r="BR14" i="56"/>
  <c r="BR15" i="56"/>
  <c r="BR16" i="56"/>
  <c r="BR6" i="58"/>
  <c r="BR7" i="58"/>
  <c r="BR8" i="58"/>
  <c r="BR9" i="58"/>
  <c r="BR10" i="58"/>
  <c r="BR11" i="58"/>
  <c r="BR12" i="58"/>
  <c r="BR13" i="58"/>
  <c r="BR14" i="58"/>
  <c r="BR15" i="58"/>
  <c r="BR16" i="58"/>
  <c r="BR6" i="59"/>
  <c r="BR7" i="59"/>
  <c r="BR8" i="59"/>
  <c r="BR9" i="59"/>
  <c r="BR10" i="59"/>
  <c r="BR11" i="59"/>
  <c r="BR12" i="59"/>
  <c r="BR13" i="59"/>
  <c r="BR14" i="59"/>
  <c r="BR15" i="59"/>
  <c r="BR16" i="59"/>
  <c r="BR6" i="60"/>
  <c r="BR7" i="60"/>
  <c r="BR8" i="60"/>
  <c r="BR9" i="60"/>
  <c r="BR10" i="60"/>
  <c r="BR11" i="60"/>
  <c r="BR12" i="60"/>
  <c r="BR13" i="60"/>
  <c r="BR14" i="60"/>
  <c r="BR15" i="60"/>
  <c r="BR16" i="60"/>
  <c r="BR6" i="61"/>
  <c r="BR7" i="61"/>
  <c r="BR8" i="61"/>
  <c r="BR9" i="61"/>
  <c r="BR10" i="61"/>
  <c r="BR11" i="61"/>
  <c r="BR12" i="61"/>
  <c r="BR13" i="61"/>
  <c r="BR14" i="61"/>
  <c r="BR15" i="61"/>
  <c r="BR16" i="61"/>
  <c r="BR6" i="31"/>
  <c r="BR7" i="31"/>
  <c r="BR8" i="31"/>
  <c r="BR9" i="31"/>
  <c r="BR10" i="31"/>
  <c r="BR11" i="31"/>
  <c r="BR12" i="31"/>
  <c r="BR13" i="31"/>
  <c r="BR14" i="31"/>
  <c r="BR15" i="31"/>
  <c r="BR16" i="31"/>
  <c r="BQ6" i="36"/>
  <c r="BQ7" i="36"/>
  <c r="BQ8" i="36"/>
  <c r="BQ9" i="36"/>
  <c r="BQ10" i="36"/>
  <c r="BQ11" i="36"/>
  <c r="BQ12" i="36"/>
  <c r="BQ13" i="36"/>
  <c r="BQ14" i="36"/>
  <c r="BQ15" i="36"/>
  <c r="BQ16" i="36"/>
  <c r="BQ6" i="35"/>
  <c r="BQ7" i="35"/>
  <c r="BQ8" i="35"/>
  <c r="BQ9" i="35"/>
  <c r="BQ10" i="35"/>
  <c r="BQ11" i="35"/>
  <c r="BQ12" i="35"/>
  <c r="BQ13" i="35"/>
  <c r="BQ14" i="35"/>
  <c r="BQ15" i="35"/>
  <c r="BQ16" i="35"/>
  <c r="BQ6" i="33"/>
  <c r="BQ7" i="33"/>
  <c r="BQ8" i="33"/>
  <c r="BQ9" i="33"/>
  <c r="BQ10" i="33"/>
  <c r="BQ11" i="33"/>
  <c r="BQ12" i="33"/>
  <c r="BQ13" i="33"/>
  <c r="BQ14" i="33"/>
  <c r="BQ15" i="33"/>
  <c r="BQ16" i="33"/>
  <c r="BQ6" i="34"/>
  <c r="BQ7" i="34"/>
  <c r="BQ8" i="34"/>
  <c r="BQ9" i="34"/>
  <c r="BQ10" i="34"/>
  <c r="BQ11" i="34"/>
  <c r="BQ12" i="34"/>
  <c r="BQ13" i="34"/>
  <c r="BQ14" i="34"/>
  <c r="BQ15" i="34"/>
  <c r="BQ16" i="34"/>
  <c r="BQ6" i="38"/>
  <c r="BQ7" i="38"/>
  <c r="BQ8" i="38"/>
  <c r="BQ9" i="38"/>
  <c r="BQ10" i="38"/>
  <c r="BQ11" i="38"/>
  <c r="BQ12" i="38"/>
  <c r="BQ13" i="38"/>
  <c r="BQ14" i="38"/>
  <c r="BQ15" i="38"/>
  <c r="BQ16" i="38"/>
  <c r="BQ6" i="40"/>
  <c r="BQ7" i="40"/>
  <c r="BQ8" i="40"/>
  <c r="BQ9" i="40"/>
  <c r="BQ10" i="40"/>
  <c r="BQ11" i="40"/>
  <c r="BQ12" i="40"/>
  <c r="BQ13" i="40"/>
  <c r="BQ14" i="40"/>
  <c r="BQ15" i="40"/>
  <c r="BQ16" i="40"/>
  <c r="BQ6" i="39"/>
  <c r="BQ7" i="39"/>
  <c r="BQ8" i="39"/>
  <c r="BQ9" i="39"/>
  <c r="BQ10" i="39"/>
  <c r="BQ11" i="39"/>
  <c r="BQ12" i="39"/>
  <c r="BQ13" i="39"/>
  <c r="BQ14" i="39"/>
  <c r="BQ15" i="39"/>
  <c r="BQ16" i="39"/>
  <c r="BQ6" i="41"/>
  <c r="BQ7" i="41"/>
  <c r="BQ8" i="41"/>
  <c r="BQ9" i="41"/>
  <c r="BQ10" i="41"/>
  <c r="BQ11" i="41"/>
  <c r="BQ12" i="41"/>
  <c r="BQ13" i="41"/>
  <c r="BQ14" i="41"/>
  <c r="BQ15" i="41"/>
  <c r="BQ16" i="41"/>
  <c r="BQ6" i="44"/>
  <c r="BQ7" i="44"/>
  <c r="BQ8" i="44"/>
  <c r="BQ9" i="44"/>
  <c r="BQ10" i="44"/>
  <c r="BQ11" i="44"/>
  <c r="BQ12" i="44"/>
  <c r="BQ13" i="44"/>
  <c r="BQ14" i="44"/>
  <c r="BQ15" i="44"/>
  <c r="BQ16" i="44"/>
  <c r="BQ6" i="42"/>
  <c r="BQ7" i="42"/>
  <c r="BQ8" i="42"/>
  <c r="BQ9" i="42"/>
  <c r="BQ10" i="42"/>
  <c r="BQ11" i="42"/>
  <c r="BQ12" i="42"/>
  <c r="BQ13" i="42"/>
  <c r="BQ14" i="42"/>
  <c r="BQ15" i="42"/>
  <c r="BQ16" i="42"/>
  <c r="BQ6" i="43"/>
  <c r="BQ7" i="43"/>
  <c r="BQ8" i="43"/>
  <c r="BQ9" i="43"/>
  <c r="BQ10" i="43"/>
  <c r="BQ11" i="43"/>
  <c r="BQ12" i="43"/>
  <c r="BQ13" i="43"/>
  <c r="BQ14" i="43"/>
  <c r="BQ15" i="43"/>
  <c r="BQ16" i="43"/>
  <c r="BQ6" i="49"/>
  <c r="BQ7" i="49"/>
  <c r="BQ8" i="49"/>
  <c r="BQ9" i="49"/>
  <c r="BQ10" i="49"/>
  <c r="BQ11" i="49"/>
  <c r="BQ12" i="49"/>
  <c r="BQ13" i="49"/>
  <c r="BQ14" i="49"/>
  <c r="BQ15" i="49"/>
  <c r="BQ16" i="49"/>
  <c r="BQ6" i="50"/>
  <c r="BQ7" i="50"/>
  <c r="BQ8" i="50"/>
  <c r="BQ9" i="50"/>
  <c r="BQ10" i="50"/>
  <c r="BQ11" i="50"/>
  <c r="BQ12" i="50"/>
  <c r="BQ13" i="50"/>
  <c r="BQ14" i="50"/>
  <c r="BQ15" i="50"/>
  <c r="BQ16" i="50"/>
  <c r="BQ6" i="67"/>
  <c r="BQ7" i="67"/>
  <c r="BQ8" i="67"/>
  <c r="BQ9" i="67"/>
  <c r="BQ10" i="67"/>
  <c r="BQ11" i="67"/>
  <c r="BQ12" i="67"/>
  <c r="BQ13" i="67"/>
  <c r="BQ14" i="67"/>
  <c r="BQ15" i="67"/>
  <c r="BQ16" i="67"/>
  <c r="BQ6" i="51"/>
  <c r="BQ7" i="51"/>
  <c r="BQ8" i="51"/>
  <c r="BQ9" i="51"/>
  <c r="BQ10" i="51"/>
  <c r="BQ11" i="51"/>
  <c r="BQ12" i="51"/>
  <c r="BQ13" i="51"/>
  <c r="BQ14" i="51"/>
  <c r="BQ15" i="51"/>
  <c r="BQ16" i="51"/>
  <c r="BQ6" i="52"/>
  <c r="BQ7" i="52"/>
  <c r="BQ8" i="52"/>
  <c r="BQ9" i="52"/>
  <c r="BQ10" i="52"/>
  <c r="BQ11" i="52"/>
  <c r="BQ12" i="52"/>
  <c r="BQ13" i="52"/>
  <c r="BQ14" i="52"/>
  <c r="BQ15" i="52"/>
  <c r="BQ16" i="52"/>
  <c r="BQ6" i="53"/>
  <c r="BQ7" i="53"/>
  <c r="BQ8" i="53"/>
  <c r="BQ9" i="53"/>
  <c r="BQ10" i="53"/>
  <c r="BQ11" i="53"/>
  <c r="BQ12" i="53"/>
  <c r="BQ13" i="53"/>
  <c r="BQ14" i="53"/>
  <c r="BQ15" i="53"/>
  <c r="BQ16" i="53"/>
  <c r="BQ6" i="54"/>
  <c r="BQ7" i="54"/>
  <c r="BQ8" i="54"/>
  <c r="BQ9" i="54"/>
  <c r="BQ10" i="54"/>
  <c r="BQ11" i="54"/>
  <c r="BQ12" i="54"/>
  <c r="BQ13" i="54"/>
  <c r="BQ14" i="54"/>
  <c r="BQ15" i="54"/>
  <c r="BQ16" i="54"/>
  <c r="BQ6" i="55"/>
  <c r="BQ7" i="55"/>
  <c r="BQ8" i="55"/>
  <c r="BQ9" i="55"/>
  <c r="BQ10" i="55"/>
  <c r="BQ11" i="55"/>
  <c r="BQ12" i="55"/>
  <c r="BQ13" i="55"/>
  <c r="BQ14" i="55"/>
  <c r="BQ15" i="55"/>
  <c r="BQ16" i="55"/>
  <c r="BR6" i="47"/>
  <c r="BR7" i="47"/>
  <c r="BR8" i="47"/>
  <c r="BR9" i="47"/>
  <c r="BR10" i="47"/>
  <c r="BR11" i="47"/>
  <c r="BR12" i="47"/>
  <c r="BR13" i="47"/>
  <c r="BR14" i="47"/>
  <c r="BR15" i="47"/>
  <c r="BR16" i="47"/>
  <c r="BQ6" i="45"/>
  <c r="BQ7" i="45"/>
  <c r="BQ8" i="45"/>
  <c r="BQ9" i="45"/>
  <c r="BQ10" i="45"/>
  <c r="BQ11" i="45"/>
  <c r="BQ12" i="45"/>
  <c r="BQ13" i="45"/>
  <c r="BQ14" i="45"/>
  <c r="BQ15" i="45"/>
  <c r="BQ16" i="45"/>
  <c r="BQ6" i="48"/>
  <c r="BQ7" i="48"/>
  <c r="BQ8" i="48"/>
  <c r="BQ9" i="48"/>
  <c r="BQ10" i="48"/>
  <c r="BQ11" i="48"/>
  <c r="BQ12" i="48"/>
  <c r="BQ13" i="48"/>
  <c r="BQ14" i="48"/>
  <c r="BQ15" i="48"/>
  <c r="BQ16" i="48"/>
  <c r="BQ6" i="46"/>
  <c r="BQ7" i="46"/>
  <c r="BQ8" i="46"/>
  <c r="BQ9" i="46"/>
  <c r="BQ10" i="46"/>
  <c r="BQ11" i="46"/>
  <c r="BQ12" i="46"/>
  <c r="BQ13" i="46"/>
  <c r="BQ14" i="46"/>
  <c r="BQ15" i="46"/>
  <c r="BQ16" i="46"/>
  <c r="BQ6" i="56"/>
  <c r="BQ7" i="56"/>
  <c r="BQ8" i="56"/>
  <c r="BQ9" i="56"/>
  <c r="BQ10" i="56"/>
  <c r="BQ11" i="56"/>
  <c r="BQ12" i="56"/>
  <c r="BQ13" i="56"/>
  <c r="BQ14" i="56"/>
  <c r="BQ15" i="56"/>
  <c r="BQ16" i="56"/>
  <c r="BQ6" i="58"/>
  <c r="BQ7" i="58"/>
  <c r="BQ8" i="58"/>
  <c r="BQ9" i="58"/>
  <c r="BQ10" i="58"/>
  <c r="BQ11" i="58"/>
  <c r="BQ12" i="58"/>
  <c r="BQ13" i="58"/>
  <c r="BQ14" i="58"/>
  <c r="BQ15" i="58"/>
  <c r="BQ16" i="58"/>
  <c r="BQ6" i="59"/>
  <c r="BQ7" i="59"/>
  <c r="BQ8" i="59"/>
  <c r="BQ9" i="59"/>
  <c r="BQ10" i="59"/>
  <c r="BQ11" i="59"/>
  <c r="BQ12" i="59"/>
  <c r="BQ13" i="59"/>
  <c r="BQ14" i="59"/>
  <c r="BQ15" i="59"/>
  <c r="BQ16" i="59"/>
  <c r="BQ6" i="60"/>
  <c r="BQ7" i="60"/>
  <c r="BQ8" i="60"/>
  <c r="BQ9" i="60"/>
  <c r="BQ10" i="60"/>
  <c r="BQ11" i="60"/>
  <c r="BQ12" i="60"/>
  <c r="BQ13" i="60"/>
  <c r="BQ14" i="60"/>
  <c r="BQ15" i="60"/>
  <c r="BQ16" i="60"/>
  <c r="BQ6" i="61"/>
  <c r="BQ7" i="61"/>
  <c r="BQ8" i="61"/>
  <c r="BQ9" i="61"/>
  <c r="BQ10" i="61"/>
  <c r="BQ11" i="61"/>
  <c r="BQ12" i="61"/>
  <c r="BQ13" i="61"/>
  <c r="BQ14" i="61"/>
  <c r="BQ15" i="61"/>
  <c r="BQ16" i="61"/>
  <c r="BQ6" i="31"/>
  <c r="BQ7" i="31"/>
  <c r="BQ8" i="31"/>
  <c r="BQ9" i="31"/>
  <c r="BQ10" i="31"/>
  <c r="BQ11" i="31"/>
  <c r="BQ12" i="31"/>
  <c r="BQ13" i="31"/>
  <c r="BQ14" i="31"/>
  <c r="BQ15" i="31"/>
  <c r="BQ16" i="31"/>
  <c r="BP6" i="36"/>
  <c r="BP7" i="36"/>
  <c r="BP8" i="36"/>
  <c r="BP9" i="36"/>
  <c r="BP10" i="36"/>
  <c r="BP11" i="36"/>
  <c r="BP12" i="36"/>
  <c r="BP13" i="36"/>
  <c r="BP14" i="36"/>
  <c r="BP15" i="36"/>
  <c r="BP16" i="36"/>
  <c r="BP6" i="35"/>
  <c r="BP7" i="35"/>
  <c r="BP8" i="35"/>
  <c r="BP9" i="35"/>
  <c r="BP10" i="35"/>
  <c r="BP11" i="35"/>
  <c r="BP12" i="35"/>
  <c r="BP13" i="35"/>
  <c r="BP14" i="35"/>
  <c r="BP15" i="35"/>
  <c r="BP16" i="35"/>
  <c r="BP6" i="33"/>
  <c r="BP7" i="33"/>
  <c r="BP8" i="33"/>
  <c r="BP9" i="33"/>
  <c r="BP10" i="33"/>
  <c r="BP11" i="33"/>
  <c r="BP12" i="33"/>
  <c r="BP13" i="33"/>
  <c r="BP14" i="33"/>
  <c r="BP15" i="33"/>
  <c r="BP16" i="33"/>
  <c r="BP6" i="34"/>
  <c r="BP7" i="34"/>
  <c r="BP8" i="34"/>
  <c r="BP9" i="34"/>
  <c r="BP10" i="34"/>
  <c r="BP11" i="34"/>
  <c r="BP12" i="34"/>
  <c r="BP13" i="34"/>
  <c r="BP14" i="34"/>
  <c r="BP15" i="34"/>
  <c r="BP16" i="34"/>
  <c r="BP6" i="38"/>
  <c r="BP7" i="38"/>
  <c r="BP8" i="38"/>
  <c r="BP9" i="38"/>
  <c r="BP10" i="38"/>
  <c r="BP11" i="38"/>
  <c r="BP12" i="38"/>
  <c r="BP13" i="38"/>
  <c r="BP14" i="38"/>
  <c r="BP15" i="38"/>
  <c r="BP16" i="38"/>
  <c r="BP6" i="40"/>
  <c r="BP7" i="40"/>
  <c r="BP8" i="40"/>
  <c r="BP9" i="40"/>
  <c r="BP10" i="40"/>
  <c r="BP11" i="40"/>
  <c r="BP12" i="40"/>
  <c r="BP13" i="40"/>
  <c r="BP14" i="40"/>
  <c r="BP15" i="40"/>
  <c r="BP16" i="40"/>
  <c r="BP6" i="39"/>
  <c r="BP7" i="39"/>
  <c r="BP8" i="39"/>
  <c r="BP9" i="39"/>
  <c r="BP10" i="39"/>
  <c r="BP11" i="39"/>
  <c r="BP12" i="39"/>
  <c r="BP13" i="39"/>
  <c r="BP14" i="39"/>
  <c r="BP15" i="39"/>
  <c r="BP16" i="39"/>
  <c r="BP6" i="41"/>
  <c r="BP7" i="41"/>
  <c r="BP8" i="41"/>
  <c r="BP9" i="41"/>
  <c r="BP10" i="41"/>
  <c r="BP11" i="41"/>
  <c r="BP12" i="41"/>
  <c r="BP13" i="41"/>
  <c r="BP14" i="41"/>
  <c r="BP15" i="41"/>
  <c r="BP16" i="41"/>
  <c r="BP6" i="44"/>
  <c r="BP7" i="44"/>
  <c r="BP8" i="44"/>
  <c r="BP9" i="44"/>
  <c r="BP10" i="44"/>
  <c r="BP11" i="44"/>
  <c r="BP12" i="44"/>
  <c r="BP13" i="44"/>
  <c r="BP14" i="44"/>
  <c r="BP15" i="44"/>
  <c r="BP16" i="44"/>
  <c r="BP6" i="42"/>
  <c r="BP7" i="42"/>
  <c r="BP8" i="42"/>
  <c r="BP9" i="42"/>
  <c r="BP10" i="42"/>
  <c r="BP11" i="42"/>
  <c r="BP12" i="42"/>
  <c r="BP13" i="42"/>
  <c r="BP14" i="42"/>
  <c r="BP15" i="42"/>
  <c r="BP16" i="42"/>
  <c r="BP6" i="43"/>
  <c r="BP7" i="43"/>
  <c r="BP8" i="43"/>
  <c r="BP9" i="43"/>
  <c r="BP10" i="43"/>
  <c r="BP11" i="43"/>
  <c r="BP12" i="43"/>
  <c r="BP13" i="43"/>
  <c r="BP14" i="43"/>
  <c r="BP15" i="43"/>
  <c r="BP16" i="43"/>
  <c r="BP6" i="49"/>
  <c r="BP7" i="49"/>
  <c r="BP8" i="49"/>
  <c r="BP9" i="49"/>
  <c r="BP10" i="49"/>
  <c r="BP11" i="49"/>
  <c r="BP12" i="49"/>
  <c r="BP13" i="49"/>
  <c r="BP14" i="49"/>
  <c r="BP15" i="49"/>
  <c r="BP16" i="49"/>
  <c r="BP6" i="50"/>
  <c r="BP7" i="50"/>
  <c r="BP8" i="50"/>
  <c r="BP9" i="50"/>
  <c r="BP10" i="50"/>
  <c r="BP11" i="50"/>
  <c r="BP12" i="50"/>
  <c r="BP13" i="50"/>
  <c r="BP14" i="50"/>
  <c r="BP15" i="50"/>
  <c r="BP16" i="50"/>
  <c r="BP6" i="67"/>
  <c r="BP7" i="67"/>
  <c r="BP8" i="67"/>
  <c r="BP9" i="67"/>
  <c r="BP10" i="67"/>
  <c r="BP11" i="67"/>
  <c r="BP12" i="67"/>
  <c r="BP13" i="67"/>
  <c r="BP14" i="67"/>
  <c r="BP15" i="67"/>
  <c r="BP16" i="67"/>
  <c r="BP6" i="51"/>
  <c r="BP7" i="51"/>
  <c r="BP8" i="51"/>
  <c r="BP9" i="51"/>
  <c r="BP10" i="51"/>
  <c r="BP11" i="51"/>
  <c r="BP12" i="51"/>
  <c r="BP13" i="51"/>
  <c r="BP14" i="51"/>
  <c r="BP15" i="51"/>
  <c r="BP16" i="51"/>
  <c r="BP6" i="52"/>
  <c r="BP7" i="52"/>
  <c r="BP8" i="52"/>
  <c r="BP9" i="52"/>
  <c r="BP10" i="52"/>
  <c r="BP11" i="52"/>
  <c r="BP12" i="52"/>
  <c r="BP13" i="52"/>
  <c r="BP14" i="52"/>
  <c r="BP15" i="52"/>
  <c r="BP16" i="52"/>
  <c r="BP6" i="53"/>
  <c r="BP7" i="53"/>
  <c r="BP8" i="53"/>
  <c r="BP9" i="53"/>
  <c r="BP10" i="53"/>
  <c r="BP11" i="53"/>
  <c r="BP12" i="53"/>
  <c r="BP13" i="53"/>
  <c r="BP14" i="53"/>
  <c r="BP15" i="53"/>
  <c r="BP16" i="53"/>
  <c r="BP6" i="54"/>
  <c r="BP7" i="54"/>
  <c r="BP8" i="54"/>
  <c r="BP9" i="54"/>
  <c r="BP10" i="54"/>
  <c r="BP11" i="54"/>
  <c r="BP12" i="54"/>
  <c r="BP13" i="54"/>
  <c r="BP14" i="54"/>
  <c r="BP15" i="54"/>
  <c r="BP16" i="54"/>
  <c r="BP6" i="55"/>
  <c r="BP7" i="55"/>
  <c r="BP8" i="55"/>
  <c r="BP9" i="55"/>
  <c r="BP10" i="55"/>
  <c r="BP11" i="55"/>
  <c r="BP12" i="55"/>
  <c r="BP13" i="55"/>
  <c r="BP14" i="55"/>
  <c r="BP15" i="55"/>
  <c r="BP16" i="55"/>
  <c r="BQ6" i="47"/>
  <c r="BQ7" i="47"/>
  <c r="BQ8" i="47"/>
  <c r="BQ9" i="47"/>
  <c r="BQ10" i="47"/>
  <c r="BQ11" i="47"/>
  <c r="BQ12" i="47"/>
  <c r="BQ13" i="47"/>
  <c r="BQ14" i="47"/>
  <c r="BQ15" i="47"/>
  <c r="BQ16" i="47"/>
  <c r="BP6" i="45"/>
  <c r="BP7" i="45"/>
  <c r="BP8" i="45"/>
  <c r="BP9" i="45"/>
  <c r="BP10" i="45"/>
  <c r="BP11" i="45"/>
  <c r="BP12" i="45"/>
  <c r="BP13" i="45"/>
  <c r="BP14" i="45"/>
  <c r="BP15" i="45"/>
  <c r="BP16" i="45"/>
  <c r="BP6" i="48"/>
  <c r="BP7" i="48"/>
  <c r="BP8" i="48"/>
  <c r="BP9" i="48"/>
  <c r="BP10" i="48"/>
  <c r="BP11" i="48"/>
  <c r="BP12" i="48"/>
  <c r="BP13" i="48"/>
  <c r="BP14" i="48"/>
  <c r="BP15" i="48"/>
  <c r="BP16" i="48"/>
  <c r="BP6" i="46"/>
  <c r="BP7" i="46"/>
  <c r="BP8" i="46"/>
  <c r="BP9" i="46"/>
  <c r="BP10" i="46"/>
  <c r="BP11" i="46"/>
  <c r="BP12" i="46"/>
  <c r="BP13" i="46"/>
  <c r="BP14" i="46"/>
  <c r="BP15" i="46"/>
  <c r="BP16" i="46"/>
  <c r="BP6" i="56"/>
  <c r="BP7" i="56"/>
  <c r="BP8" i="56"/>
  <c r="BP9" i="56"/>
  <c r="BP10" i="56"/>
  <c r="BP11" i="56"/>
  <c r="BP12" i="56"/>
  <c r="BP13" i="56"/>
  <c r="BP14" i="56"/>
  <c r="BP15" i="56"/>
  <c r="BP16" i="56"/>
  <c r="BP6" i="58"/>
  <c r="BP7" i="58"/>
  <c r="BP8" i="58"/>
  <c r="BP9" i="58"/>
  <c r="BP10" i="58"/>
  <c r="BP11" i="58"/>
  <c r="BP12" i="58"/>
  <c r="BP13" i="58"/>
  <c r="BP14" i="58"/>
  <c r="BP15" i="58"/>
  <c r="BP16" i="58"/>
  <c r="BP6" i="59"/>
  <c r="BP7" i="59"/>
  <c r="BP8" i="59"/>
  <c r="BP9" i="59"/>
  <c r="BP10" i="59"/>
  <c r="BP11" i="59"/>
  <c r="BP12" i="59"/>
  <c r="BP13" i="59"/>
  <c r="BP14" i="59"/>
  <c r="BP15" i="59"/>
  <c r="BP16" i="59"/>
  <c r="BP6" i="60"/>
  <c r="BP7" i="60"/>
  <c r="BP8" i="60"/>
  <c r="BP9" i="60"/>
  <c r="BP10" i="60"/>
  <c r="BP11" i="60"/>
  <c r="BP12" i="60"/>
  <c r="BP13" i="60"/>
  <c r="BP14" i="60"/>
  <c r="BP15" i="60"/>
  <c r="BP16" i="60"/>
  <c r="BP6" i="61"/>
  <c r="BP7" i="61"/>
  <c r="BP8" i="61"/>
  <c r="BP9" i="61"/>
  <c r="BP10" i="61"/>
  <c r="BP11" i="61"/>
  <c r="BP12" i="61"/>
  <c r="BP13" i="61"/>
  <c r="BP14" i="61"/>
  <c r="BP15" i="61"/>
  <c r="BP16" i="61"/>
  <c r="BP6" i="31"/>
  <c r="BP7" i="31"/>
  <c r="BP8" i="31"/>
  <c r="BP9" i="31"/>
  <c r="BP10" i="31"/>
  <c r="BP11" i="31"/>
  <c r="BP12" i="31"/>
  <c r="BP13" i="31"/>
  <c r="BP14" i="31"/>
  <c r="BP15" i="31"/>
  <c r="BP16" i="31"/>
  <c r="BO6" i="36"/>
  <c r="BO7" i="36"/>
  <c r="BO8" i="36"/>
  <c r="BO9" i="36"/>
  <c r="BO10" i="36"/>
  <c r="BO11" i="36"/>
  <c r="BO12" i="36"/>
  <c r="BO13" i="36"/>
  <c r="BO14" i="36"/>
  <c r="BO15" i="36"/>
  <c r="BO16" i="36"/>
  <c r="BO6" i="35"/>
  <c r="BO7" i="35"/>
  <c r="BO8" i="35"/>
  <c r="BO9" i="35"/>
  <c r="BO10" i="35"/>
  <c r="BO11" i="35"/>
  <c r="BO12" i="35"/>
  <c r="BO13" i="35"/>
  <c r="BO14" i="35"/>
  <c r="BO15" i="35"/>
  <c r="BO16" i="35"/>
  <c r="BO6" i="33"/>
  <c r="BO7" i="33"/>
  <c r="BO8" i="33"/>
  <c r="BO9" i="33"/>
  <c r="BO10" i="33"/>
  <c r="BO11" i="33"/>
  <c r="BO12" i="33"/>
  <c r="BO13" i="33"/>
  <c r="BO14" i="33"/>
  <c r="BO15" i="33"/>
  <c r="BO16" i="33"/>
  <c r="BO6" i="34"/>
  <c r="BO7" i="34"/>
  <c r="BO8" i="34"/>
  <c r="BO9" i="34"/>
  <c r="BO10" i="34"/>
  <c r="BO11" i="34"/>
  <c r="BO12" i="34"/>
  <c r="BO13" i="34"/>
  <c r="BO14" i="34"/>
  <c r="BO15" i="34"/>
  <c r="BO16" i="34"/>
  <c r="BO6" i="38"/>
  <c r="BO7" i="38"/>
  <c r="BO8" i="38"/>
  <c r="BO9" i="38"/>
  <c r="BO10" i="38"/>
  <c r="BO11" i="38"/>
  <c r="BO12" i="38"/>
  <c r="BO13" i="38"/>
  <c r="BO14" i="38"/>
  <c r="BO15" i="38"/>
  <c r="BO16" i="38"/>
  <c r="BO6" i="40"/>
  <c r="BO7" i="40"/>
  <c r="BO8" i="40"/>
  <c r="BO9" i="40"/>
  <c r="BO10" i="40"/>
  <c r="BO11" i="40"/>
  <c r="BO12" i="40"/>
  <c r="BO13" i="40"/>
  <c r="BO14" i="40"/>
  <c r="BO15" i="40"/>
  <c r="BO16" i="40"/>
  <c r="BO6" i="39"/>
  <c r="BO7" i="39"/>
  <c r="BO8" i="39"/>
  <c r="BO9" i="39"/>
  <c r="BO10" i="39"/>
  <c r="BO11" i="39"/>
  <c r="BO12" i="39"/>
  <c r="BO13" i="39"/>
  <c r="BO14" i="39"/>
  <c r="BO15" i="39"/>
  <c r="BO16" i="39"/>
  <c r="BO6" i="41"/>
  <c r="BO7" i="41"/>
  <c r="BO8" i="41"/>
  <c r="BO9" i="41"/>
  <c r="BO10" i="41"/>
  <c r="BO11" i="41"/>
  <c r="BO12" i="41"/>
  <c r="BO13" i="41"/>
  <c r="BO14" i="41"/>
  <c r="BO15" i="41"/>
  <c r="BO16" i="41"/>
  <c r="BO6" i="44"/>
  <c r="BO7" i="44"/>
  <c r="BO8" i="44"/>
  <c r="BO9" i="44"/>
  <c r="BO10" i="44"/>
  <c r="BO11" i="44"/>
  <c r="BO12" i="44"/>
  <c r="BO13" i="44"/>
  <c r="BO14" i="44"/>
  <c r="BO15" i="44"/>
  <c r="BO16" i="44"/>
  <c r="BO6" i="42"/>
  <c r="BO7" i="42"/>
  <c r="BO8" i="42"/>
  <c r="BO9" i="42"/>
  <c r="BO10" i="42"/>
  <c r="BO11" i="42"/>
  <c r="BO12" i="42"/>
  <c r="BO13" i="42"/>
  <c r="BO14" i="42"/>
  <c r="BO15" i="42"/>
  <c r="BO16" i="42"/>
  <c r="BO6" i="43"/>
  <c r="BO7" i="43"/>
  <c r="BO8" i="43"/>
  <c r="BO9" i="43"/>
  <c r="BO10" i="43"/>
  <c r="BO11" i="43"/>
  <c r="BO12" i="43"/>
  <c r="BO13" i="43"/>
  <c r="BO14" i="43"/>
  <c r="BO15" i="43"/>
  <c r="BO16" i="43"/>
  <c r="BO6" i="49"/>
  <c r="BO7" i="49"/>
  <c r="BO8" i="49"/>
  <c r="BO9" i="49"/>
  <c r="BO10" i="49"/>
  <c r="BO11" i="49"/>
  <c r="BO12" i="49"/>
  <c r="BO13" i="49"/>
  <c r="BO14" i="49"/>
  <c r="BO15" i="49"/>
  <c r="BO16" i="49"/>
  <c r="BO6" i="50"/>
  <c r="BO7" i="50"/>
  <c r="BO8" i="50"/>
  <c r="BO9" i="50"/>
  <c r="BO10" i="50"/>
  <c r="BO11" i="50"/>
  <c r="BO12" i="50"/>
  <c r="BO13" i="50"/>
  <c r="BO14" i="50"/>
  <c r="BO15" i="50"/>
  <c r="BO16" i="50"/>
  <c r="BO6" i="67"/>
  <c r="BO7" i="67"/>
  <c r="BO8" i="67"/>
  <c r="BO9" i="67"/>
  <c r="BO10" i="67"/>
  <c r="BO11" i="67"/>
  <c r="BO12" i="67"/>
  <c r="BO13" i="67"/>
  <c r="BO14" i="67"/>
  <c r="BO15" i="67"/>
  <c r="BO16" i="67"/>
  <c r="BO6" i="51"/>
  <c r="BO7" i="51"/>
  <c r="BO8" i="51"/>
  <c r="BO9" i="51"/>
  <c r="BO10" i="51"/>
  <c r="BO11" i="51"/>
  <c r="BO12" i="51"/>
  <c r="BO13" i="51"/>
  <c r="BO14" i="51"/>
  <c r="BO15" i="51"/>
  <c r="BO16" i="51"/>
  <c r="BO6" i="52"/>
  <c r="BO7" i="52"/>
  <c r="BO8" i="52"/>
  <c r="BO9" i="52"/>
  <c r="BO10" i="52"/>
  <c r="BO11" i="52"/>
  <c r="BO12" i="52"/>
  <c r="BO13" i="52"/>
  <c r="BO14" i="52"/>
  <c r="BO15" i="52"/>
  <c r="BO16" i="52"/>
  <c r="BO6" i="53"/>
  <c r="BO7" i="53"/>
  <c r="BO8" i="53"/>
  <c r="BO9" i="53"/>
  <c r="BO10" i="53"/>
  <c r="BO11" i="53"/>
  <c r="BO12" i="53"/>
  <c r="BO13" i="53"/>
  <c r="BO14" i="53"/>
  <c r="BO15" i="53"/>
  <c r="BO16" i="53"/>
  <c r="BO6" i="54"/>
  <c r="BO7" i="54"/>
  <c r="BO8" i="54"/>
  <c r="BO9" i="54"/>
  <c r="BO10" i="54"/>
  <c r="BO11" i="54"/>
  <c r="BO12" i="54"/>
  <c r="BO13" i="54"/>
  <c r="BO14" i="54"/>
  <c r="BO15" i="54"/>
  <c r="BO16" i="54"/>
  <c r="BO6" i="55"/>
  <c r="BO7" i="55"/>
  <c r="BO8" i="55"/>
  <c r="BO9" i="55"/>
  <c r="BO10" i="55"/>
  <c r="BO11" i="55"/>
  <c r="BO12" i="55"/>
  <c r="BO13" i="55"/>
  <c r="BO14" i="55"/>
  <c r="BO15" i="55"/>
  <c r="BO16" i="55"/>
  <c r="BP6" i="47"/>
  <c r="BP7" i="47"/>
  <c r="BP8" i="47"/>
  <c r="BP9" i="47"/>
  <c r="BP10" i="47"/>
  <c r="BP11" i="47"/>
  <c r="BP12" i="47"/>
  <c r="BP13" i="47"/>
  <c r="BP14" i="47"/>
  <c r="BP15" i="47"/>
  <c r="BP16" i="47"/>
  <c r="BO6" i="45"/>
  <c r="BO7" i="45"/>
  <c r="BO8" i="45"/>
  <c r="BO9" i="45"/>
  <c r="BO10" i="45"/>
  <c r="BO11" i="45"/>
  <c r="BO12" i="45"/>
  <c r="BO13" i="45"/>
  <c r="BO14" i="45"/>
  <c r="BO15" i="45"/>
  <c r="BO16" i="45"/>
  <c r="BO6" i="48"/>
  <c r="BO7" i="48"/>
  <c r="BO8" i="48"/>
  <c r="BO9" i="48"/>
  <c r="BO10" i="48"/>
  <c r="BO11" i="48"/>
  <c r="BO12" i="48"/>
  <c r="BO13" i="48"/>
  <c r="BO14" i="48"/>
  <c r="BO15" i="48"/>
  <c r="BO16" i="48"/>
  <c r="BO6" i="46"/>
  <c r="BO7" i="46"/>
  <c r="BO8" i="46"/>
  <c r="BO9" i="46"/>
  <c r="BO10" i="46"/>
  <c r="BO11" i="46"/>
  <c r="BO12" i="46"/>
  <c r="BO13" i="46"/>
  <c r="BO14" i="46"/>
  <c r="BO15" i="46"/>
  <c r="BO16" i="46"/>
  <c r="BO6" i="56"/>
  <c r="BO7" i="56"/>
  <c r="BO8" i="56"/>
  <c r="BO9" i="56"/>
  <c r="BO10" i="56"/>
  <c r="BO11" i="56"/>
  <c r="BO12" i="56"/>
  <c r="BO13" i="56"/>
  <c r="BO14" i="56"/>
  <c r="BO15" i="56"/>
  <c r="BO16" i="56"/>
  <c r="BO6" i="58"/>
  <c r="BO7" i="58"/>
  <c r="BO8" i="58"/>
  <c r="BO9" i="58"/>
  <c r="BO10" i="58"/>
  <c r="BO11" i="58"/>
  <c r="BO12" i="58"/>
  <c r="BO13" i="58"/>
  <c r="BO14" i="58"/>
  <c r="BO15" i="58"/>
  <c r="BO16" i="58"/>
  <c r="BO6" i="59"/>
  <c r="BO7" i="59"/>
  <c r="BO8" i="59"/>
  <c r="BO9" i="59"/>
  <c r="BO10" i="59"/>
  <c r="BO11" i="59"/>
  <c r="BO12" i="59"/>
  <c r="BO13" i="59"/>
  <c r="BO14" i="59"/>
  <c r="BO15" i="59"/>
  <c r="BO16" i="59"/>
  <c r="BO6" i="60"/>
  <c r="BO7" i="60"/>
  <c r="BO8" i="60"/>
  <c r="BO9" i="60"/>
  <c r="BO10" i="60"/>
  <c r="BO11" i="60"/>
  <c r="BO12" i="60"/>
  <c r="BO13" i="60"/>
  <c r="BO14" i="60"/>
  <c r="BO15" i="60"/>
  <c r="BO16" i="60"/>
  <c r="BO6" i="61"/>
  <c r="BO7" i="61"/>
  <c r="BO8" i="61"/>
  <c r="BO9" i="61"/>
  <c r="BO10" i="61"/>
  <c r="BO11" i="61"/>
  <c r="BO12" i="61"/>
  <c r="BO13" i="61"/>
  <c r="BO14" i="61"/>
  <c r="BO15" i="61"/>
  <c r="BO16" i="61"/>
  <c r="BO6" i="31"/>
  <c r="BO7" i="31"/>
  <c r="BO8" i="31"/>
  <c r="BO9" i="31"/>
  <c r="BO10" i="31"/>
  <c r="BO11" i="31"/>
  <c r="BO12" i="31"/>
  <c r="BO13" i="31"/>
  <c r="BO14" i="31"/>
  <c r="BO15" i="31"/>
  <c r="BO16" i="31"/>
  <c r="BN6" i="36"/>
  <c r="BN7" i="36"/>
  <c r="BN8" i="36"/>
  <c r="BN9" i="36"/>
  <c r="BN10" i="36"/>
  <c r="BN11" i="36"/>
  <c r="BN12" i="36"/>
  <c r="BN13" i="36"/>
  <c r="BN14" i="36"/>
  <c r="BN15" i="36"/>
  <c r="BN16" i="36"/>
  <c r="BN6" i="35"/>
  <c r="BN7" i="35"/>
  <c r="BN8" i="35"/>
  <c r="BN9" i="35"/>
  <c r="BN10" i="35"/>
  <c r="BN11" i="35"/>
  <c r="BN12" i="35"/>
  <c r="BN13" i="35"/>
  <c r="BN14" i="35"/>
  <c r="BN15" i="35"/>
  <c r="BN16" i="35"/>
  <c r="BN6" i="33"/>
  <c r="BN7" i="33"/>
  <c r="BN8" i="33"/>
  <c r="BN9" i="33"/>
  <c r="BN10" i="33"/>
  <c r="BN11" i="33"/>
  <c r="BN12" i="33"/>
  <c r="BN13" i="33"/>
  <c r="BN14" i="33"/>
  <c r="BN15" i="33"/>
  <c r="BN16" i="33"/>
  <c r="BN6" i="34"/>
  <c r="BN7" i="34"/>
  <c r="BN8" i="34"/>
  <c r="BN9" i="34"/>
  <c r="BN10" i="34"/>
  <c r="BN11" i="34"/>
  <c r="BN12" i="34"/>
  <c r="BN13" i="34"/>
  <c r="BN14" i="34"/>
  <c r="BN15" i="34"/>
  <c r="BN16" i="34"/>
  <c r="BN6" i="38"/>
  <c r="BN7" i="38"/>
  <c r="BN8" i="38"/>
  <c r="BN9" i="38"/>
  <c r="BN10" i="38"/>
  <c r="BN11" i="38"/>
  <c r="BN12" i="38"/>
  <c r="BN13" i="38"/>
  <c r="BN14" i="38"/>
  <c r="BN15" i="38"/>
  <c r="BN16" i="38"/>
  <c r="BN6" i="40"/>
  <c r="BN7" i="40"/>
  <c r="BN8" i="40"/>
  <c r="BN9" i="40"/>
  <c r="BN10" i="40"/>
  <c r="BN11" i="40"/>
  <c r="BN12" i="40"/>
  <c r="BN13" i="40"/>
  <c r="BN14" i="40"/>
  <c r="BN15" i="40"/>
  <c r="BN16" i="40"/>
  <c r="BN6" i="39"/>
  <c r="BN7" i="39"/>
  <c r="BN8" i="39"/>
  <c r="BN9" i="39"/>
  <c r="BN10" i="39"/>
  <c r="BN11" i="39"/>
  <c r="BN12" i="39"/>
  <c r="BN13" i="39"/>
  <c r="BN14" i="39"/>
  <c r="BN15" i="39"/>
  <c r="BN16" i="39"/>
  <c r="BN6" i="41"/>
  <c r="BN7" i="41"/>
  <c r="BN8" i="41"/>
  <c r="BN9" i="41"/>
  <c r="BN10" i="41"/>
  <c r="BN11" i="41"/>
  <c r="BN12" i="41"/>
  <c r="BN13" i="41"/>
  <c r="BN14" i="41"/>
  <c r="BN15" i="41"/>
  <c r="BN16" i="41"/>
  <c r="BN6" i="44"/>
  <c r="BN7" i="44"/>
  <c r="BN8" i="44"/>
  <c r="BN9" i="44"/>
  <c r="BN10" i="44"/>
  <c r="BN11" i="44"/>
  <c r="BN12" i="44"/>
  <c r="BN13" i="44"/>
  <c r="BN14" i="44"/>
  <c r="BN15" i="44"/>
  <c r="BN16" i="44"/>
  <c r="BN6" i="42"/>
  <c r="BN7" i="42"/>
  <c r="BN8" i="42"/>
  <c r="BN9" i="42"/>
  <c r="BN10" i="42"/>
  <c r="BN11" i="42"/>
  <c r="BN12" i="42"/>
  <c r="BN13" i="42"/>
  <c r="BN14" i="42"/>
  <c r="BN15" i="42"/>
  <c r="BN16" i="42"/>
  <c r="BN6" i="43"/>
  <c r="BN7" i="43"/>
  <c r="BN8" i="43"/>
  <c r="BN9" i="43"/>
  <c r="BN10" i="43"/>
  <c r="BN11" i="43"/>
  <c r="BN12" i="43"/>
  <c r="BN13" i="43"/>
  <c r="BN14" i="43"/>
  <c r="BN15" i="43"/>
  <c r="BN16" i="43"/>
  <c r="BN6" i="49"/>
  <c r="BN7" i="49"/>
  <c r="BN8" i="49"/>
  <c r="BN9" i="49"/>
  <c r="BN10" i="49"/>
  <c r="BN11" i="49"/>
  <c r="BN12" i="49"/>
  <c r="BN13" i="49"/>
  <c r="BN14" i="49"/>
  <c r="BN15" i="49"/>
  <c r="BN16" i="49"/>
  <c r="BN6" i="50"/>
  <c r="BN7" i="50"/>
  <c r="BN8" i="50"/>
  <c r="BN9" i="50"/>
  <c r="BN10" i="50"/>
  <c r="BN11" i="50"/>
  <c r="BN12" i="50"/>
  <c r="BN13" i="50"/>
  <c r="BN14" i="50"/>
  <c r="BN15" i="50"/>
  <c r="BN16" i="50"/>
  <c r="BN6" i="67"/>
  <c r="BN7" i="67"/>
  <c r="BN8" i="67"/>
  <c r="BN9" i="67"/>
  <c r="BN10" i="67"/>
  <c r="BN11" i="67"/>
  <c r="BN12" i="67"/>
  <c r="BN13" i="67"/>
  <c r="BN14" i="67"/>
  <c r="BN15" i="67"/>
  <c r="BN16" i="67"/>
  <c r="BN6" i="51"/>
  <c r="BN7" i="51"/>
  <c r="BN8" i="51"/>
  <c r="BN9" i="51"/>
  <c r="BN10" i="51"/>
  <c r="BN11" i="51"/>
  <c r="BN12" i="51"/>
  <c r="BN13" i="51"/>
  <c r="BN14" i="51"/>
  <c r="BN15" i="51"/>
  <c r="BN16" i="51"/>
  <c r="BN6" i="52"/>
  <c r="BN7" i="52"/>
  <c r="BN8" i="52"/>
  <c r="BN9" i="52"/>
  <c r="BN10" i="52"/>
  <c r="BN11" i="52"/>
  <c r="BN12" i="52"/>
  <c r="BN13" i="52"/>
  <c r="BN14" i="52"/>
  <c r="BN15" i="52"/>
  <c r="BN16" i="52"/>
  <c r="BN6" i="53"/>
  <c r="BN7" i="53"/>
  <c r="BN8" i="53"/>
  <c r="BN9" i="53"/>
  <c r="BN10" i="53"/>
  <c r="BN11" i="53"/>
  <c r="BN12" i="53"/>
  <c r="BN13" i="53"/>
  <c r="BN14" i="53"/>
  <c r="BN15" i="53"/>
  <c r="BN16" i="53"/>
  <c r="BN6" i="54"/>
  <c r="BN7" i="54"/>
  <c r="BN8" i="54"/>
  <c r="BN9" i="54"/>
  <c r="BN10" i="54"/>
  <c r="BN11" i="54"/>
  <c r="BN12" i="54"/>
  <c r="BN13" i="54"/>
  <c r="BN14" i="54"/>
  <c r="BN15" i="54"/>
  <c r="BN16" i="54"/>
  <c r="BN6" i="55"/>
  <c r="BN7" i="55"/>
  <c r="BN8" i="55"/>
  <c r="BN9" i="55"/>
  <c r="BN10" i="55"/>
  <c r="BN11" i="55"/>
  <c r="BN12" i="55"/>
  <c r="BN13" i="55"/>
  <c r="BN14" i="55"/>
  <c r="BN15" i="55"/>
  <c r="BN16" i="55"/>
  <c r="BO6" i="47"/>
  <c r="BO7" i="47"/>
  <c r="BO8" i="47"/>
  <c r="BO9" i="47"/>
  <c r="BO10" i="47"/>
  <c r="BO11" i="47"/>
  <c r="BO12" i="47"/>
  <c r="BO13" i="47"/>
  <c r="BO14" i="47"/>
  <c r="BO15" i="47"/>
  <c r="BO16" i="47"/>
  <c r="BN6" i="45"/>
  <c r="BN7" i="45"/>
  <c r="BN8" i="45"/>
  <c r="BN9" i="45"/>
  <c r="BN10" i="45"/>
  <c r="BN11" i="45"/>
  <c r="BN12" i="45"/>
  <c r="BN13" i="45"/>
  <c r="BN14" i="45"/>
  <c r="BN15" i="45"/>
  <c r="BN16" i="45"/>
  <c r="BN6" i="48"/>
  <c r="BN7" i="48"/>
  <c r="BN8" i="48"/>
  <c r="BN9" i="48"/>
  <c r="BN10" i="48"/>
  <c r="BN11" i="48"/>
  <c r="BN12" i="48"/>
  <c r="BN13" i="48"/>
  <c r="BN14" i="48"/>
  <c r="BN15" i="48"/>
  <c r="BN16" i="48"/>
  <c r="BN6" i="46"/>
  <c r="BN7" i="46"/>
  <c r="BN8" i="46"/>
  <c r="BN9" i="46"/>
  <c r="BN10" i="46"/>
  <c r="BN11" i="46"/>
  <c r="BN12" i="46"/>
  <c r="BN13" i="46"/>
  <c r="BN14" i="46"/>
  <c r="BN15" i="46"/>
  <c r="BN16" i="46"/>
  <c r="BN6" i="56"/>
  <c r="BN7" i="56"/>
  <c r="BN8" i="56"/>
  <c r="BN9" i="56"/>
  <c r="BN10" i="56"/>
  <c r="BN11" i="56"/>
  <c r="BN12" i="56"/>
  <c r="BN13" i="56"/>
  <c r="BN14" i="56"/>
  <c r="BN15" i="56"/>
  <c r="BN16" i="56"/>
  <c r="BN6" i="58"/>
  <c r="BN7" i="58"/>
  <c r="BN8" i="58"/>
  <c r="BN9" i="58"/>
  <c r="BN10" i="58"/>
  <c r="BN11" i="58"/>
  <c r="BN12" i="58"/>
  <c r="BN13" i="58"/>
  <c r="BN14" i="58"/>
  <c r="BN15" i="58"/>
  <c r="BN16" i="58"/>
  <c r="BN6" i="59"/>
  <c r="BN7" i="59"/>
  <c r="BN8" i="59"/>
  <c r="BN9" i="59"/>
  <c r="BN10" i="59"/>
  <c r="BN11" i="59"/>
  <c r="BN12" i="59"/>
  <c r="BN13" i="59"/>
  <c r="BN14" i="59"/>
  <c r="BN15" i="59"/>
  <c r="BN16" i="59"/>
  <c r="BN6" i="60"/>
  <c r="BN7" i="60"/>
  <c r="BN8" i="60"/>
  <c r="BN9" i="60"/>
  <c r="BN10" i="60"/>
  <c r="BN11" i="60"/>
  <c r="BN12" i="60"/>
  <c r="BN13" i="60"/>
  <c r="BN14" i="60"/>
  <c r="BN15" i="60"/>
  <c r="BN16" i="60"/>
  <c r="BN6" i="61"/>
  <c r="BN7" i="61"/>
  <c r="BN8" i="61"/>
  <c r="BN9" i="61"/>
  <c r="BN10" i="61"/>
  <c r="BN11" i="61"/>
  <c r="BN12" i="61"/>
  <c r="BN13" i="61"/>
  <c r="BN14" i="61"/>
  <c r="BN15" i="61"/>
  <c r="BN16" i="61"/>
  <c r="BN6" i="31"/>
  <c r="BN7" i="31"/>
  <c r="BN8" i="31"/>
  <c r="BN9" i="31"/>
  <c r="BN10" i="31"/>
  <c r="BN11" i="31"/>
  <c r="BN12" i="31"/>
  <c r="BN13" i="31"/>
  <c r="BN14" i="31"/>
  <c r="BN15" i="31"/>
  <c r="BN16" i="31"/>
  <c r="BM6" i="36"/>
  <c r="BM7" i="36"/>
  <c r="BM8" i="36"/>
  <c r="BM9" i="36"/>
  <c r="BM10" i="36"/>
  <c r="BM11" i="36"/>
  <c r="BM12" i="36"/>
  <c r="BM13" i="36"/>
  <c r="BM14" i="36"/>
  <c r="BM15" i="36"/>
  <c r="BM16" i="36"/>
  <c r="BM6" i="35"/>
  <c r="BM7" i="35"/>
  <c r="BM8" i="35"/>
  <c r="BM9" i="35"/>
  <c r="BM10" i="35"/>
  <c r="BM11" i="35"/>
  <c r="BM12" i="35"/>
  <c r="BM13" i="35"/>
  <c r="BM14" i="35"/>
  <c r="BM15" i="35"/>
  <c r="BM16" i="35"/>
  <c r="BM6" i="33"/>
  <c r="BM7" i="33"/>
  <c r="BM8" i="33"/>
  <c r="BM9" i="33"/>
  <c r="BM10" i="33"/>
  <c r="BM11" i="33"/>
  <c r="BM12" i="33"/>
  <c r="BM13" i="33"/>
  <c r="BM14" i="33"/>
  <c r="BM15" i="33"/>
  <c r="BM16" i="33"/>
  <c r="BM6" i="34"/>
  <c r="BM7" i="34"/>
  <c r="BM8" i="34"/>
  <c r="BM9" i="34"/>
  <c r="BM10" i="34"/>
  <c r="BM11" i="34"/>
  <c r="BM12" i="34"/>
  <c r="BM13" i="34"/>
  <c r="BM14" i="34"/>
  <c r="BM15" i="34"/>
  <c r="BM16" i="34"/>
  <c r="BM6" i="38"/>
  <c r="BM7" i="38"/>
  <c r="BM8" i="38"/>
  <c r="BM9" i="38"/>
  <c r="BM10" i="38"/>
  <c r="BM11" i="38"/>
  <c r="BM12" i="38"/>
  <c r="BM13" i="38"/>
  <c r="BM14" i="38"/>
  <c r="BM15" i="38"/>
  <c r="BM16" i="38"/>
  <c r="BM6" i="40"/>
  <c r="BM7" i="40"/>
  <c r="BM8" i="40"/>
  <c r="BM9" i="40"/>
  <c r="BM10" i="40"/>
  <c r="BM11" i="40"/>
  <c r="BM12" i="40"/>
  <c r="BM13" i="40"/>
  <c r="BM14" i="40"/>
  <c r="BM15" i="40"/>
  <c r="BM16" i="40"/>
  <c r="BM6" i="39"/>
  <c r="BM7" i="39"/>
  <c r="BM8" i="39"/>
  <c r="BM9" i="39"/>
  <c r="BM10" i="39"/>
  <c r="BM11" i="39"/>
  <c r="BM12" i="39"/>
  <c r="BM13" i="39"/>
  <c r="BM14" i="39"/>
  <c r="BM15" i="39"/>
  <c r="BM16" i="39"/>
  <c r="BM6" i="41"/>
  <c r="BM7" i="41"/>
  <c r="BM8" i="41"/>
  <c r="BM9" i="41"/>
  <c r="BM10" i="41"/>
  <c r="BM11" i="41"/>
  <c r="BM12" i="41"/>
  <c r="BM13" i="41"/>
  <c r="BM14" i="41"/>
  <c r="BM15" i="41"/>
  <c r="BM16" i="41"/>
  <c r="BM6" i="44"/>
  <c r="BM7" i="44"/>
  <c r="BM8" i="44"/>
  <c r="BM9" i="44"/>
  <c r="BM10" i="44"/>
  <c r="BM11" i="44"/>
  <c r="BM12" i="44"/>
  <c r="BM13" i="44"/>
  <c r="BM14" i="44"/>
  <c r="BM15" i="44"/>
  <c r="BM16" i="44"/>
  <c r="BM6" i="42"/>
  <c r="BM7" i="42"/>
  <c r="BM8" i="42"/>
  <c r="BM9" i="42"/>
  <c r="BM10" i="42"/>
  <c r="BM11" i="42"/>
  <c r="BM12" i="42"/>
  <c r="BM13" i="42"/>
  <c r="BM14" i="42"/>
  <c r="BM15" i="42"/>
  <c r="BM16" i="42"/>
  <c r="BM6" i="43"/>
  <c r="BM7" i="43"/>
  <c r="BM8" i="43"/>
  <c r="BM9" i="43"/>
  <c r="BM10" i="43"/>
  <c r="BM11" i="43"/>
  <c r="BM12" i="43"/>
  <c r="BM13" i="43"/>
  <c r="BM14" i="43"/>
  <c r="BM15" i="43"/>
  <c r="BM16" i="43"/>
  <c r="BM6" i="49"/>
  <c r="BM7" i="49"/>
  <c r="BM8" i="49"/>
  <c r="BM9" i="49"/>
  <c r="BM10" i="49"/>
  <c r="BM11" i="49"/>
  <c r="BM12" i="49"/>
  <c r="BM13" i="49"/>
  <c r="BM14" i="49"/>
  <c r="BM15" i="49"/>
  <c r="BM16" i="49"/>
  <c r="BM6" i="50"/>
  <c r="BM7" i="50"/>
  <c r="BM8" i="50"/>
  <c r="BM9" i="50"/>
  <c r="BM10" i="50"/>
  <c r="BM11" i="50"/>
  <c r="BM12" i="50"/>
  <c r="BM13" i="50"/>
  <c r="BM14" i="50"/>
  <c r="BM15" i="50"/>
  <c r="BM16" i="50"/>
  <c r="BM6" i="67"/>
  <c r="BM7" i="67"/>
  <c r="BM8" i="67"/>
  <c r="BM9" i="67"/>
  <c r="BM10" i="67"/>
  <c r="BM11" i="67"/>
  <c r="BM12" i="67"/>
  <c r="BM13" i="67"/>
  <c r="BM14" i="67"/>
  <c r="BM15" i="67"/>
  <c r="BM16" i="67"/>
  <c r="BM6" i="51"/>
  <c r="BM7" i="51"/>
  <c r="BM8" i="51"/>
  <c r="BM9" i="51"/>
  <c r="BM10" i="51"/>
  <c r="BM11" i="51"/>
  <c r="BM12" i="51"/>
  <c r="BM13" i="51"/>
  <c r="BM14" i="51"/>
  <c r="BM15" i="51"/>
  <c r="BM16" i="51"/>
  <c r="BM6" i="52"/>
  <c r="BM7" i="52"/>
  <c r="BM8" i="52"/>
  <c r="BM9" i="52"/>
  <c r="BM10" i="52"/>
  <c r="BM11" i="52"/>
  <c r="BM12" i="52"/>
  <c r="BM13" i="52"/>
  <c r="BM14" i="52"/>
  <c r="BM15" i="52"/>
  <c r="BM16" i="52"/>
  <c r="BM6" i="53"/>
  <c r="BM7" i="53"/>
  <c r="BM8" i="53"/>
  <c r="BM9" i="53"/>
  <c r="BM10" i="53"/>
  <c r="BM11" i="53"/>
  <c r="BM12" i="53"/>
  <c r="BM13" i="53"/>
  <c r="BM14" i="53"/>
  <c r="BM15" i="53"/>
  <c r="BM16" i="53"/>
  <c r="BM6" i="54"/>
  <c r="BM7" i="54"/>
  <c r="BM8" i="54"/>
  <c r="BM9" i="54"/>
  <c r="BM10" i="54"/>
  <c r="BM11" i="54"/>
  <c r="BM12" i="54"/>
  <c r="BM13" i="54"/>
  <c r="BM14" i="54"/>
  <c r="BM15" i="54"/>
  <c r="BM16" i="54"/>
  <c r="BM6" i="55"/>
  <c r="BM7" i="55"/>
  <c r="BM8" i="55"/>
  <c r="BM9" i="55"/>
  <c r="BM10" i="55"/>
  <c r="BM11" i="55"/>
  <c r="BM12" i="55"/>
  <c r="BM13" i="55"/>
  <c r="BM14" i="55"/>
  <c r="BM15" i="55"/>
  <c r="BM16" i="55"/>
  <c r="BN6" i="47"/>
  <c r="BN7" i="47"/>
  <c r="BN8" i="47"/>
  <c r="BN9" i="47"/>
  <c r="BN10" i="47"/>
  <c r="BN11" i="47"/>
  <c r="BN12" i="47"/>
  <c r="BN13" i="47"/>
  <c r="BN14" i="47"/>
  <c r="BN15" i="47"/>
  <c r="BN16" i="47"/>
  <c r="BM6" i="45"/>
  <c r="BM7" i="45"/>
  <c r="BM8" i="45"/>
  <c r="BM9" i="45"/>
  <c r="BM10" i="45"/>
  <c r="BM11" i="45"/>
  <c r="BM12" i="45"/>
  <c r="BM13" i="45"/>
  <c r="BM14" i="45"/>
  <c r="BM15" i="45"/>
  <c r="BM16" i="45"/>
  <c r="BM6" i="48"/>
  <c r="BM7" i="48"/>
  <c r="BM8" i="48"/>
  <c r="BM9" i="48"/>
  <c r="BM10" i="48"/>
  <c r="BM11" i="48"/>
  <c r="BM12" i="48"/>
  <c r="BM13" i="48"/>
  <c r="BM14" i="48"/>
  <c r="BM15" i="48"/>
  <c r="BM16" i="48"/>
  <c r="BM6" i="46"/>
  <c r="BM7" i="46"/>
  <c r="BM8" i="46"/>
  <c r="BM9" i="46"/>
  <c r="BM10" i="46"/>
  <c r="BM11" i="46"/>
  <c r="BM12" i="46"/>
  <c r="BM13" i="46"/>
  <c r="BM14" i="46"/>
  <c r="BM15" i="46"/>
  <c r="BM16" i="46"/>
  <c r="BM6" i="56"/>
  <c r="BM7" i="56"/>
  <c r="BM8" i="56"/>
  <c r="BM9" i="56"/>
  <c r="BM10" i="56"/>
  <c r="BM11" i="56"/>
  <c r="BM12" i="56"/>
  <c r="BM13" i="56"/>
  <c r="BM14" i="56"/>
  <c r="BM15" i="56"/>
  <c r="BM16" i="56"/>
  <c r="BM6" i="58"/>
  <c r="BM7" i="58"/>
  <c r="BM8" i="58"/>
  <c r="BM9" i="58"/>
  <c r="BM10" i="58"/>
  <c r="BM11" i="58"/>
  <c r="BM12" i="58"/>
  <c r="BM13" i="58"/>
  <c r="BM14" i="58"/>
  <c r="BM15" i="58"/>
  <c r="BM16" i="58"/>
  <c r="BM6" i="59"/>
  <c r="BM7" i="59"/>
  <c r="BM8" i="59"/>
  <c r="BM9" i="59"/>
  <c r="BM10" i="59"/>
  <c r="BM11" i="59"/>
  <c r="BM12" i="59"/>
  <c r="BM13" i="59"/>
  <c r="BM14" i="59"/>
  <c r="BM15" i="59"/>
  <c r="BM16" i="59"/>
  <c r="BM6" i="60"/>
  <c r="BM7" i="60"/>
  <c r="BM8" i="60"/>
  <c r="BM9" i="60"/>
  <c r="BM10" i="60"/>
  <c r="BM11" i="60"/>
  <c r="BM12" i="60"/>
  <c r="BM13" i="60"/>
  <c r="BM14" i="60"/>
  <c r="BM15" i="60"/>
  <c r="BM16" i="60"/>
  <c r="BM6" i="61"/>
  <c r="BM7" i="61"/>
  <c r="BM8" i="61"/>
  <c r="BM9" i="61"/>
  <c r="BM10" i="61"/>
  <c r="BM11" i="61"/>
  <c r="BM12" i="61"/>
  <c r="BM13" i="61"/>
  <c r="BM14" i="61"/>
  <c r="BM15" i="61"/>
  <c r="BM16" i="61"/>
  <c r="BM6" i="31"/>
  <c r="BM7" i="31"/>
  <c r="BM8" i="31"/>
  <c r="BM9" i="31"/>
  <c r="BM10" i="31"/>
  <c r="BM11" i="31"/>
  <c r="BM12" i="31"/>
  <c r="BM13" i="31"/>
  <c r="BM14" i="31"/>
  <c r="BM15" i="31"/>
  <c r="BM16" i="31"/>
  <c r="BL6" i="36"/>
  <c r="BL7" i="36"/>
  <c r="BL8" i="36"/>
  <c r="BL9" i="36"/>
  <c r="BL10" i="36"/>
  <c r="BL11" i="36"/>
  <c r="BL12" i="36"/>
  <c r="BL13" i="36"/>
  <c r="BL14" i="36"/>
  <c r="BL15" i="36"/>
  <c r="BL16" i="36"/>
  <c r="BL6" i="35"/>
  <c r="BL7" i="35"/>
  <c r="BL8" i="35"/>
  <c r="BL9" i="35"/>
  <c r="BL10" i="35"/>
  <c r="BL11" i="35"/>
  <c r="BL12" i="35"/>
  <c r="BL13" i="35"/>
  <c r="BL14" i="35"/>
  <c r="BL15" i="35"/>
  <c r="BL16" i="35"/>
  <c r="BL6" i="33"/>
  <c r="BL7" i="33"/>
  <c r="BL8" i="33"/>
  <c r="BL9" i="33"/>
  <c r="BL10" i="33"/>
  <c r="BL11" i="33"/>
  <c r="BL12" i="33"/>
  <c r="BL13" i="33"/>
  <c r="BL14" i="33"/>
  <c r="BL15" i="33"/>
  <c r="BL16" i="33"/>
  <c r="BL6" i="34"/>
  <c r="BL7" i="34"/>
  <c r="BL8" i="34"/>
  <c r="BL9" i="34"/>
  <c r="BL10" i="34"/>
  <c r="BL11" i="34"/>
  <c r="BL12" i="34"/>
  <c r="BL13" i="34"/>
  <c r="BL14" i="34"/>
  <c r="BL15" i="34"/>
  <c r="BL16" i="34"/>
  <c r="BL6" i="38"/>
  <c r="BL7" i="38"/>
  <c r="BL8" i="38"/>
  <c r="BL9" i="38"/>
  <c r="BL10" i="38"/>
  <c r="BL11" i="38"/>
  <c r="BL12" i="38"/>
  <c r="BL13" i="38"/>
  <c r="BL14" i="38"/>
  <c r="BL15" i="38"/>
  <c r="BL16" i="38"/>
  <c r="BL6" i="40"/>
  <c r="BL7" i="40"/>
  <c r="BL8" i="40"/>
  <c r="BL9" i="40"/>
  <c r="BL10" i="40"/>
  <c r="BL11" i="40"/>
  <c r="BL12" i="40"/>
  <c r="BL13" i="40"/>
  <c r="BL14" i="40"/>
  <c r="BL15" i="40"/>
  <c r="BL16" i="40"/>
  <c r="BL6" i="39"/>
  <c r="BL7" i="39"/>
  <c r="BL8" i="39"/>
  <c r="BL9" i="39"/>
  <c r="BL10" i="39"/>
  <c r="BL11" i="39"/>
  <c r="BL12" i="39"/>
  <c r="BL13" i="39"/>
  <c r="BL14" i="39"/>
  <c r="BL15" i="39"/>
  <c r="BL16" i="39"/>
  <c r="BL6" i="41"/>
  <c r="BL7" i="41"/>
  <c r="BL8" i="41"/>
  <c r="BL9" i="41"/>
  <c r="BL10" i="41"/>
  <c r="BL11" i="41"/>
  <c r="BL12" i="41"/>
  <c r="BL13" i="41"/>
  <c r="BL14" i="41"/>
  <c r="BL15" i="41"/>
  <c r="BL16" i="41"/>
  <c r="BL6" i="44"/>
  <c r="BL7" i="44"/>
  <c r="BL8" i="44"/>
  <c r="BL9" i="44"/>
  <c r="BL10" i="44"/>
  <c r="BL11" i="44"/>
  <c r="BL12" i="44"/>
  <c r="BL13" i="44"/>
  <c r="BL14" i="44"/>
  <c r="BL15" i="44"/>
  <c r="BL16" i="44"/>
  <c r="BL6" i="42"/>
  <c r="BL7" i="42"/>
  <c r="BL8" i="42"/>
  <c r="BL9" i="42"/>
  <c r="BL10" i="42"/>
  <c r="BL11" i="42"/>
  <c r="BL12" i="42"/>
  <c r="BL13" i="42"/>
  <c r="BL14" i="42"/>
  <c r="BL15" i="42"/>
  <c r="BL16" i="42"/>
  <c r="BL6" i="43"/>
  <c r="BL7" i="43"/>
  <c r="BL8" i="43"/>
  <c r="BL9" i="43"/>
  <c r="BL10" i="43"/>
  <c r="BL11" i="43"/>
  <c r="BL12" i="43"/>
  <c r="BL13" i="43"/>
  <c r="BL14" i="43"/>
  <c r="BL15" i="43"/>
  <c r="BL16" i="43"/>
  <c r="BL6" i="49"/>
  <c r="BL7" i="49"/>
  <c r="BL8" i="49"/>
  <c r="BL9" i="49"/>
  <c r="BL10" i="49"/>
  <c r="BL11" i="49"/>
  <c r="BL12" i="49"/>
  <c r="BL13" i="49"/>
  <c r="BL14" i="49"/>
  <c r="BL15" i="49"/>
  <c r="BL16" i="49"/>
  <c r="BL6" i="50"/>
  <c r="BL7" i="50"/>
  <c r="BL8" i="50"/>
  <c r="BL9" i="50"/>
  <c r="BL10" i="50"/>
  <c r="BL11" i="50"/>
  <c r="BL12" i="50"/>
  <c r="BL13" i="50"/>
  <c r="BL14" i="50"/>
  <c r="BL15" i="50"/>
  <c r="BL16" i="50"/>
  <c r="BL6" i="67"/>
  <c r="BL7" i="67"/>
  <c r="BL8" i="67"/>
  <c r="BL9" i="67"/>
  <c r="BL10" i="67"/>
  <c r="BL11" i="67"/>
  <c r="BL12" i="67"/>
  <c r="BL13" i="67"/>
  <c r="BL14" i="67"/>
  <c r="BL15" i="67"/>
  <c r="BL16" i="67"/>
  <c r="BL6" i="51"/>
  <c r="BL7" i="51"/>
  <c r="BL8" i="51"/>
  <c r="BL9" i="51"/>
  <c r="BL10" i="51"/>
  <c r="BL11" i="51"/>
  <c r="BL12" i="51"/>
  <c r="BL13" i="51"/>
  <c r="BL14" i="51"/>
  <c r="BL15" i="51"/>
  <c r="BL16" i="51"/>
  <c r="BL6" i="52"/>
  <c r="BL7" i="52"/>
  <c r="BL8" i="52"/>
  <c r="BL9" i="52"/>
  <c r="BL10" i="52"/>
  <c r="BL11" i="52"/>
  <c r="BL12" i="52"/>
  <c r="BL13" i="52"/>
  <c r="BL14" i="52"/>
  <c r="BL15" i="52"/>
  <c r="BL16" i="52"/>
  <c r="BL6" i="53"/>
  <c r="BL7" i="53"/>
  <c r="BL8" i="53"/>
  <c r="BL9" i="53"/>
  <c r="BL10" i="53"/>
  <c r="BL11" i="53"/>
  <c r="BL12" i="53"/>
  <c r="BL13" i="53"/>
  <c r="BL14" i="53"/>
  <c r="BL15" i="53"/>
  <c r="BL16" i="53"/>
  <c r="BL6" i="54"/>
  <c r="BL7" i="54"/>
  <c r="BL8" i="54"/>
  <c r="BL9" i="54"/>
  <c r="BL10" i="54"/>
  <c r="BL11" i="54"/>
  <c r="BL12" i="54"/>
  <c r="BL13" i="54"/>
  <c r="BL14" i="54"/>
  <c r="BL15" i="54"/>
  <c r="BL16" i="54"/>
  <c r="BL6" i="55"/>
  <c r="BL7" i="55"/>
  <c r="BL8" i="55"/>
  <c r="BL9" i="55"/>
  <c r="BL10" i="55"/>
  <c r="BL11" i="55"/>
  <c r="BL12" i="55"/>
  <c r="BL13" i="55"/>
  <c r="BL14" i="55"/>
  <c r="BL15" i="55"/>
  <c r="BL16" i="55"/>
  <c r="BM6" i="47"/>
  <c r="BM7" i="47"/>
  <c r="BM8" i="47"/>
  <c r="BM9" i="47"/>
  <c r="BM10" i="47"/>
  <c r="BM11" i="47"/>
  <c r="BM12" i="47"/>
  <c r="BM13" i="47"/>
  <c r="BM14" i="47"/>
  <c r="BM15" i="47"/>
  <c r="BM16" i="47"/>
  <c r="BL6" i="45"/>
  <c r="BL7" i="45"/>
  <c r="BL8" i="45"/>
  <c r="BL9" i="45"/>
  <c r="BL10" i="45"/>
  <c r="BL11" i="45"/>
  <c r="BL12" i="45"/>
  <c r="BL13" i="45"/>
  <c r="BL14" i="45"/>
  <c r="BL15" i="45"/>
  <c r="BL16" i="45"/>
  <c r="BL6" i="48"/>
  <c r="BL7" i="48"/>
  <c r="BL8" i="48"/>
  <c r="BL9" i="48"/>
  <c r="BL10" i="48"/>
  <c r="BL11" i="48"/>
  <c r="BL12" i="48"/>
  <c r="BL13" i="48"/>
  <c r="BL14" i="48"/>
  <c r="BL15" i="48"/>
  <c r="BL16" i="48"/>
  <c r="BL6" i="46"/>
  <c r="BL7" i="46"/>
  <c r="BL8" i="46"/>
  <c r="BL9" i="46"/>
  <c r="BL10" i="46"/>
  <c r="BL11" i="46"/>
  <c r="BL12" i="46"/>
  <c r="BL13" i="46"/>
  <c r="BL14" i="46"/>
  <c r="BL15" i="46"/>
  <c r="BL16" i="46"/>
  <c r="BL6" i="56"/>
  <c r="BL7" i="56"/>
  <c r="BL8" i="56"/>
  <c r="BL9" i="56"/>
  <c r="BL10" i="56"/>
  <c r="BL11" i="56"/>
  <c r="BL12" i="56"/>
  <c r="BL13" i="56"/>
  <c r="BL14" i="56"/>
  <c r="BL15" i="56"/>
  <c r="BL16" i="56"/>
  <c r="BL6" i="58"/>
  <c r="BL7" i="58"/>
  <c r="BL8" i="58"/>
  <c r="BL9" i="58"/>
  <c r="BL10" i="58"/>
  <c r="BL11" i="58"/>
  <c r="BL12" i="58"/>
  <c r="BL13" i="58"/>
  <c r="BL14" i="58"/>
  <c r="BL15" i="58"/>
  <c r="BL16" i="58"/>
  <c r="BL6" i="59"/>
  <c r="BL7" i="59"/>
  <c r="BL8" i="59"/>
  <c r="BL9" i="59"/>
  <c r="BL10" i="59"/>
  <c r="BL11" i="59"/>
  <c r="BL12" i="59"/>
  <c r="BL13" i="59"/>
  <c r="BL14" i="59"/>
  <c r="BL15" i="59"/>
  <c r="BL16" i="59"/>
  <c r="BL6" i="60"/>
  <c r="BL7" i="60"/>
  <c r="BL8" i="60"/>
  <c r="BL9" i="60"/>
  <c r="BL10" i="60"/>
  <c r="BL11" i="60"/>
  <c r="BL12" i="60"/>
  <c r="BL13" i="60"/>
  <c r="BL14" i="60"/>
  <c r="BL15" i="60"/>
  <c r="BL16" i="60"/>
  <c r="BL6" i="61"/>
  <c r="BL7" i="61"/>
  <c r="BL8" i="61"/>
  <c r="BL9" i="61"/>
  <c r="BL10" i="61"/>
  <c r="BL11" i="61"/>
  <c r="BL12" i="61"/>
  <c r="BL13" i="61"/>
  <c r="BL14" i="61"/>
  <c r="BL15" i="61"/>
  <c r="BL16" i="61"/>
  <c r="BL6" i="31"/>
  <c r="BL7" i="31"/>
  <c r="BL8" i="31"/>
  <c r="BL9" i="31"/>
  <c r="BL10" i="31"/>
  <c r="BL11" i="31"/>
  <c r="BL12" i="31"/>
  <c r="BL13" i="31"/>
  <c r="BL14" i="31"/>
  <c r="BL15" i="31"/>
  <c r="BL16" i="31"/>
  <c r="BK6" i="36"/>
  <c r="BK7" i="36"/>
  <c r="BK8" i="36"/>
  <c r="BK9" i="36"/>
  <c r="BK10" i="36"/>
  <c r="BK11" i="36"/>
  <c r="BK12" i="36"/>
  <c r="BK13" i="36"/>
  <c r="BK14" i="36"/>
  <c r="BK15" i="36"/>
  <c r="BK16" i="36"/>
  <c r="BK6" i="35"/>
  <c r="BK7" i="35"/>
  <c r="BK8" i="35"/>
  <c r="BK9" i="35"/>
  <c r="BK10" i="35"/>
  <c r="BK11" i="35"/>
  <c r="BK12" i="35"/>
  <c r="BK13" i="35"/>
  <c r="BK14" i="35"/>
  <c r="BK15" i="35"/>
  <c r="BK16" i="35"/>
  <c r="BK6" i="33"/>
  <c r="BK7" i="33"/>
  <c r="BK8" i="33"/>
  <c r="BK9" i="33"/>
  <c r="BK10" i="33"/>
  <c r="BK11" i="33"/>
  <c r="BK12" i="33"/>
  <c r="BK13" i="33"/>
  <c r="BK14" i="33"/>
  <c r="BK15" i="33"/>
  <c r="BK16" i="33"/>
  <c r="BK6" i="34"/>
  <c r="BK7" i="34"/>
  <c r="BK8" i="34"/>
  <c r="BK9" i="34"/>
  <c r="BK10" i="34"/>
  <c r="BK11" i="34"/>
  <c r="BK12" i="34"/>
  <c r="BK13" i="34"/>
  <c r="BK14" i="34"/>
  <c r="BK15" i="34"/>
  <c r="BK16" i="34"/>
  <c r="BK6" i="38"/>
  <c r="BK7" i="38"/>
  <c r="BK8" i="38"/>
  <c r="BK9" i="38"/>
  <c r="BK10" i="38"/>
  <c r="BK11" i="38"/>
  <c r="BK12" i="38"/>
  <c r="BK13" i="38"/>
  <c r="BK14" i="38"/>
  <c r="BK15" i="38"/>
  <c r="BK16" i="38"/>
  <c r="BK6" i="40"/>
  <c r="BK7" i="40"/>
  <c r="BK8" i="40"/>
  <c r="BK9" i="40"/>
  <c r="BK10" i="40"/>
  <c r="BK11" i="40"/>
  <c r="BK12" i="40"/>
  <c r="BK13" i="40"/>
  <c r="BK14" i="40"/>
  <c r="BK15" i="40"/>
  <c r="BK16" i="40"/>
  <c r="BK6" i="39"/>
  <c r="BK7" i="39"/>
  <c r="BK8" i="39"/>
  <c r="BK9" i="39"/>
  <c r="BK10" i="39"/>
  <c r="BK11" i="39"/>
  <c r="BK12" i="39"/>
  <c r="BK13" i="39"/>
  <c r="BK14" i="39"/>
  <c r="BK15" i="39"/>
  <c r="BK16" i="39"/>
  <c r="BK6" i="41"/>
  <c r="BK7" i="41"/>
  <c r="BK8" i="41"/>
  <c r="BK9" i="41"/>
  <c r="BK10" i="41"/>
  <c r="BK11" i="41"/>
  <c r="BK12" i="41"/>
  <c r="BK13" i="41"/>
  <c r="BK14" i="41"/>
  <c r="BK15" i="41"/>
  <c r="BK16" i="41"/>
  <c r="BK6" i="44"/>
  <c r="BK7" i="44"/>
  <c r="BK8" i="44"/>
  <c r="BK9" i="44"/>
  <c r="BK10" i="44"/>
  <c r="BK11" i="44"/>
  <c r="BK12" i="44"/>
  <c r="BK13" i="44"/>
  <c r="BK14" i="44"/>
  <c r="BK15" i="44"/>
  <c r="BK16" i="44"/>
  <c r="BK6" i="42"/>
  <c r="BK7" i="42"/>
  <c r="BK8" i="42"/>
  <c r="BK9" i="42"/>
  <c r="BK10" i="42"/>
  <c r="BK11" i="42"/>
  <c r="BK12" i="42"/>
  <c r="BK13" i="42"/>
  <c r="BK14" i="42"/>
  <c r="BK15" i="42"/>
  <c r="BK16" i="42"/>
  <c r="BK6" i="43"/>
  <c r="BK7" i="43"/>
  <c r="BK8" i="43"/>
  <c r="BK9" i="43"/>
  <c r="BK10" i="43"/>
  <c r="BK11" i="43"/>
  <c r="BK12" i="43"/>
  <c r="BK13" i="43"/>
  <c r="BK14" i="43"/>
  <c r="BK15" i="43"/>
  <c r="BK16" i="43"/>
  <c r="BK6" i="49"/>
  <c r="BK7" i="49"/>
  <c r="BK8" i="49"/>
  <c r="BK9" i="49"/>
  <c r="BK10" i="49"/>
  <c r="BK11" i="49"/>
  <c r="BK12" i="49"/>
  <c r="BK13" i="49"/>
  <c r="BK14" i="49"/>
  <c r="BK15" i="49"/>
  <c r="BK16" i="49"/>
  <c r="BK6" i="50"/>
  <c r="BK7" i="50"/>
  <c r="BK8" i="50"/>
  <c r="BK9" i="50"/>
  <c r="BK10" i="50"/>
  <c r="BK11" i="50"/>
  <c r="BK12" i="50"/>
  <c r="BK13" i="50"/>
  <c r="BK14" i="50"/>
  <c r="BK15" i="50"/>
  <c r="BK16" i="50"/>
  <c r="BK6" i="67"/>
  <c r="BK7" i="67"/>
  <c r="BK8" i="67"/>
  <c r="BK9" i="67"/>
  <c r="BK10" i="67"/>
  <c r="BK11" i="67"/>
  <c r="BK12" i="67"/>
  <c r="BK13" i="67"/>
  <c r="BK14" i="67"/>
  <c r="BK15" i="67"/>
  <c r="BK16" i="67"/>
  <c r="BK6" i="51"/>
  <c r="BK7" i="51"/>
  <c r="BK8" i="51"/>
  <c r="BK9" i="51"/>
  <c r="BK10" i="51"/>
  <c r="BK11" i="51"/>
  <c r="BK12" i="51"/>
  <c r="BK13" i="51"/>
  <c r="BK14" i="51"/>
  <c r="BK15" i="51"/>
  <c r="BK16" i="51"/>
  <c r="BK6" i="52"/>
  <c r="BK7" i="52"/>
  <c r="BK8" i="52"/>
  <c r="BK9" i="52"/>
  <c r="BK10" i="52"/>
  <c r="BK11" i="52"/>
  <c r="BK12" i="52"/>
  <c r="BK13" i="52"/>
  <c r="BK14" i="52"/>
  <c r="BK15" i="52"/>
  <c r="BK16" i="52"/>
  <c r="BK6" i="53"/>
  <c r="BK7" i="53"/>
  <c r="BK8" i="53"/>
  <c r="BK9" i="53"/>
  <c r="BK10" i="53"/>
  <c r="BK11" i="53"/>
  <c r="BK12" i="53"/>
  <c r="BK13" i="53"/>
  <c r="BK14" i="53"/>
  <c r="BK15" i="53"/>
  <c r="BK16" i="53"/>
  <c r="BK6" i="54"/>
  <c r="BK7" i="54"/>
  <c r="BK8" i="54"/>
  <c r="BK9" i="54"/>
  <c r="BK10" i="54"/>
  <c r="BK11" i="54"/>
  <c r="BK12" i="54"/>
  <c r="BK13" i="54"/>
  <c r="BK14" i="54"/>
  <c r="BK15" i="54"/>
  <c r="BK16" i="54"/>
  <c r="BK6" i="55"/>
  <c r="BK7" i="55"/>
  <c r="BK8" i="55"/>
  <c r="BK9" i="55"/>
  <c r="BK10" i="55"/>
  <c r="BK11" i="55"/>
  <c r="BK12" i="55"/>
  <c r="BK13" i="55"/>
  <c r="BK14" i="55"/>
  <c r="BK15" i="55"/>
  <c r="BK16" i="55"/>
  <c r="BL6" i="47"/>
  <c r="BL7" i="47"/>
  <c r="BL8" i="47"/>
  <c r="BL9" i="47"/>
  <c r="BL10" i="47"/>
  <c r="BL11" i="47"/>
  <c r="BL12" i="47"/>
  <c r="BL13" i="47"/>
  <c r="BL14" i="47"/>
  <c r="BL15" i="47"/>
  <c r="BL16" i="47"/>
  <c r="BK6" i="45"/>
  <c r="BK7" i="45"/>
  <c r="BK8" i="45"/>
  <c r="BK9" i="45"/>
  <c r="BK10" i="45"/>
  <c r="BK11" i="45"/>
  <c r="BK12" i="45"/>
  <c r="BK13" i="45"/>
  <c r="BK14" i="45"/>
  <c r="BK15" i="45"/>
  <c r="BK16" i="45"/>
  <c r="BK6" i="48"/>
  <c r="BK7" i="48"/>
  <c r="BK8" i="48"/>
  <c r="BK9" i="48"/>
  <c r="BK10" i="48"/>
  <c r="BK11" i="48"/>
  <c r="BK12" i="48"/>
  <c r="BK13" i="48"/>
  <c r="BK14" i="48"/>
  <c r="BK15" i="48"/>
  <c r="BK16" i="48"/>
  <c r="BK6" i="46"/>
  <c r="BK7" i="46"/>
  <c r="BK8" i="46"/>
  <c r="BK9" i="46"/>
  <c r="BK10" i="46"/>
  <c r="BK11" i="46"/>
  <c r="BK12" i="46"/>
  <c r="BK13" i="46"/>
  <c r="BK14" i="46"/>
  <c r="BK15" i="46"/>
  <c r="BK16" i="46"/>
  <c r="BK6" i="56"/>
  <c r="BK7" i="56"/>
  <c r="BK8" i="56"/>
  <c r="BK9" i="56"/>
  <c r="BK10" i="56"/>
  <c r="BK11" i="56"/>
  <c r="BK12" i="56"/>
  <c r="BK13" i="56"/>
  <c r="BK14" i="56"/>
  <c r="BK15" i="56"/>
  <c r="BK16" i="56"/>
  <c r="BK6" i="58"/>
  <c r="BK7" i="58"/>
  <c r="BK8" i="58"/>
  <c r="BK9" i="58"/>
  <c r="BK10" i="58"/>
  <c r="BK11" i="58"/>
  <c r="BK12" i="58"/>
  <c r="BK13" i="58"/>
  <c r="BK14" i="58"/>
  <c r="BK15" i="58"/>
  <c r="BK16" i="58"/>
  <c r="BK6" i="59"/>
  <c r="BK7" i="59"/>
  <c r="BK8" i="59"/>
  <c r="BK9" i="59"/>
  <c r="BK10" i="59"/>
  <c r="BK11" i="59"/>
  <c r="BK12" i="59"/>
  <c r="BK13" i="59"/>
  <c r="BK14" i="59"/>
  <c r="BK15" i="59"/>
  <c r="BK16" i="59"/>
  <c r="BK6" i="60"/>
  <c r="BK7" i="60"/>
  <c r="BK8" i="60"/>
  <c r="BK9" i="60"/>
  <c r="BK10" i="60"/>
  <c r="BK11" i="60"/>
  <c r="BK12" i="60"/>
  <c r="BK13" i="60"/>
  <c r="BK14" i="60"/>
  <c r="BK15" i="60"/>
  <c r="BK16" i="60"/>
  <c r="BK6" i="61"/>
  <c r="BK7" i="61"/>
  <c r="BK8" i="61"/>
  <c r="BK9" i="61"/>
  <c r="BK10" i="61"/>
  <c r="BK11" i="61"/>
  <c r="BK12" i="61"/>
  <c r="BK13" i="61"/>
  <c r="BK14" i="61"/>
  <c r="BK15" i="61"/>
  <c r="BK16" i="61"/>
  <c r="BK6" i="31"/>
  <c r="BK7" i="31"/>
  <c r="BK8" i="31"/>
  <c r="BK9" i="31"/>
  <c r="BK10" i="31"/>
  <c r="BK11" i="31"/>
  <c r="BK12" i="31"/>
  <c r="BK13" i="31"/>
  <c r="BK14" i="31"/>
  <c r="BK15" i="31"/>
  <c r="BK16" i="31"/>
  <c r="BJ6" i="36"/>
  <c r="BJ7" i="36"/>
  <c r="BJ8" i="36"/>
  <c r="BJ9" i="36"/>
  <c r="BJ10" i="36"/>
  <c r="BJ11" i="36"/>
  <c r="BJ12" i="36"/>
  <c r="BJ13" i="36"/>
  <c r="BJ14" i="36"/>
  <c r="BJ15" i="36"/>
  <c r="BJ16" i="36"/>
  <c r="BJ6" i="35"/>
  <c r="BJ7" i="35"/>
  <c r="BJ8" i="35"/>
  <c r="BJ9" i="35"/>
  <c r="BJ10" i="35"/>
  <c r="BJ11" i="35"/>
  <c r="BJ12" i="35"/>
  <c r="BJ13" i="35"/>
  <c r="BJ14" i="35"/>
  <c r="BJ15" i="35"/>
  <c r="BJ16" i="35"/>
  <c r="BJ6" i="33"/>
  <c r="BJ7" i="33"/>
  <c r="BJ8" i="33"/>
  <c r="BJ9" i="33"/>
  <c r="BJ10" i="33"/>
  <c r="BJ11" i="33"/>
  <c r="BJ12" i="33"/>
  <c r="BJ13" i="33"/>
  <c r="BJ14" i="33"/>
  <c r="BJ15" i="33"/>
  <c r="BJ16" i="33"/>
  <c r="BJ6" i="34"/>
  <c r="BJ7" i="34"/>
  <c r="BJ8" i="34"/>
  <c r="BJ9" i="34"/>
  <c r="BJ10" i="34"/>
  <c r="BJ11" i="34"/>
  <c r="BJ12" i="34"/>
  <c r="BJ13" i="34"/>
  <c r="BJ14" i="34"/>
  <c r="BJ15" i="34"/>
  <c r="BJ16" i="34"/>
  <c r="BJ6" i="38"/>
  <c r="BJ7" i="38"/>
  <c r="BJ8" i="38"/>
  <c r="BJ9" i="38"/>
  <c r="BJ10" i="38"/>
  <c r="BJ11" i="38"/>
  <c r="BJ12" i="38"/>
  <c r="BJ13" i="38"/>
  <c r="BJ14" i="38"/>
  <c r="BJ15" i="38"/>
  <c r="BJ16" i="38"/>
  <c r="BJ6" i="40"/>
  <c r="BJ7" i="40"/>
  <c r="BJ8" i="40"/>
  <c r="BJ9" i="40"/>
  <c r="BJ10" i="40"/>
  <c r="BJ11" i="40"/>
  <c r="BJ12" i="40"/>
  <c r="BJ13" i="40"/>
  <c r="BJ14" i="40"/>
  <c r="BJ15" i="40"/>
  <c r="BJ16" i="40"/>
  <c r="BJ6" i="39"/>
  <c r="BJ7" i="39"/>
  <c r="BJ8" i="39"/>
  <c r="BJ9" i="39"/>
  <c r="BJ10" i="39"/>
  <c r="BJ11" i="39"/>
  <c r="BJ12" i="39"/>
  <c r="BJ13" i="39"/>
  <c r="BJ14" i="39"/>
  <c r="BJ15" i="39"/>
  <c r="BJ16" i="39"/>
  <c r="BJ6" i="41"/>
  <c r="BJ7" i="41"/>
  <c r="BJ8" i="41"/>
  <c r="BJ9" i="41"/>
  <c r="BJ10" i="41"/>
  <c r="BJ11" i="41"/>
  <c r="BJ12" i="41"/>
  <c r="BJ13" i="41"/>
  <c r="BJ14" i="41"/>
  <c r="BJ15" i="41"/>
  <c r="BJ16" i="41"/>
  <c r="BJ6" i="44"/>
  <c r="BJ7" i="44"/>
  <c r="BJ8" i="44"/>
  <c r="BJ9" i="44"/>
  <c r="BJ10" i="44"/>
  <c r="BJ11" i="44"/>
  <c r="BJ12" i="44"/>
  <c r="BJ13" i="44"/>
  <c r="BJ14" i="44"/>
  <c r="BJ15" i="44"/>
  <c r="BJ16" i="44"/>
  <c r="BJ6" i="42"/>
  <c r="BJ7" i="42"/>
  <c r="BJ8" i="42"/>
  <c r="BJ9" i="42"/>
  <c r="BJ10" i="42"/>
  <c r="BJ11" i="42"/>
  <c r="BJ12" i="42"/>
  <c r="BJ13" i="42"/>
  <c r="BJ14" i="42"/>
  <c r="BJ15" i="42"/>
  <c r="BJ16" i="42"/>
  <c r="BJ6" i="43"/>
  <c r="BJ7" i="43"/>
  <c r="BJ8" i="43"/>
  <c r="BJ9" i="43"/>
  <c r="BJ10" i="43"/>
  <c r="BJ11" i="43"/>
  <c r="BJ12" i="43"/>
  <c r="BJ13" i="43"/>
  <c r="BJ14" i="43"/>
  <c r="BJ15" i="43"/>
  <c r="BJ16" i="43"/>
  <c r="BJ6" i="49"/>
  <c r="BJ7" i="49"/>
  <c r="BJ8" i="49"/>
  <c r="BJ9" i="49"/>
  <c r="BJ10" i="49"/>
  <c r="BJ11" i="49"/>
  <c r="BJ12" i="49"/>
  <c r="BJ13" i="49"/>
  <c r="BJ14" i="49"/>
  <c r="BJ15" i="49"/>
  <c r="BJ16" i="49"/>
  <c r="BJ6" i="50"/>
  <c r="BJ7" i="50"/>
  <c r="BJ8" i="50"/>
  <c r="BJ9" i="50"/>
  <c r="BJ10" i="50"/>
  <c r="BJ11" i="50"/>
  <c r="BJ12" i="50"/>
  <c r="BJ13" i="50"/>
  <c r="BJ14" i="50"/>
  <c r="BJ15" i="50"/>
  <c r="BJ16" i="50"/>
  <c r="BJ6" i="67"/>
  <c r="BJ7" i="67"/>
  <c r="BJ8" i="67"/>
  <c r="BJ9" i="67"/>
  <c r="BJ10" i="67"/>
  <c r="BJ11" i="67"/>
  <c r="BJ12" i="67"/>
  <c r="BJ13" i="67"/>
  <c r="BJ14" i="67"/>
  <c r="BJ15" i="67"/>
  <c r="BJ16" i="67"/>
  <c r="BJ6" i="51"/>
  <c r="BJ7" i="51"/>
  <c r="BJ8" i="51"/>
  <c r="BJ9" i="51"/>
  <c r="BJ10" i="51"/>
  <c r="BJ11" i="51"/>
  <c r="BJ12" i="51"/>
  <c r="BJ13" i="51"/>
  <c r="BJ14" i="51"/>
  <c r="BJ15" i="51"/>
  <c r="BJ16" i="51"/>
  <c r="BJ6" i="52"/>
  <c r="BJ7" i="52"/>
  <c r="BJ8" i="52"/>
  <c r="BJ9" i="52"/>
  <c r="BJ10" i="52"/>
  <c r="BJ11" i="52"/>
  <c r="BJ12" i="52"/>
  <c r="BJ13" i="52"/>
  <c r="BJ14" i="52"/>
  <c r="BJ15" i="52"/>
  <c r="BJ16" i="52"/>
  <c r="BJ6" i="53"/>
  <c r="BJ7" i="53"/>
  <c r="BJ8" i="53"/>
  <c r="BJ9" i="53"/>
  <c r="BJ10" i="53"/>
  <c r="BJ11" i="53"/>
  <c r="BJ12" i="53"/>
  <c r="BJ13" i="53"/>
  <c r="BJ14" i="53"/>
  <c r="BJ15" i="53"/>
  <c r="BJ16" i="53"/>
  <c r="BJ6" i="54"/>
  <c r="BJ7" i="54"/>
  <c r="BJ8" i="54"/>
  <c r="BJ9" i="54"/>
  <c r="BJ10" i="54"/>
  <c r="BJ11" i="54"/>
  <c r="BJ12" i="54"/>
  <c r="BJ13" i="54"/>
  <c r="BJ14" i="54"/>
  <c r="BJ15" i="54"/>
  <c r="BJ16" i="54"/>
  <c r="BJ6" i="55"/>
  <c r="BJ7" i="55"/>
  <c r="BJ8" i="55"/>
  <c r="BJ9" i="55"/>
  <c r="BJ10" i="55"/>
  <c r="BJ11" i="55"/>
  <c r="BJ12" i="55"/>
  <c r="BJ13" i="55"/>
  <c r="BJ14" i="55"/>
  <c r="BJ15" i="55"/>
  <c r="BJ16" i="55"/>
  <c r="BK6" i="47"/>
  <c r="BK7" i="47"/>
  <c r="BK8" i="47"/>
  <c r="BK9" i="47"/>
  <c r="BK10" i="47"/>
  <c r="BK11" i="47"/>
  <c r="BK12" i="47"/>
  <c r="BK13" i="47"/>
  <c r="BK14" i="47"/>
  <c r="BK15" i="47"/>
  <c r="BK16" i="47"/>
  <c r="BJ6" i="45"/>
  <c r="BJ7" i="45"/>
  <c r="BJ8" i="45"/>
  <c r="BJ9" i="45"/>
  <c r="BJ10" i="45"/>
  <c r="BJ11" i="45"/>
  <c r="BJ12" i="45"/>
  <c r="BJ13" i="45"/>
  <c r="BJ14" i="45"/>
  <c r="BJ15" i="45"/>
  <c r="BJ16" i="45"/>
  <c r="BJ6" i="48"/>
  <c r="BJ7" i="48"/>
  <c r="BJ8" i="48"/>
  <c r="BJ9" i="48"/>
  <c r="BJ10" i="48"/>
  <c r="BJ11" i="48"/>
  <c r="BJ12" i="48"/>
  <c r="BJ13" i="48"/>
  <c r="BJ14" i="48"/>
  <c r="BJ15" i="48"/>
  <c r="BJ16" i="48"/>
  <c r="BJ6" i="46"/>
  <c r="BJ7" i="46"/>
  <c r="BJ8" i="46"/>
  <c r="BJ9" i="46"/>
  <c r="BJ10" i="46"/>
  <c r="BJ11" i="46"/>
  <c r="BJ12" i="46"/>
  <c r="BJ13" i="46"/>
  <c r="BJ14" i="46"/>
  <c r="BJ15" i="46"/>
  <c r="BJ16" i="46"/>
  <c r="BJ6" i="56"/>
  <c r="BJ7" i="56"/>
  <c r="BJ8" i="56"/>
  <c r="BJ9" i="56"/>
  <c r="BJ10" i="56"/>
  <c r="BJ11" i="56"/>
  <c r="BJ12" i="56"/>
  <c r="BJ13" i="56"/>
  <c r="BJ14" i="56"/>
  <c r="BJ15" i="56"/>
  <c r="BJ16" i="56"/>
  <c r="BJ6" i="58"/>
  <c r="BJ7" i="58"/>
  <c r="BJ8" i="58"/>
  <c r="BJ9" i="58"/>
  <c r="BJ10" i="58"/>
  <c r="BJ11" i="58"/>
  <c r="BJ12" i="58"/>
  <c r="BJ13" i="58"/>
  <c r="BJ14" i="58"/>
  <c r="BJ15" i="58"/>
  <c r="BJ16" i="58"/>
  <c r="BJ6" i="59"/>
  <c r="BJ7" i="59"/>
  <c r="BJ8" i="59"/>
  <c r="BJ9" i="59"/>
  <c r="BJ10" i="59"/>
  <c r="BJ11" i="59"/>
  <c r="BJ12" i="59"/>
  <c r="BJ13" i="59"/>
  <c r="BJ14" i="59"/>
  <c r="BJ15" i="59"/>
  <c r="BJ16" i="59"/>
  <c r="BJ6" i="60"/>
  <c r="BJ7" i="60"/>
  <c r="BJ8" i="60"/>
  <c r="BJ9" i="60"/>
  <c r="BJ10" i="60"/>
  <c r="BJ11" i="60"/>
  <c r="BJ12" i="60"/>
  <c r="BJ13" i="60"/>
  <c r="BJ14" i="60"/>
  <c r="BJ15" i="60"/>
  <c r="BJ16" i="60"/>
  <c r="BJ6" i="61"/>
  <c r="BJ7" i="61"/>
  <c r="BJ8" i="61"/>
  <c r="BJ9" i="61"/>
  <c r="BJ10" i="61"/>
  <c r="BJ11" i="61"/>
  <c r="BJ12" i="61"/>
  <c r="BJ13" i="61"/>
  <c r="BJ14" i="61"/>
  <c r="BJ15" i="61"/>
  <c r="BJ16" i="61"/>
  <c r="BJ6" i="31"/>
  <c r="BJ7" i="31"/>
  <c r="BJ8" i="31"/>
  <c r="BJ9" i="31"/>
  <c r="BJ10" i="31"/>
  <c r="BJ11" i="31"/>
  <c r="BJ12" i="31"/>
  <c r="BJ13" i="31"/>
  <c r="BJ14" i="31"/>
  <c r="BJ15" i="31"/>
  <c r="BJ16" i="31"/>
  <c r="BL5" i="36"/>
  <c r="BL5" i="35"/>
  <c r="BL5" i="33"/>
  <c r="BL5" i="34"/>
  <c r="BL5" i="38"/>
  <c r="BL5" i="40"/>
  <c r="BL5" i="39"/>
  <c r="BL5" i="41"/>
  <c r="BL5" i="44"/>
  <c r="BL5" i="42"/>
  <c r="BL5" i="43"/>
  <c r="BL5" i="49"/>
  <c r="BL5" i="50"/>
  <c r="BL5" i="67"/>
  <c r="BL5" i="51"/>
  <c r="BL5" i="52"/>
  <c r="BL5" i="53"/>
  <c r="BL5" i="54"/>
  <c r="BL5" i="55"/>
  <c r="BM5" i="47"/>
  <c r="BL5" i="45"/>
  <c r="BL5" i="48"/>
  <c r="BL5" i="46"/>
  <c r="BL5" i="56"/>
  <c r="BL5" i="58"/>
  <c r="BL5" i="59"/>
  <c r="BL5" i="60"/>
  <c r="BL5" i="61"/>
  <c r="BL5" i="31"/>
  <c r="CG16" i="36"/>
  <c r="CH16" i="36"/>
  <c r="CI16" i="36"/>
  <c r="CJ16" i="36"/>
  <c r="CK16" i="36"/>
  <c r="CL16" i="36"/>
  <c r="CM16" i="36"/>
  <c r="CN16" i="36"/>
  <c r="CO16" i="36"/>
  <c r="CP16" i="36"/>
  <c r="CQ16" i="36"/>
  <c r="CR16" i="36"/>
  <c r="CS16" i="36"/>
  <c r="CT16" i="36"/>
  <c r="CU16" i="36"/>
  <c r="CV16" i="36"/>
  <c r="CW16" i="36"/>
  <c r="CX16" i="36"/>
  <c r="CY16" i="36"/>
  <c r="CZ16" i="36"/>
  <c r="DA16" i="36"/>
  <c r="DB16" i="36"/>
  <c r="DC16" i="36"/>
  <c r="DD16" i="36"/>
  <c r="CG16" i="35"/>
  <c r="CH16" i="35"/>
  <c r="CI16" i="35"/>
  <c r="CJ16" i="35"/>
  <c r="CK16" i="35"/>
  <c r="CL16" i="35"/>
  <c r="CM16" i="35"/>
  <c r="CN16" i="35"/>
  <c r="CO16" i="35"/>
  <c r="CP16" i="35"/>
  <c r="CQ16" i="35"/>
  <c r="CR16" i="35"/>
  <c r="CS16" i="35"/>
  <c r="CT16" i="35"/>
  <c r="CU16" i="35"/>
  <c r="CV16" i="35"/>
  <c r="CW16" i="35"/>
  <c r="CX16" i="35"/>
  <c r="CY16" i="35"/>
  <c r="CZ16" i="35"/>
  <c r="DA16" i="35"/>
  <c r="DB16" i="35"/>
  <c r="DC16" i="35"/>
  <c r="DD16" i="35"/>
  <c r="CG16" i="33"/>
  <c r="CH16" i="33"/>
  <c r="CI16" i="33"/>
  <c r="CJ16" i="33"/>
  <c r="CK16" i="33"/>
  <c r="CL16" i="33"/>
  <c r="CM16" i="33"/>
  <c r="CN16" i="33"/>
  <c r="CO16" i="33"/>
  <c r="CP16" i="33"/>
  <c r="CQ16" i="33"/>
  <c r="CR16" i="33"/>
  <c r="CS16" i="33"/>
  <c r="CT16" i="33"/>
  <c r="CU16" i="33"/>
  <c r="CV16" i="33"/>
  <c r="CW16" i="33"/>
  <c r="CX16" i="33"/>
  <c r="CY16" i="33"/>
  <c r="CZ16" i="33"/>
  <c r="DA16" i="33"/>
  <c r="DB16" i="33"/>
  <c r="DC16" i="33"/>
  <c r="DD16" i="33"/>
  <c r="CG16" i="34"/>
  <c r="CH16" i="34"/>
  <c r="CI16" i="34"/>
  <c r="CJ16" i="34"/>
  <c r="CK16" i="34"/>
  <c r="CL16" i="34"/>
  <c r="CM16" i="34"/>
  <c r="CN16" i="34"/>
  <c r="CO16" i="34"/>
  <c r="CP16" i="34"/>
  <c r="CQ16" i="34"/>
  <c r="CR16" i="34"/>
  <c r="CS16" i="34"/>
  <c r="CT16" i="34"/>
  <c r="CU16" i="34"/>
  <c r="CV16" i="34"/>
  <c r="CW16" i="34"/>
  <c r="CX16" i="34"/>
  <c r="CY16" i="34"/>
  <c r="CZ16" i="34"/>
  <c r="DA16" i="34"/>
  <c r="DB16" i="34"/>
  <c r="DC16" i="34"/>
  <c r="DD16" i="34"/>
  <c r="CG16" i="38"/>
  <c r="CH16" i="38"/>
  <c r="CI16" i="38"/>
  <c r="CJ16" i="38"/>
  <c r="CK16" i="38"/>
  <c r="CL16" i="38"/>
  <c r="CM16" i="38"/>
  <c r="CN16" i="38"/>
  <c r="CO16" i="38"/>
  <c r="CP16" i="38"/>
  <c r="CQ16" i="38"/>
  <c r="CR16" i="38"/>
  <c r="CS16" i="38"/>
  <c r="CT16" i="38"/>
  <c r="CU16" i="38"/>
  <c r="CV16" i="38"/>
  <c r="CW16" i="38"/>
  <c r="CX16" i="38"/>
  <c r="CY16" i="38"/>
  <c r="CZ16" i="38"/>
  <c r="DA16" i="38"/>
  <c r="DB16" i="38"/>
  <c r="DC16" i="38"/>
  <c r="DD16" i="38"/>
  <c r="CG16" i="40"/>
  <c r="CH16" i="40"/>
  <c r="CI16" i="40"/>
  <c r="CJ16" i="40"/>
  <c r="CK16" i="40"/>
  <c r="CL16" i="40"/>
  <c r="CM16" i="40"/>
  <c r="CN16" i="40"/>
  <c r="CO16" i="40"/>
  <c r="CP16" i="40"/>
  <c r="CQ16" i="40"/>
  <c r="CR16" i="40"/>
  <c r="CS16" i="40"/>
  <c r="CT16" i="40"/>
  <c r="CU16" i="40"/>
  <c r="CV16" i="40"/>
  <c r="CW16" i="40"/>
  <c r="CX16" i="40"/>
  <c r="CY16" i="40"/>
  <c r="CZ16" i="40"/>
  <c r="DA16" i="40"/>
  <c r="DB16" i="40"/>
  <c r="DC16" i="40"/>
  <c r="DD16" i="40"/>
  <c r="CG16" i="39"/>
  <c r="CH16" i="39"/>
  <c r="CI16" i="39"/>
  <c r="CJ16" i="39"/>
  <c r="CK16" i="39"/>
  <c r="CL16" i="39"/>
  <c r="CM16" i="39"/>
  <c r="CN16" i="39"/>
  <c r="CO16" i="39"/>
  <c r="CP16" i="39"/>
  <c r="CQ16" i="39"/>
  <c r="CR16" i="39"/>
  <c r="CS16" i="39"/>
  <c r="CT16" i="39"/>
  <c r="CU16" i="39"/>
  <c r="CV16" i="39"/>
  <c r="CW16" i="39"/>
  <c r="CX16" i="39"/>
  <c r="CY16" i="39"/>
  <c r="CZ16" i="39"/>
  <c r="DA16" i="39"/>
  <c r="DB16" i="39"/>
  <c r="DC16" i="39"/>
  <c r="DD16" i="39"/>
  <c r="CG16" i="41"/>
  <c r="CH16" i="41"/>
  <c r="CI16" i="41"/>
  <c r="CJ16" i="41"/>
  <c r="CK16" i="41"/>
  <c r="CL16" i="41"/>
  <c r="CM16" i="41"/>
  <c r="CN16" i="41"/>
  <c r="CO16" i="41"/>
  <c r="CP16" i="41"/>
  <c r="CQ16" i="41"/>
  <c r="CR16" i="41"/>
  <c r="CS16" i="41"/>
  <c r="CT16" i="41"/>
  <c r="CU16" i="41"/>
  <c r="CV16" i="41"/>
  <c r="CW16" i="41"/>
  <c r="CX16" i="41"/>
  <c r="CY16" i="41"/>
  <c r="CZ16" i="41"/>
  <c r="DA16" i="41"/>
  <c r="DB16" i="41"/>
  <c r="DC16" i="41"/>
  <c r="DD16" i="41"/>
  <c r="CG16" i="44"/>
  <c r="CH16" i="44"/>
  <c r="CI16" i="44"/>
  <c r="CJ16" i="44"/>
  <c r="CK16" i="44"/>
  <c r="CL16" i="44"/>
  <c r="CM16" i="44"/>
  <c r="CN16" i="44"/>
  <c r="CO16" i="44"/>
  <c r="CP16" i="44"/>
  <c r="CQ16" i="44"/>
  <c r="CR16" i="44"/>
  <c r="CS16" i="44"/>
  <c r="CT16" i="44"/>
  <c r="CU16" i="44"/>
  <c r="CV16" i="44"/>
  <c r="CW16" i="44"/>
  <c r="CX16" i="44"/>
  <c r="CY16" i="44"/>
  <c r="CZ16" i="44"/>
  <c r="DA16" i="44"/>
  <c r="DB16" i="44"/>
  <c r="DC16" i="44"/>
  <c r="DD16" i="44"/>
  <c r="CG16" i="42"/>
  <c r="CH16" i="42"/>
  <c r="CI16" i="42"/>
  <c r="CJ16" i="42"/>
  <c r="CK16" i="42"/>
  <c r="CL16" i="42"/>
  <c r="CM16" i="42"/>
  <c r="CN16" i="42"/>
  <c r="CO16" i="42"/>
  <c r="CP16" i="42"/>
  <c r="CQ16" i="42"/>
  <c r="CR16" i="42"/>
  <c r="CS16" i="42"/>
  <c r="CT16" i="42"/>
  <c r="CU16" i="42"/>
  <c r="CV16" i="42"/>
  <c r="CW16" i="42"/>
  <c r="CX16" i="42"/>
  <c r="CY16" i="42"/>
  <c r="CZ16" i="42"/>
  <c r="DA16" i="42"/>
  <c r="DB16" i="42"/>
  <c r="DC16" i="42"/>
  <c r="DD16" i="42"/>
  <c r="CG16" i="43"/>
  <c r="CH16" i="43"/>
  <c r="CI16" i="43"/>
  <c r="CJ16" i="43"/>
  <c r="CK16" i="43"/>
  <c r="CL16" i="43"/>
  <c r="CM16" i="43"/>
  <c r="CN16" i="43"/>
  <c r="CO16" i="43"/>
  <c r="CP16" i="43"/>
  <c r="CQ16" i="43"/>
  <c r="CR16" i="43"/>
  <c r="CS16" i="43"/>
  <c r="CT16" i="43"/>
  <c r="CU16" i="43"/>
  <c r="CV16" i="43"/>
  <c r="CW16" i="43"/>
  <c r="CX16" i="43"/>
  <c r="CY16" i="43"/>
  <c r="CZ16" i="43"/>
  <c r="DA16" i="43"/>
  <c r="DB16" i="43"/>
  <c r="DC16" i="43"/>
  <c r="DD16" i="43"/>
  <c r="CG16" i="49"/>
  <c r="CH16" i="49"/>
  <c r="CI16" i="49"/>
  <c r="CJ16" i="49"/>
  <c r="CK16" i="49"/>
  <c r="CL16" i="49"/>
  <c r="CM16" i="49"/>
  <c r="CN16" i="49"/>
  <c r="CO16" i="49"/>
  <c r="CP16" i="49"/>
  <c r="CQ16" i="49"/>
  <c r="CR16" i="49"/>
  <c r="CS16" i="49"/>
  <c r="CT16" i="49"/>
  <c r="CU16" i="49"/>
  <c r="CV16" i="49"/>
  <c r="CW16" i="49"/>
  <c r="CX16" i="49"/>
  <c r="CY16" i="49"/>
  <c r="CZ16" i="49"/>
  <c r="DA16" i="49"/>
  <c r="DB16" i="49"/>
  <c r="DC16" i="49"/>
  <c r="DD16" i="49"/>
  <c r="CG16" i="50"/>
  <c r="CH16" i="50"/>
  <c r="CI16" i="50"/>
  <c r="CJ16" i="50"/>
  <c r="CK16" i="50"/>
  <c r="CL16" i="50"/>
  <c r="CM16" i="50"/>
  <c r="CN16" i="50"/>
  <c r="CO16" i="50"/>
  <c r="CP16" i="50"/>
  <c r="CQ16" i="50"/>
  <c r="CR16" i="50"/>
  <c r="CS16" i="50"/>
  <c r="CT16" i="50"/>
  <c r="CU16" i="50"/>
  <c r="CV16" i="50"/>
  <c r="CW16" i="50"/>
  <c r="CX16" i="50"/>
  <c r="CY16" i="50"/>
  <c r="CZ16" i="50"/>
  <c r="DA16" i="50"/>
  <c r="DB16" i="50"/>
  <c r="DC16" i="50"/>
  <c r="DD16" i="50"/>
  <c r="CG16" i="67"/>
  <c r="CH16" i="67"/>
  <c r="CI16" i="67"/>
  <c r="CJ16" i="67"/>
  <c r="CK16" i="67"/>
  <c r="CL16" i="67"/>
  <c r="CM16" i="67"/>
  <c r="CN16" i="67"/>
  <c r="CO16" i="67"/>
  <c r="CP16" i="67"/>
  <c r="CQ16" i="67"/>
  <c r="CR16" i="67"/>
  <c r="CS16" i="67"/>
  <c r="CT16" i="67"/>
  <c r="CU16" i="67"/>
  <c r="CV16" i="67"/>
  <c r="CW16" i="67"/>
  <c r="CX16" i="67"/>
  <c r="CY16" i="67"/>
  <c r="CZ16" i="67"/>
  <c r="DA16" i="67"/>
  <c r="DB16" i="67"/>
  <c r="DC16" i="67"/>
  <c r="DD16" i="67"/>
  <c r="CG16" i="51"/>
  <c r="CH16" i="51"/>
  <c r="CI16" i="51"/>
  <c r="CJ16" i="51"/>
  <c r="CK16" i="51"/>
  <c r="CL16" i="51"/>
  <c r="CM16" i="51"/>
  <c r="CN16" i="51"/>
  <c r="CO16" i="51"/>
  <c r="CP16" i="51"/>
  <c r="CQ16" i="51"/>
  <c r="CR16" i="51"/>
  <c r="CS16" i="51"/>
  <c r="CT16" i="51"/>
  <c r="CU16" i="51"/>
  <c r="CV16" i="51"/>
  <c r="CW16" i="51"/>
  <c r="CX16" i="51"/>
  <c r="CY16" i="51"/>
  <c r="CZ16" i="51"/>
  <c r="DA16" i="51"/>
  <c r="DB16" i="51"/>
  <c r="DC16" i="51"/>
  <c r="DD16" i="51"/>
  <c r="CG16" i="52"/>
  <c r="CH16" i="52"/>
  <c r="CI16" i="52"/>
  <c r="CJ16" i="52"/>
  <c r="CK16" i="52"/>
  <c r="CL16" i="52"/>
  <c r="CM16" i="52"/>
  <c r="CN16" i="52"/>
  <c r="CO16" i="52"/>
  <c r="CP16" i="52"/>
  <c r="CQ16" i="52"/>
  <c r="CR16" i="52"/>
  <c r="CS16" i="52"/>
  <c r="CT16" i="52"/>
  <c r="CU16" i="52"/>
  <c r="CV16" i="52"/>
  <c r="CW16" i="52"/>
  <c r="CX16" i="52"/>
  <c r="CY16" i="52"/>
  <c r="CZ16" i="52"/>
  <c r="DA16" i="52"/>
  <c r="DB16" i="52"/>
  <c r="DC16" i="52"/>
  <c r="DD16" i="52"/>
  <c r="CG16" i="53"/>
  <c r="CH16" i="53"/>
  <c r="CI16" i="53"/>
  <c r="CJ16" i="53"/>
  <c r="CK16" i="53"/>
  <c r="CL16" i="53"/>
  <c r="CM16" i="53"/>
  <c r="CN16" i="53"/>
  <c r="CO16" i="53"/>
  <c r="CP16" i="53"/>
  <c r="CQ16" i="53"/>
  <c r="CR16" i="53"/>
  <c r="CS16" i="53"/>
  <c r="CT16" i="53"/>
  <c r="CU16" i="53"/>
  <c r="CV16" i="53"/>
  <c r="CW16" i="53"/>
  <c r="CX16" i="53"/>
  <c r="CY16" i="53"/>
  <c r="CZ16" i="53"/>
  <c r="DA16" i="53"/>
  <c r="DB16" i="53"/>
  <c r="DC16" i="53"/>
  <c r="DD16" i="53"/>
  <c r="CG16" i="54"/>
  <c r="CH16" i="54"/>
  <c r="CI16" i="54"/>
  <c r="CJ16" i="54"/>
  <c r="CK16" i="54"/>
  <c r="CL16" i="54"/>
  <c r="CM16" i="54"/>
  <c r="CN16" i="54"/>
  <c r="CO16" i="54"/>
  <c r="CP16" i="54"/>
  <c r="CQ16" i="54"/>
  <c r="CR16" i="54"/>
  <c r="CS16" i="54"/>
  <c r="CT16" i="54"/>
  <c r="CU16" i="54"/>
  <c r="CV16" i="54"/>
  <c r="CW16" i="54"/>
  <c r="CX16" i="54"/>
  <c r="CY16" i="54"/>
  <c r="CZ16" i="54"/>
  <c r="DA16" i="54"/>
  <c r="DB16" i="54"/>
  <c r="DC16" i="54"/>
  <c r="DD16" i="54"/>
  <c r="CG16" i="55"/>
  <c r="CH16" i="55"/>
  <c r="CI16" i="55"/>
  <c r="CJ16" i="55"/>
  <c r="CK16" i="55"/>
  <c r="CL16" i="55"/>
  <c r="CM16" i="55"/>
  <c r="CN16" i="55"/>
  <c r="CO16" i="55"/>
  <c r="CP16" i="55"/>
  <c r="CQ16" i="55"/>
  <c r="CR16" i="55"/>
  <c r="CS16" i="55"/>
  <c r="CT16" i="55"/>
  <c r="CU16" i="55"/>
  <c r="CV16" i="55"/>
  <c r="CW16" i="55"/>
  <c r="CX16" i="55"/>
  <c r="CY16" i="55"/>
  <c r="CZ16" i="55"/>
  <c r="DA16" i="55"/>
  <c r="DB16" i="55"/>
  <c r="DC16" i="55"/>
  <c r="DD16" i="55"/>
  <c r="CI16" i="47"/>
  <c r="CJ16" i="47"/>
  <c r="CK16" i="47"/>
  <c r="CL16" i="47"/>
  <c r="CM16" i="47"/>
  <c r="CN16" i="47"/>
  <c r="CO16" i="47"/>
  <c r="CP16" i="47"/>
  <c r="CQ16" i="47"/>
  <c r="CR16" i="47"/>
  <c r="CS16" i="47"/>
  <c r="CT16" i="47"/>
  <c r="CU16" i="47"/>
  <c r="CV16" i="47"/>
  <c r="CW16" i="47"/>
  <c r="CX16" i="47"/>
  <c r="CY16" i="47"/>
  <c r="CZ16" i="47"/>
  <c r="DA16" i="47"/>
  <c r="DB16" i="47"/>
  <c r="DC16" i="47"/>
  <c r="DD16" i="47"/>
  <c r="DE16" i="47"/>
  <c r="DF16" i="47"/>
  <c r="CG16" i="45"/>
  <c r="CH16" i="45"/>
  <c r="CI16" i="45"/>
  <c r="CJ16" i="45"/>
  <c r="CK16" i="45"/>
  <c r="CL16" i="45"/>
  <c r="CM16" i="45"/>
  <c r="CN16" i="45"/>
  <c r="CO16" i="45"/>
  <c r="CP16" i="45"/>
  <c r="CQ16" i="45"/>
  <c r="CR16" i="45"/>
  <c r="CS16" i="45"/>
  <c r="CT16" i="45"/>
  <c r="CU16" i="45"/>
  <c r="CV16" i="45"/>
  <c r="CW16" i="45"/>
  <c r="CX16" i="45"/>
  <c r="CY16" i="45"/>
  <c r="CZ16" i="45"/>
  <c r="DA16" i="45"/>
  <c r="DB16" i="45"/>
  <c r="DC16" i="45"/>
  <c r="DD16" i="45"/>
  <c r="CG16" i="48"/>
  <c r="CH16" i="48"/>
  <c r="CI16" i="48"/>
  <c r="CJ16" i="48"/>
  <c r="CK16" i="48"/>
  <c r="CL16" i="48"/>
  <c r="CM16" i="48"/>
  <c r="CN16" i="48"/>
  <c r="CO16" i="48"/>
  <c r="CP16" i="48"/>
  <c r="CQ16" i="48"/>
  <c r="CR16" i="48"/>
  <c r="CS16" i="48"/>
  <c r="CT16" i="48"/>
  <c r="CU16" i="48"/>
  <c r="CV16" i="48"/>
  <c r="CW16" i="48"/>
  <c r="CX16" i="48"/>
  <c r="CY16" i="48"/>
  <c r="CZ16" i="48"/>
  <c r="DA16" i="48"/>
  <c r="DB16" i="48"/>
  <c r="DC16" i="48"/>
  <c r="DD16" i="48"/>
  <c r="CG16" i="46"/>
  <c r="CH16" i="46"/>
  <c r="CI16" i="46"/>
  <c r="CJ16" i="46"/>
  <c r="CK16" i="46"/>
  <c r="CL16" i="46"/>
  <c r="CM16" i="46"/>
  <c r="CN16" i="46"/>
  <c r="CO16" i="46"/>
  <c r="CP16" i="46"/>
  <c r="CQ16" i="46"/>
  <c r="CR16" i="46"/>
  <c r="CS16" i="46"/>
  <c r="CT16" i="46"/>
  <c r="CU16" i="46"/>
  <c r="CV16" i="46"/>
  <c r="CW16" i="46"/>
  <c r="CX16" i="46"/>
  <c r="CY16" i="46"/>
  <c r="CZ16" i="46"/>
  <c r="DA16" i="46"/>
  <c r="DB16" i="46"/>
  <c r="DC16" i="46"/>
  <c r="DD16" i="46"/>
  <c r="CG16" i="56"/>
  <c r="CH16" i="56"/>
  <c r="CI16" i="56"/>
  <c r="CJ16" i="56"/>
  <c r="CK16" i="56"/>
  <c r="CL16" i="56"/>
  <c r="CM16" i="56"/>
  <c r="CN16" i="56"/>
  <c r="CO16" i="56"/>
  <c r="CP16" i="56"/>
  <c r="CQ16" i="56"/>
  <c r="CR16" i="56"/>
  <c r="CS16" i="56"/>
  <c r="CT16" i="56"/>
  <c r="CU16" i="56"/>
  <c r="CV16" i="56"/>
  <c r="CW16" i="56"/>
  <c r="CX16" i="56"/>
  <c r="CY16" i="56"/>
  <c r="CZ16" i="56"/>
  <c r="DA16" i="56"/>
  <c r="DB16" i="56"/>
  <c r="DC16" i="56"/>
  <c r="DD16" i="56"/>
  <c r="CG16" i="58"/>
  <c r="CH16" i="58"/>
  <c r="CI16" i="58"/>
  <c r="CJ16" i="58"/>
  <c r="CK16" i="58"/>
  <c r="CL16" i="58"/>
  <c r="CM16" i="58"/>
  <c r="CN16" i="58"/>
  <c r="CO16" i="58"/>
  <c r="CP16" i="58"/>
  <c r="CQ16" i="58"/>
  <c r="CR16" i="58"/>
  <c r="CS16" i="58"/>
  <c r="CT16" i="58"/>
  <c r="CU16" i="58"/>
  <c r="CV16" i="58"/>
  <c r="CW16" i="58"/>
  <c r="CX16" i="58"/>
  <c r="CY16" i="58"/>
  <c r="CZ16" i="58"/>
  <c r="DA16" i="58"/>
  <c r="DB16" i="58"/>
  <c r="DC16" i="58"/>
  <c r="DD16" i="58"/>
  <c r="CH16" i="57"/>
  <c r="CI16" i="57"/>
  <c r="CJ16" i="57"/>
  <c r="CK16" i="57"/>
  <c r="CL16" i="57"/>
  <c r="CM16" i="57"/>
  <c r="CN16" i="57"/>
  <c r="CO16" i="57"/>
  <c r="CP16" i="57"/>
  <c r="CQ16" i="57"/>
  <c r="CR16" i="57"/>
  <c r="CS16" i="57"/>
  <c r="CT16" i="57"/>
  <c r="CU16" i="57"/>
  <c r="CV16" i="57"/>
  <c r="CW16" i="57"/>
  <c r="CX16" i="57"/>
  <c r="CY16" i="57"/>
  <c r="CZ16" i="57"/>
  <c r="DA16" i="57"/>
  <c r="DB16" i="57"/>
  <c r="DC16" i="57"/>
  <c r="DD16" i="57"/>
  <c r="DE16" i="57"/>
  <c r="CG16" i="59"/>
  <c r="CH16" i="59"/>
  <c r="CI16" i="59"/>
  <c r="CJ16" i="59"/>
  <c r="CK16" i="59"/>
  <c r="CL16" i="59"/>
  <c r="CM16" i="59"/>
  <c r="CN16" i="59"/>
  <c r="CO16" i="59"/>
  <c r="CP16" i="59"/>
  <c r="CQ16" i="59"/>
  <c r="CR16" i="59"/>
  <c r="CS16" i="59"/>
  <c r="CT16" i="59"/>
  <c r="CU16" i="59"/>
  <c r="CV16" i="59"/>
  <c r="CW16" i="59"/>
  <c r="CX16" i="59"/>
  <c r="CY16" i="59"/>
  <c r="CZ16" i="59"/>
  <c r="DA16" i="59"/>
  <c r="DB16" i="59"/>
  <c r="DC16" i="59"/>
  <c r="DD16" i="59"/>
  <c r="CG16" i="60"/>
  <c r="CH16" i="60"/>
  <c r="CI16" i="60"/>
  <c r="CJ16" i="60"/>
  <c r="CK16" i="60"/>
  <c r="CL16" i="60"/>
  <c r="CM16" i="60"/>
  <c r="CN16" i="60"/>
  <c r="CO16" i="60"/>
  <c r="CP16" i="60"/>
  <c r="CQ16" i="60"/>
  <c r="CR16" i="60"/>
  <c r="CS16" i="60"/>
  <c r="CT16" i="60"/>
  <c r="CU16" i="60"/>
  <c r="CV16" i="60"/>
  <c r="CW16" i="60"/>
  <c r="CX16" i="60"/>
  <c r="CY16" i="60"/>
  <c r="CZ16" i="60"/>
  <c r="DA16" i="60"/>
  <c r="DB16" i="60"/>
  <c r="DC16" i="60"/>
  <c r="DD16" i="60"/>
  <c r="CG16" i="61"/>
  <c r="CH16" i="61"/>
  <c r="CI16" i="61"/>
  <c r="CJ16" i="61"/>
  <c r="CK16" i="61"/>
  <c r="CL16" i="61"/>
  <c r="CM16" i="61"/>
  <c r="CN16" i="61"/>
  <c r="CO16" i="61"/>
  <c r="CP16" i="61"/>
  <c r="CQ16" i="61"/>
  <c r="CR16" i="61"/>
  <c r="CS16" i="61"/>
  <c r="CT16" i="61"/>
  <c r="CU16" i="61"/>
  <c r="CV16" i="61"/>
  <c r="CW16" i="61"/>
  <c r="CX16" i="61"/>
  <c r="CY16" i="61"/>
  <c r="CZ16" i="61"/>
  <c r="DA16" i="61"/>
  <c r="DB16" i="61"/>
  <c r="DC16" i="61"/>
  <c r="DD16" i="61"/>
  <c r="CG16" i="31"/>
  <c r="CH16" i="31"/>
  <c r="CI16" i="31"/>
  <c r="CJ16" i="31"/>
  <c r="CK16" i="31"/>
  <c r="CL16" i="31"/>
  <c r="CM16" i="31"/>
  <c r="CN16" i="31"/>
  <c r="CO16" i="31"/>
  <c r="CP16" i="31"/>
  <c r="CQ16" i="31"/>
  <c r="CR16" i="31"/>
  <c r="CS16" i="31"/>
  <c r="CT16" i="31"/>
  <c r="CU16" i="31"/>
  <c r="CV16" i="31"/>
  <c r="CW16" i="31"/>
  <c r="CX16" i="31"/>
  <c r="CY16" i="31"/>
  <c r="CZ16" i="31"/>
  <c r="DA16" i="31"/>
  <c r="DB16" i="31"/>
  <c r="DC16" i="31"/>
  <c r="DD16" i="31"/>
  <c r="CG15" i="36"/>
  <c r="CH15" i="36"/>
  <c r="CI15" i="36"/>
  <c r="CJ15" i="36"/>
  <c r="CK15" i="36"/>
  <c r="CL15" i="36"/>
  <c r="CM15" i="36"/>
  <c r="CN15" i="36"/>
  <c r="CO15" i="36"/>
  <c r="CP15" i="36"/>
  <c r="CQ15" i="36"/>
  <c r="CR15" i="36"/>
  <c r="CS15" i="36"/>
  <c r="CT15" i="36"/>
  <c r="CU15" i="36"/>
  <c r="CV15" i="36"/>
  <c r="CW15" i="36"/>
  <c r="CX15" i="36"/>
  <c r="CY15" i="36"/>
  <c r="CZ15" i="36"/>
  <c r="DA15" i="36"/>
  <c r="DB15" i="36"/>
  <c r="DC15" i="36"/>
  <c r="DD15" i="36"/>
  <c r="CG15" i="35"/>
  <c r="CH15" i="35"/>
  <c r="CI15" i="35"/>
  <c r="CJ15" i="35"/>
  <c r="CK15" i="35"/>
  <c r="CL15" i="35"/>
  <c r="CM15" i="35"/>
  <c r="CN15" i="35"/>
  <c r="CO15" i="35"/>
  <c r="CP15" i="35"/>
  <c r="CQ15" i="35"/>
  <c r="CR15" i="35"/>
  <c r="CS15" i="35"/>
  <c r="CT15" i="35"/>
  <c r="CU15" i="35"/>
  <c r="CV15" i="35"/>
  <c r="CW15" i="35"/>
  <c r="CX15" i="35"/>
  <c r="CY15" i="35"/>
  <c r="CZ15" i="35"/>
  <c r="DA15" i="35"/>
  <c r="DB15" i="35"/>
  <c r="DC15" i="35"/>
  <c r="DD15" i="35"/>
  <c r="CG15" i="33"/>
  <c r="CH15" i="33"/>
  <c r="CI15" i="33"/>
  <c r="CJ15" i="33"/>
  <c r="CK15" i="33"/>
  <c r="CL15" i="33"/>
  <c r="CM15" i="33"/>
  <c r="CN15" i="33"/>
  <c r="CO15" i="33"/>
  <c r="CP15" i="33"/>
  <c r="CQ15" i="33"/>
  <c r="CR15" i="33"/>
  <c r="CS15" i="33"/>
  <c r="CT15" i="33"/>
  <c r="CU15" i="33"/>
  <c r="CV15" i="33"/>
  <c r="CW15" i="33"/>
  <c r="CX15" i="33"/>
  <c r="CY15" i="33"/>
  <c r="CZ15" i="33"/>
  <c r="DA15" i="33"/>
  <c r="DB15" i="33"/>
  <c r="DC15" i="33"/>
  <c r="DD15" i="33"/>
  <c r="CG15" i="34"/>
  <c r="CH15" i="34"/>
  <c r="CI15" i="34"/>
  <c r="CJ15" i="34"/>
  <c r="CK15" i="34"/>
  <c r="CL15" i="34"/>
  <c r="CM15" i="34"/>
  <c r="CN15" i="34"/>
  <c r="CO15" i="34"/>
  <c r="CP15" i="34"/>
  <c r="CQ15" i="34"/>
  <c r="CR15" i="34"/>
  <c r="CS15" i="34"/>
  <c r="CT15" i="34"/>
  <c r="CU15" i="34"/>
  <c r="CV15" i="34"/>
  <c r="CW15" i="34"/>
  <c r="CX15" i="34"/>
  <c r="CY15" i="34"/>
  <c r="CZ15" i="34"/>
  <c r="DA15" i="34"/>
  <c r="DB15" i="34"/>
  <c r="DC15" i="34"/>
  <c r="DD15" i="34"/>
  <c r="CG15" i="38"/>
  <c r="CH15" i="38"/>
  <c r="CI15" i="38"/>
  <c r="CJ15" i="38"/>
  <c r="CK15" i="38"/>
  <c r="CL15" i="38"/>
  <c r="CM15" i="38"/>
  <c r="CN15" i="38"/>
  <c r="CO15" i="38"/>
  <c r="CP15" i="38"/>
  <c r="CQ15" i="38"/>
  <c r="CR15" i="38"/>
  <c r="CS15" i="38"/>
  <c r="CT15" i="38"/>
  <c r="CU15" i="38"/>
  <c r="CV15" i="38"/>
  <c r="CW15" i="38"/>
  <c r="CX15" i="38"/>
  <c r="CY15" i="38"/>
  <c r="CZ15" i="38"/>
  <c r="DA15" i="38"/>
  <c r="DB15" i="38"/>
  <c r="DC15" i="38"/>
  <c r="DD15" i="38"/>
  <c r="CG15" i="40"/>
  <c r="CH15" i="40"/>
  <c r="CI15" i="40"/>
  <c r="CJ15" i="40"/>
  <c r="CK15" i="40"/>
  <c r="CL15" i="40"/>
  <c r="CM15" i="40"/>
  <c r="CN15" i="40"/>
  <c r="CO15" i="40"/>
  <c r="CP15" i="40"/>
  <c r="CQ15" i="40"/>
  <c r="CR15" i="40"/>
  <c r="CS15" i="40"/>
  <c r="CT15" i="40"/>
  <c r="CU15" i="40"/>
  <c r="CV15" i="40"/>
  <c r="CW15" i="40"/>
  <c r="CX15" i="40"/>
  <c r="CY15" i="40"/>
  <c r="CZ15" i="40"/>
  <c r="DA15" i="40"/>
  <c r="DB15" i="40"/>
  <c r="DC15" i="40"/>
  <c r="DD15" i="40"/>
  <c r="CG15" i="39"/>
  <c r="CH15" i="39"/>
  <c r="CI15" i="39"/>
  <c r="CJ15" i="39"/>
  <c r="CK15" i="39"/>
  <c r="CL15" i="39"/>
  <c r="CM15" i="39"/>
  <c r="CN15" i="39"/>
  <c r="CO15" i="39"/>
  <c r="CP15" i="39"/>
  <c r="CQ15" i="39"/>
  <c r="CR15" i="39"/>
  <c r="CS15" i="39"/>
  <c r="CT15" i="39"/>
  <c r="CU15" i="39"/>
  <c r="CV15" i="39"/>
  <c r="CW15" i="39"/>
  <c r="CX15" i="39"/>
  <c r="CY15" i="39"/>
  <c r="CZ15" i="39"/>
  <c r="DA15" i="39"/>
  <c r="DB15" i="39"/>
  <c r="DC15" i="39"/>
  <c r="DD15" i="39"/>
  <c r="CG15" i="41"/>
  <c r="CH15" i="41"/>
  <c r="CI15" i="41"/>
  <c r="CJ15" i="41"/>
  <c r="CK15" i="41"/>
  <c r="CL15" i="41"/>
  <c r="CM15" i="41"/>
  <c r="CN15" i="41"/>
  <c r="CO15" i="41"/>
  <c r="CP15" i="41"/>
  <c r="CQ15" i="41"/>
  <c r="CR15" i="41"/>
  <c r="CS15" i="41"/>
  <c r="CT15" i="41"/>
  <c r="CU15" i="41"/>
  <c r="CV15" i="41"/>
  <c r="CW15" i="41"/>
  <c r="CX15" i="41"/>
  <c r="CY15" i="41"/>
  <c r="CZ15" i="41"/>
  <c r="DA15" i="41"/>
  <c r="DB15" i="41"/>
  <c r="DC15" i="41"/>
  <c r="DD15" i="41"/>
  <c r="CG15" i="44"/>
  <c r="CH15" i="44"/>
  <c r="CI15" i="44"/>
  <c r="CJ15" i="44"/>
  <c r="CK15" i="44"/>
  <c r="CL15" i="44"/>
  <c r="CM15" i="44"/>
  <c r="CN15" i="44"/>
  <c r="CO15" i="44"/>
  <c r="CP15" i="44"/>
  <c r="CQ15" i="44"/>
  <c r="CR15" i="44"/>
  <c r="CS15" i="44"/>
  <c r="CT15" i="44"/>
  <c r="CU15" i="44"/>
  <c r="CV15" i="44"/>
  <c r="CW15" i="44"/>
  <c r="CX15" i="44"/>
  <c r="CY15" i="44"/>
  <c r="CZ15" i="44"/>
  <c r="DA15" i="44"/>
  <c r="DB15" i="44"/>
  <c r="DC15" i="44"/>
  <c r="DD15" i="44"/>
  <c r="CG15" i="42"/>
  <c r="CH15" i="42"/>
  <c r="CI15" i="42"/>
  <c r="CJ15" i="42"/>
  <c r="CK15" i="42"/>
  <c r="CL15" i="42"/>
  <c r="CM15" i="42"/>
  <c r="CN15" i="42"/>
  <c r="CO15" i="42"/>
  <c r="CP15" i="42"/>
  <c r="CQ15" i="42"/>
  <c r="CR15" i="42"/>
  <c r="CS15" i="42"/>
  <c r="CT15" i="42"/>
  <c r="CU15" i="42"/>
  <c r="CV15" i="42"/>
  <c r="CW15" i="42"/>
  <c r="CX15" i="42"/>
  <c r="CY15" i="42"/>
  <c r="CZ15" i="42"/>
  <c r="DA15" i="42"/>
  <c r="DB15" i="42"/>
  <c r="DC15" i="42"/>
  <c r="DD15" i="42"/>
  <c r="CG15" i="43"/>
  <c r="CH15" i="43"/>
  <c r="CI15" i="43"/>
  <c r="CJ15" i="43"/>
  <c r="CK15" i="43"/>
  <c r="CL15" i="43"/>
  <c r="CM15" i="43"/>
  <c r="CN15" i="43"/>
  <c r="CO15" i="43"/>
  <c r="CP15" i="43"/>
  <c r="CQ15" i="43"/>
  <c r="CR15" i="43"/>
  <c r="CS15" i="43"/>
  <c r="CT15" i="43"/>
  <c r="CU15" i="43"/>
  <c r="CV15" i="43"/>
  <c r="CW15" i="43"/>
  <c r="CX15" i="43"/>
  <c r="CY15" i="43"/>
  <c r="CZ15" i="43"/>
  <c r="DA15" i="43"/>
  <c r="DB15" i="43"/>
  <c r="DC15" i="43"/>
  <c r="DD15" i="43"/>
  <c r="CG15" i="49"/>
  <c r="CH15" i="49"/>
  <c r="CI15" i="49"/>
  <c r="CJ15" i="49"/>
  <c r="CK15" i="49"/>
  <c r="CL15" i="49"/>
  <c r="CM15" i="49"/>
  <c r="CN15" i="49"/>
  <c r="CO15" i="49"/>
  <c r="CP15" i="49"/>
  <c r="CQ15" i="49"/>
  <c r="CR15" i="49"/>
  <c r="CS15" i="49"/>
  <c r="CT15" i="49"/>
  <c r="CU15" i="49"/>
  <c r="CV15" i="49"/>
  <c r="CW15" i="49"/>
  <c r="CX15" i="49"/>
  <c r="CY15" i="49"/>
  <c r="CZ15" i="49"/>
  <c r="DA15" i="49"/>
  <c r="DB15" i="49"/>
  <c r="DC15" i="49"/>
  <c r="DD15" i="49"/>
  <c r="CG15" i="50"/>
  <c r="CH15" i="50"/>
  <c r="CI15" i="50"/>
  <c r="CJ15" i="50"/>
  <c r="CK15" i="50"/>
  <c r="CL15" i="50"/>
  <c r="CM15" i="50"/>
  <c r="CN15" i="50"/>
  <c r="CO15" i="50"/>
  <c r="CP15" i="50"/>
  <c r="CQ15" i="50"/>
  <c r="CR15" i="50"/>
  <c r="CS15" i="50"/>
  <c r="CT15" i="50"/>
  <c r="CU15" i="50"/>
  <c r="CV15" i="50"/>
  <c r="CW15" i="50"/>
  <c r="CX15" i="50"/>
  <c r="CY15" i="50"/>
  <c r="CZ15" i="50"/>
  <c r="DA15" i="50"/>
  <c r="DB15" i="50"/>
  <c r="DC15" i="50"/>
  <c r="DD15" i="50"/>
  <c r="CG15" i="67"/>
  <c r="CH15" i="67"/>
  <c r="CI15" i="67"/>
  <c r="CJ15" i="67"/>
  <c r="CK15" i="67"/>
  <c r="CL15" i="67"/>
  <c r="CM15" i="67"/>
  <c r="CN15" i="67"/>
  <c r="CO15" i="67"/>
  <c r="CP15" i="67"/>
  <c r="CQ15" i="67"/>
  <c r="CR15" i="67"/>
  <c r="CS15" i="67"/>
  <c r="CT15" i="67"/>
  <c r="CU15" i="67"/>
  <c r="CV15" i="67"/>
  <c r="CW15" i="67"/>
  <c r="CX15" i="67"/>
  <c r="CY15" i="67"/>
  <c r="CZ15" i="67"/>
  <c r="DA15" i="67"/>
  <c r="DB15" i="67"/>
  <c r="DC15" i="67"/>
  <c r="DD15" i="67"/>
  <c r="CG15" i="51"/>
  <c r="CH15" i="51"/>
  <c r="CI15" i="51"/>
  <c r="CJ15" i="51"/>
  <c r="CK15" i="51"/>
  <c r="CL15" i="51"/>
  <c r="CM15" i="51"/>
  <c r="CN15" i="51"/>
  <c r="CO15" i="51"/>
  <c r="CP15" i="51"/>
  <c r="CQ15" i="51"/>
  <c r="CR15" i="51"/>
  <c r="CS15" i="51"/>
  <c r="CT15" i="51"/>
  <c r="CU15" i="51"/>
  <c r="CV15" i="51"/>
  <c r="CW15" i="51"/>
  <c r="CX15" i="51"/>
  <c r="CY15" i="51"/>
  <c r="CZ15" i="51"/>
  <c r="DA15" i="51"/>
  <c r="DB15" i="51"/>
  <c r="DC15" i="51"/>
  <c r="DD15" i="51"/>
  <c r="CG15" i="52"/>
  <c r="CH15" i="52"/>
  <c r="CI15" i="52"/>
  <c r="CJ15" i="52"/>
  <c r="CK15" i="52"/>
  <c r="CL15" i="52"/>
  <c r="CM15" i="52"/>
  <c r="CN15" i="52"/>
  <c r="CO15" i="52"/>
  <c r="CP15" i="52"/>
  <c r="CQ15" i="52"/>
  <c r="CR15" i="52"/>
  <c r="CS15" i="52"/>
  <c r="CT15" i="52"/>
  <c r="CU15" i="52"/>
  <c r="CV15" i="52"/>
  <c r="CW15" i="52"/>
  <c r="CX15" i="52"/>
  <c r="CY15" i="52"/>
  <c r="CZ15" i="52"/>
  <c r="DA15" i="52"/>
  <c r="DB15" i="52"/>
  <c r="DC15" i="52"/>
  <c r="DD15" i="52"/>
  <c r="CG15" i="53"/>
  <c r="CH15" i="53"/>
  <c r="CI15" i="53"/>
  <c r="CJ15" i="53"/>
  <c r="CK15" i="53"/>
  <c r="CL15" i="53"/>
  <c r="CM15" i="53"/>
  <c r="CN15" i="53"/>
  <c r="CO15" i="53"/>
  <c r="CP15" i="53"/>
  <c r="CQ15" i="53"/>
  <c r="CR15" i="53"/>
  <c r="CS15" i="53"/>
  <c r="CT15" i="53"/>
  <c r="CU15" i="53"/>
  <c r="CV15" i="53"/>
  <c r="CW15" i="53"/>
  <c r="CX15" i="53"/>
  <c r="CY15" i="53"/>
  <c r="CZ15" i="53"/>
  <c r="DA15" i="53"/>
  <c r="DB15" i="53"/>
  <c r="DC15" i="53"/>
  <c r="DD15" i="53"/>
  <c r="CG15" i="54"/>
  <c r="CH15" i="54"/>
  <c r="CI15" i="54"/>
  <c r="CJ15" i="54"/>
  <c r="CK15" i="54"/>
  <c r="CL15" i="54"/>
  <c r="CM15" i="54"/>
  <c r="CN15" i="54"/>
  <c r="CO15" i="54"/>
  <c r="CP15" i="54"/>
  <c r="CQ15" i="54"/>
  <c r="CR15" i="54"/>
  <c r="CS15" i="54"/>
  <c r="CT15" i="54"/>
  <c r="CU15" i="54"/>
  <c r="CV15" i="54"/>
  <c r="CW15" i="54"/>
  <c r="CX15" i="54"/>
  <c r="CY15" i="54"/>
  <c r="CZ15" i="54"/>
  <c r="DA15" i="54"/>
  <c r="DB15" i="54"/>
  <c r="DC15" i="54"/>
  <c r="DD15" i="54"/>
  <c r="CG15" i="55"/>
  <c r="CH15" i="55"/>
  <c r="CI15" i="55"/>
  <c r="CJ15" i="55"/>
  <c r="CK15" i="55"/>
  <c r="CL15" i="55"/>
  <c r="CM15" i="55"/>
  <c r="CN15" i="55"/>
  <c r="CO15" i="55"/>
  <c r="CP15" i="55"/>
  <c r="CQ15" i="55"/>
  <c r="CR15" i="55"/>
  <c r="CS15" i="55"/>
  <c r="CT15" i="55"/>
  <c r="CU15" i="55"/>
  <c r="CV15" i="55"/>
  <c r="CW15" i="55"/>
  <c r="CX15" i="55"/>
  <c r="CY15" i="55"/>
  <c r="CZ15" i="55"/>
  <c r="DA15" i="55"/>
  <c r="DB15" i="55"/>
  <c r="DC15" i="55"/>
  <c r="DD15" i="55"/>
  <c r="CI15" i="47"/>
  <c r="CJ15" i="47"/>
  <c r="CK15" i="47"/>
  <c r="CL15" i="47"/>
  <c r="CM15" i="47"/>
  <c r="CN15" i="47"/>
  <c r="CO15" i="47"/>
  <c r="CP15" i="47"/>
  <c r="CQ15" i="47"/>
  <c r="CR15" i="47"/>
  <c r="CS15" i="47"/>
  <c r="CT15" i="47"/>
  <c r="CU15" i="47"/>
  <c r="CV15" i="47"/>
  <c r="CW15" i="47"/>
  <c r="CX15" i="47"/>
  <c r="CY15" i="47"/>
  <c r="CZ15" i="47"/>
  <c r="DA15" i="47"/>
  <c r="DB15" i="47"/>
  <c r="DC15" i="47"/>
  <c r="DD15" i="47"/>
  <c r="DE15" i="47"/>
  <c r="DF15" i="47"/>
  <c r="CG15" i="45"/>
  <c r="CH15" i="45"/>
  <c r="CI15" i="45"/>
  <c r="CJ15" i="45"/>
  <c r="CK15" i="45"/>
  <c r="CL15" i="45"/>
  <c r="CM15" i="45"/>
  <c r="CN15" i="45"/>
  <c r="CO15" i="45"/>
  <c r="CP15" i="45"/>
  <c r="CQ15" i="45"/>
  <c r="CR15" i="45"/>
  <c r="CS15" i="45"/>
  <c r="CT15" i="45"/>
  <c r="CU15" i="45"/>
  <c r="CV15" i="45"/>
  <c r="CW15" i="45"/>
  <c r="CX15" i="45"/>
  <c r="CY15" i="45"/>
  <c r="CZ15" i="45"/>
  <c r="DA15" i="45"/>
  <c r="DB15" i="45"/>
  <c r="DC15" i="45"/>
  <c r="DD15" i="45"/>
  <c r="CG15" i="48"/>
  <c r="CH15" i="48"/>
  <c r="CI15" i="48"/>
  <c r="CJ15" i="48"/>
  <c r="CK15" i="48"/>
  <c r="CL15" i="48"/>
  <c r="CM15" i="48"/>
  <c r="CN15" i="48"/>
  <c r="CO15" i="48"/>
  <c r="CP15" i="48"/>
  <c r="CQ15" i="48"/>
  <c r="CR15" i="48"/>
  <c r="CS15" i="48"/>
  <c r="CT15" i="48"/>
  <c r="CU15" i="48"/>
  <c r="CV15" i="48"/>
  <c r="CW15" i="48"/>
  <c r="CX15" i="48"/>
  <c r="CY15" i="48"/>
  <c r="CZ15" i="48"/>
  <c r="DA15" i="48"/>
  <c r="DB15" i="48"/>
  <c r="DC15" i="48"/>
  <c r="DD15" i="48"/>
  <c r="CG15" i="46"/>
  <c r="CH15" i="46"/>
  <c r="CI15" i="46"/>
  <c r="CJ15" i="46"/>
  <c r="CK15" i="46"/>
  <c r="CL15" i="46"/>
  <c r="CM15" i="46"/>
  <c r="CN15" i="46"/>
  <c r="CO15" i="46"/>
  <c r="CP15" i="46"/>
  <c r="CQ15" i="46"/>
  <c r="CR15" i="46"/>
  <c r="CS15" i="46"/>
  <c r="CT15" i="46"/>
  <c r="CU15" i="46"/>
  <c r="CV15" i="46"/>
  <c r="CW15" i="46"/>
  <c r="CX15" i="46"/>
  <c r="CY15" i="46"/>
  <c r="CZ15" i="46"/>
  <c r="DA15" i="46"/>
  <c r="DB15" i="46"/>
  <c r="DC15" i="46"/>
  <c r="DD15" i="46"/>
  <c r="CG15" i="56"/>
  <c r="CH15" i="56"/>
  <c r="CI15" i="56"/>
  <c r="CJ15" i="56"/>
  <c r="CK15" i="56"/>
  <c r="CL15" i="56"/>
  <c r="CM15" i="56"/>
  <c r="CN15" i="56"/>
  <c r="CO15" i="56"/>
  <c r="CP15" i="56"/>
  <c r="CQ15" i="56"/>
  <c r="CR15" i="56"/>
  <c r="CS15" i="56"/>
  <c r="CT15" i="56"/>
  <c r="CU15" i="56"/>
  <c r="CV15" i="56"/>
  <c r="CW15" i="56"/>
  <c r="CX15" i="56"/>
  <c r="CY15" i="56"/>
  <c r="CZ15" i="56"/>
  <c r="DA15" i="56"/>
  <c r="DB15" i="56"/>
  <c r="DC15" i="56"/>
  <c r="DD15" i="56"/>
  <c r="CG15" i="58"/>
  <c r="CH15" i="58"/>
  <c r="CI15" i="58"/>
  <c r="CJ15" i="58"/>
  <c r="CK15" i="58"/>
  <c r="CL15" i="58"/>
  <c r="CM15" i="58"/>
  <c r="CN15" i="58"/>
  <c r="CO15" i="58"/>
  <c r="CP15" i="58"/>
  <c r="CQ15" i="58"/>
  <c r="CR15" i="58"/>
  <c r="CS15" i="58"/>
  <c r="CT15" i="58"/>
  <c r="CU15" i="58"/>
  <c r="CV15" i="58"/>
  <c r="CW15" i="58"/>
  <c r="CX15" i="58"/>
  <c r="CY15" i="58"/>
  <c r="CZ15" i="58"/>
  <c r="DA15" i="58"/>
  <c r="DB15" i="58"/>
  <c r="DC15" i="58"/>
  <c r="DD15" i="58"/>
  <c r="CH15" i="57"/>
  <c r="CI15" i="57"/>
  <c r="CJ15" i="57"/>
  <c r="CK15" i="57"/>
  <c r="CL15" i="57"/>
  <c r="CM15" i="57"/>
  <c r="CN15" i="57"/>
  <c r="CO15" i="57"/>
  <c r="CP15" i="57"/>
  <c r="CQ15" i="57"/>
  <c r="CR15" i="57"/>
  <c r="CS15" i="57"/>
  <c r="CT15" i="57"/>
  <c r="CU15" i="57"/>
  <c r="CV15" i="57"/>
  <c r="CW15" i="57"/>
  <c r="CX15" i="57"/>
  <c r="CY15" i="57"/>
  <c r="CZ15" i="57"/>
  <c r="DA15" i="57"/>
  <c r="DB15" i="57"/>
  <c r="DC15" i="57"/>
  <c r="DD15" i="57"/>
  <c r="DE15" i="57"/>
  <c r="CG15" i="59"/>
  <c r="CH15" i="59"/>
  <c r="CI15" i="59"/>
  <c r="CJ15" i="59"/>
  <c r="CK15" i="59"/>
  <c r="CL15" i="59"/>
  <c r="CM15" i="59"/>
  <c r="CN15" i="59"/>
  <c r="CO15" i="59"/>
  <c r="CP15" i="59"/>
  <c r="CQ15" i="59"/>
  <c r="CR15" i="59"/>
  <c r="CS15" i="59"/>
  <c r="CT15" i="59"/>
  <c r="CU15" i="59"/>
  <c r="CV15" i="59"/>
  <c r="CW15" i="59"/>
  <c r="CX15" i="59"/>
  <c r="CY15" i="59"/>
  <c r="CZ15" i="59"/>
  <c r="DA15" i="59"/>
  <c r="DB15" i="59"/>
  <c r="DC15" i="59"/>
  <c r="DD15" i="59"/>
  <c r="CG15" i="60"/>
  <c r="CH15" i="60"/>
  <c r="CI15" i="60"/>
  <c r="CJ15" i="60"/>
  <c r="CK15" i="60"/>
  <c r="CL15" i="60"/>
  <c r="CM15" i="60"/>
  <c r="CN15" i="60"/>
  <c r="CO15" i="60"/>
  <c r="CP15" i="60"/>
  <c r="CQ15" i="60"/>
  <c r="CR15" i="60"/>
  <c r="CS15" i="60"/>
  <c r="CT15" i="60"/>
  <c r="CU15" i="60"/>
  <c r="CV15" i="60"/>
  <c r="CW15" i="60"/>
  <c r="CX15" i="60"/>
  <c r="CY15" i="60"/>
  <c r="CZ15" i="60"/>
  <c r="DA15" i="60"/>
  <c r="DB15" i="60"/>
  <c r="DC15" i="60"/>
  <c r="DD15" i="60"/>
  <c r="CG15" i="61"/>
  <c r="CH15" i="61"/>
  <c r="CI15" i="61"/>
  <c r="CJ15" i="61"/>
  <c r="CK15" i="61"/>
  <c r="CL15" i="61"/>
  <c r="CM15" i="61"/>
  <c r="CN15" i="61"/>
  <c r="CO15" i="61"/>
  <c r="CP15" i="61"/>
  <c r="CQ15" i="61"/>
  <c r="CR15" i="61"/>
  <c r="CS15" i="61"/>
  <c r="CT15" i="61"/>
  <c r="CU15" i="61"/>
  <c r="CV15" i="61"/>
  <c r="CW15" i="61"/>
  <c r="CX15" i="61"/>
  <c r="CY15" i="61"/>
  <c r="CZ15" i="61"/>
  <c r="DA15" i="61"/>
  <c r="DB15" i="61"/>
  <c r="DC15" i="61"/>
  <c r="DD15" i="61"/>
  <c r="CG15" i="31"/>
  <c r="CH15" i="31"/>
  <c r="CI15" i="31"/>
  <c r="CJ15" i="31"/>
  <c r="CK15" i="31"/>
  <c r="CL15" i="31"/>
  <c r="CM15" i="31"/>
  <c r="CN15" i="31"/>
  <c r="CO15" i="31"/>
  <c r="CP15" i="31"/>
  <c r="CQ15" i="31"/>
  <c r="CR15" i="31"/>
  <c r="CS15" i="31"/>
  <c r="CT15" i="31"/>
  <c r="CU15" i="31"/>
  <c r="CV15" i="31"/>
  <c r="CW15" i="31"/>
  <c r="CX15" i="31"/>
  <c r="CY15" i="31"/>
  <c r="CZ15" i="31"/>
  <c r="DA15" i="31"/>
  <c r="DB15" i="31"/>
  <c r="DC15" i="31"/>
  <c r="DD15" i="31"/>
  <c r="CG14" i="36"/>
  <c r="CH14" i="36"/>
  <c r="CI14" i="36"/>
  <c r="CJ14" i="36"/>
  <c r="CK14" i="36"/>
  <c r="CL14" i="36"/>
  <c r="CM14" i="36"/>
  <c r="CN14" i="36"/>
  <c r="CO14" i="36"/>
  <c r="CP14" i="36"/>
  <c r="CQ14" i="36"/>
  <c r="CR14" i="36"/>
  <c r="CS14" i="36"/>
  <c r="CT14" i="36"/>
  <c r="CU14" i="36"/>
  <c r="CV14" i="36"/>
  <c r="CW14" i="36"/>
  <c r="CX14" i="36"/>
  <c r="CY14" i="36"/>
  <c r="CZ14" i="36"/>
  <c r="DA14" i="36"/>
  <c r="DB14" i="36"/>
  <c r="DC14" i="36"/>
  <c r="DD14" i="36"/>
  <c r="CG14" i="35"/>
  <c r="CH14" i="35"/>
  <c r="CI14" i="35"/>
  <c r="CJ14" i="35"/>
  <c r="CK14" i="35"/>
  <c r="CL14" i="35"/>
  <c r="CM14" i="35"/>
  <c r="CN14" i="35"/>
  <c r="CO14" i="35"/>
  <c r="CP14" i="35"/>
  <c r="CQ14" i="35"/>
  <c r="CR14" i="35"/>
  <c r="CS14" i="35"/>
  <c r="CT14" i="35"/>
  <c r="CU14" i="35"/>
  <c r="CV14" i="35"/>
  <c r="CW14" i="35"/>
  <c r="CX14" i="35"/>
  <c r="CY14" i="35"/>
  <c r="CZ14" i="35"/>
  <c r="DA14" i="35"/>
  <c r="DB14" i="35"/>
  <c r="DC14" i="35"/>
  <c r="DD14" i="35"/>
  <c r="CG14" i="33"/>
  <c r="CH14" i="33"/>
  <c r="CI14" i="33"/>
  <c r="CJ14" i="33"/>
  <c r="CK14" i="33"/>
  <c r="CL14" i="33"/>
  <c r="CM14" i="33"/>
  <c r="CN14" i="33"/>
  <c r="CO14" i="33"/>
  <c r="CP14" i="33"/>
  <c r="CQ14" i="33"/>
  <c r="CR14" i="33"/>
  <c r="CS14" i="33"/>
  <c r="CT14" i="33"/>
  <c r="CU14" i="33"/>
  <c r="CV14" i="33"/>
  <c r="CW14" i="33"/>
  <c r="CX14" i="33"/>
  <c r="CY14" i="33"/>
  <c r="CZ14" i="33"/>
  <c r="DA14" i="33"/>
  <c r="DB14" i="33"/>
  <c r="DC14" i="33"/>
  <c r="DD14" i="33"/>
  <c r="CG14" i="34"/>
  <c r="CH14" i="34"/>
  <c r="CI14" i="34"/>
  <c r="CJ14" i="34"/>
  <c r="CK14" i="34"/>
  <c r="CL14" i="34"/>
  <c r="CM14" i="34"/>
  <c r="CN14" i="34"/>
  <c r="CO14" i="34"/>
  <c r="CP14" i="34"/>
  <c r="CQ14" i="34"/>
  <c r="CR14" i="34"/>
  <c r="CS14" i="34"/>
  <c r="CT14" i="34"/>
  <c r="CU14" i="34"/>
  <c r="CV14" i="34"/>
  <c r="CW14" i="34"/>
  <c r="CX14" i="34"/>
  <c r="CY14" i="34"/>
  <c r="CZ14" i="34"/>
  <c r="DA14" i="34"/>
  <c r="DB14" i="34"/>
  <c r="DC14" i="34"/>
  <c r="DD14" i="34"/>
  <c r="CG14" i="38"/>
  <c r="CH14" i="38"/>
  <c r="CI14" i="38"/>
  <c r="CJ14" i="38"/>
  <c r="CK14" i="38"/>
  <c r="CL14" i="38"/>
  <c r="CM14" i="38"/>
  <c r="CN14" i="38"/>
  <c r="CO14" i="38"/>
  <c r="CP14" i="38"/>
  <c r="CQ14" i="38"/>
  <c r="CR14" i="38"/>
  <c r="CS14" i="38"/>
  <c r="CT14" i="38"/>
  <c r="CU14" i="38"/>
  <c r="CV14" i="38"/>
  <c r="CW14" i="38"/>
  <c r="CX14" i="38"/>
  <c r="CY14" i="38"/>
  <c r="CZ14" i="38"/>
  <c r="DA14" i="38"/>
  <c r="DB14" i="38"/>
  <c r="DC14" i="38"/>
  <c r="DD14" i="38"/>
  <c r="CG14" i="40"/>
  <c r="CH14" i="40"/>
  <c r="CI14" i="40"/>
  <c r="CJ14" i="40"/>
  <c r="CK14" i="40"/>
  <c r="CL14" i="40"/>
  <c r="CM14" i="40"/>
  <c r="CN14" i="40"/>
  <c r="CO14" i="40"/>
  <c r="CP14" i="40"/>
  <c r="CQ14" i="40"/>
  <c r="CR14" i="40"/>
  <c r="CS14" i="40"/>
  <c r="CT14" i="40"/>
  <c r="CU14" i="40"/>
  <c r="CV14" i="40"/>
  <c r="CW14" i="40"/>
  <c r="CX14" i="40"/>
  <c r="CY14" i="40"/>
  <c r="CZ14" i="40"/>
  <c r="DA14" i="40"/>
  <c r="DB14" i="40"/>
  <c r="DC14" i="40"/>
  <c r="DD14" i="40"/>
  <c r="CG14" i="39"/>
  <c r="CH14" i="39"/>
  <c r="CI14" i="39"/>
  <c r="CJ14" i="39"/>
  <c r="CK14" i="39"/>
  <c r="CL14" i="39"/>
  <c r="CM14" i="39"/>
  <c r="CN14" i="39"/>
  <c r="CO14" i="39"/>
  <c r="CP14" i="39"/>
  <c r="CQ14" i="39"/>
  <c r="CR14" i="39"/>
  <c r="CS14" i="39"/>
  <c r="CT14" i="39"/>
  <c r="CU14" i="39"/>
  <c r="CV14" i="39"/>
  <c r="CW14" i="39"/>
  <c r="CX14" i="39"/>
  <c r="CY14" i="39"/>
  <c r="CZ14" i="39"/>
  <c r="DA14" i="39"/>
  <c r="DB14" i="39"/>
  <c r="DC14" i="39"/>
  <c r="DD14" i="39"/>
  <c r="CG14" i="41"/>
  <c r="CH14" i="41"/>
  <c r="CI14" i="41"/>
  <c r="CJ14" i="41"/>
  <c r="CK14" i="41"/>
  <c r="CL14" i="41"/>
  <c r="CM14" i="41"/>
  <c r="CN14" i="41"/>
  <c r="CO14" i="41"/>
  <c r="CP14" i="41"/>
  <c r="CQ14" i="41"/>
  <c r="CR14" i="41"/>
  <c r="CS14" i="41"/>
  <c r="CT14" i="41"/>
  <c r="CU14" i="41"/>
  <c r="CV14" i="41"/>
  <c r="CW14" i="41"/>
  <c r="CX14" i="41"/>
  <c r="CY14" i="41"/>
  <c r="CZ14" i="41"/>
  <c r="DA14" i="41"/>
  <c r="DB14" i="41"/>
  <c r="DC14" i="41"/>
  <c r="DD14" i="41"/>
  <c r="CG14" i="44"/>
  <c r="CH14" i="44"/>
  <c r="CI14" i="44"/>
  <c r="CJ14" i="44"/>
  <c r="CK14" i="44"/>
  <c r="CL14" i="44"/>
  <c r="CM14" i="44"/>
  <c r="CN14" i="44"/>
  <c r="CO14" i="44"/>
  <c r="CP14" i="44"/>
  <c r="CQ14" i="44"/>
  <c r="CR14" i="44"/>
  <c r="CS14" i="44"/>
  <c r="CT14" i="44"/>
  <c r="CU14" i="44"/>
  <c r="CV14" i="44"/>
  <c r="CW14" i="44"/>
  <c r="CX14" i="44"/>
  <c r="CY14" i="44"/>
  <c r="CZ14" i="44"/>
  <c r="DA14" i="44"/>
  <c r="DB14" i="44"/>
  <c r="DC14" i="44"/>
  <c r="DD14" i="44"/>
  <c r="CG14" i="42"/>
  <c r="CH14" i="42"/>
  <c r="CI14" i="42"/>
  <c r="CJ14" i="42"/>
  <c r="CK14" i="42"/>
  <c r="CL14" i="42"/>
  <c r="CM14" i="42"/>
  <c r="CN14" i="42"/>
  <c r="CO14" i="42"/>
  <c r="CP14" i="42"/>
  <c r="CQ14" i="42"/>
  <c r="CR14" i="42"/>
  <c r="CS14" i="42"/>
  <c r="CT14" i="42"/>
  <c r="CU14" i="42"/>
  <c r="CV14" i="42"/>
  <c r="CW14" i="42"/>
  <c r="CX14" i="42"/>
  <c r="CY14" i="42"/>
  <c r="CZ14" i="42"/>
  <c r="DA14" i="42"/>
  <c r="DB14" i="42"/>
  <c r="DC14" i="42"/>
  <c r="DD14" i="42"/>
  <c r="CG14" i="43"/>
  <c r="CH14" i="43"/>
  <c r="CI14" i="43"/>
  <c r="CJ14" i="43"/>
  <c r="CK14" i="43"/>
  <c r="CL14" i="43"/>
  <c r="CM14" i="43"/>
  <c r="CN14" i="43"/>
  <c r="CO14" i="43"/>
  <c r="CP14" i="43"/>
  <c r="CQ14" i="43"/>
  <c r="CR14" i="43"/>
  <c r="CS14" i="43"/>
  <c r="CT14" i="43"/>
  <c r="CU14" i="43"/>
  <c r="CV14" i="43"/>
  <c r="CW14" i="43"/>
  <c r="CX14" i="43"/>
  <c r="CY14" i="43"/>
  <c r="CZ14" i="43"/>
  <c r="DA14" i="43"/>
  <c r="DB14" i="43"/>
  <c r="DC14" i="43"/>
  <c r="DD14" i="43"/>
  <c r="CG14" i="49"/>
  <c r="CH14" i="49"/>
  <c r="CI14" i="49"/>
  <c r="CJ14" i="49"/>
  <c r="CK14" i="49"/>
  <c r="CL14" i="49"/>
  <c r="CM14" i="49"/>
  <c r="CN14" i="49"/>
  <c r="CO14" i="49"/>
  <c r="CP14" i="49"/>
  <c r="CQ14" i="49"/>
  <c r="CR14" i="49"/>
  <c r="CS14" i="49"/>
  <c r="CT14" i="49"/>
  <c r="CU14" i="49"/>
  <c r="CV14" i="49"/>
  <c r="CW14" i="49"/>
  <c r="CX14" i="49"/>
  <c r="CY14" i="49"/>
  <c r="CZ14" i="49"/>
  <c r="DA14" i="49"/>
  <c r="DB14" i="49"/>
  <c r="DC14" i="49"/>
  <c r="DD14" i="49"/>
  <c r="CG14" i="50"/>
  <c r="CH14" i="50"/>
  <c r="CI14" i="50"/>
  <c r="CJ14" i="50"/>
  <c r="CK14" i="50"/>
  <c r="CL14" i="50"/>
  <c r="CM14" i="50"/>
  <c r="CN14" i="50"/>
  <c r="CO14" i="50"/>
  <c r="CP14" i="50"/>
  <c r="CQ14" i="50"/>
  <c r="CR14" i="50"/>
  <c r="CS14" i="50"/>
  <c r="CT14" i="50"/>
  <c r="CU14" i="50"/>
  <c r="CV14" i="50"/>
  <c r="CW14" i="50"/>
  <c r="CX14" i="50"/>
  <c r="CY14" i="50"/>
  <c r="CZ14" i="50"/>
  <c r="DA14" i="50"/>
  <c r="DB14" i="50"/>
  <c r="DC14" i="50"/>
  <c r="DD14" i="50"/>
  <c r="CG14" i="67"/>
  <c r="CH14" i="67"/>
  <c r="CI14" i="67"/>
  <c r="CJ14" i="67"/>
  <c r="CK14" i="67"/>
  <c r="CL14" i="67"/>
  <c r="CM14" i="67"/>
  <c r="CN14" i="67"/>
  <c r="CO14" i="67"/>
  <c r="CP14" i="67"/>
  <c r="CQ14" i="67"/>
  <c r="CR14" i="67"/>
  <c r="CS14" i="67"/>
  <c r="CT14" i="67"/>
  <c r="CU14" i="67"/>
  <c r="CV14" i="67"/>
  <c r="CW14" i="67"/>
  <c r="CX14" i="67"/>
  <c r="CY14" i="67"/>
  <c r="CZ14" i="67"/>
  <c r="DA14" i="67"/>
  <c r="DB14" i="67"/>
  <c r="DC14" i="67"/>
  <c r="DD14" i="67"/>
  <c r="CG14" i="51"/>
  <c r="CH14" i="51"/>
  <c r="CI14" i="51"/>
  <c r="CJ14" i="51"/>
  <c r="CK14" i="51"/>
  <c r="CL14" i="51"/>
  <c r="CM14" i="51"/>
  <c r="CN14" i="51"/>
  <c r="CO14" i="51"/>
  <c r="CP14" i="51"/>
  <c r="CQ14" i="51"/>
  <c r="CR14" i="51"/>
  <c r="CS14" i="51"/>
  <c r="CT14" i="51"/>
  <c r="CU14" i="51"/>
  <c r="CV14" i="51"/>
  <c r="CW14" i="51"/>
  <c r="CX14" i="51"/>
  <c r="CY14" i="51"/>
  <c r="CZ14" i="51"/>
  <c r="DA14" i="51"/>
  <c r="DB14" i="51"/>
  <c r="DC14" i="51"/>
  <c r="DD14" i="51"/>
  <c r="CG14" i="52"/>
  <c r="CH14" i="52"/>
  <c r="CI14" i="52"/>
  <c r="CJ14" i="52"/>
  <c r="CK14" i="52"/>
  <c r="CL14" i="52"/>
  <c r="CM14" i="52"/>
  <c r="CN14" i="52"/>
  <c r="CO14" i="52"/>
  <c r="CP14" i="52"/>
  <c r="CQ14" i="52"/>
  <c r="CR14" i="52"/>
  <c r="CS14" i="52"/>
  <c r="CT14" i="52"/>
  <c r="CU14" i="52"/>
  <c r="CV14" i="52"/>
  <c r="CW14" i="52"/>
  <c r="CX14" i="52"/>
  <c r="CY14" i="52"/>
  <c r="CZ14" i="52"/>
  <c r="DA14" i="52"/>
  <c r="DB14" i="52"/>
  <c r="DC14" i="52"/>
  <c r="DD14" i="52"/>
  <c r="CG14" i="53"/>
  <c r="CH14" i="53"/>
  <c r="CI14" i="53"/>
  <c r="CJ14" i="53"/>
  <c r="CK14" i="53"/>
  <c r="CL14" i="53"/>
  <c r="CM14" i="53"/>
  <c r="CN14" i="53"/>
  <c r="CO14" i="53"/>
  <c r="CP14" i="53"/>
  <c r="CQ14" i="53"/>
  <c r="CR14" i="53"/>
  <c r="CS14" i="53"/>
  <c r="CT14" i="53"/>
  <c r="CU14" i="53"/>
  <c r="CV14" i="53"/>
  <c r="CW14" i="53"/>
  <c r="CX14" i="53"/>
  <c r="CY14" i="53"/>
  <c r="CZ14" i="53"/>
  <c r="DA14" i="53"/>
  <c r="DB14" i="53"/>
  <c r="DC14" i="53"/>
  <c r="DD14" i="53"/>
  <c r="CG14" i="54"/>
  <c r="CH14" i="54"/>
  <c r="CI14" i="54"/>
  <c r="CJ14" i="54"/>
  <c r="CK14" i="54"/>
  <c r="CL14" i="54"/>
  <c r="CM14" i="54"/>
  <c r="CN14" i="54"/>
  <c r="CO14" i="54"/>
  <c r="CP14" i="54"/>
  <c r="CQ14" i="54"/>
  <c r="CR14" i="54"/>
  <c r="CS14" i="54"/>
  <c r="CT14" i="54"/>
  <c r="CU14" i="54"/>
  <c r="CV14" i="54"/>
  <c r="CW14" i="54"/>
  <c r="CX14" i="54"/>
  <c r="CY14" i="54"/>
  <c r="CZ14" i="54"/>
  <c r="DA14" i="54"/>
  <c r="DB14" i="54"/>
  <c r="DC14" i="54"/>
  <c r="DD14" i="54"/>
  <c r="CG14" i="55"/>
  <c r="CH14" i="55"/>
  <c r="CI14" i="55"/>
  <c r="CJ14" i="55"/>
  <c r="CK14" i="55"/>
  <c r="CL14" i="55"/>
  <c r="CM14" i="55"/>
  <c r="CN14" i="55"/>
  <c r="CO14" i="55"/>
  <c r="CP14" i="55"/>
  <c r="CQ14" i="55"/>
  <c r="CR14" i="55"/>
  <c r="CS14" i="55"/>
  <c r="CT14" i="55"/>
  <c r="CU14" i="55"/>
  <c r="CV14" i="55"/>
  <c r="CW14" i="55"/>
  <c r="CX14" i="55"/>
  <c r="CY14" i="55"/>
  <c r="CZ14" i="55"/>
  <c r="DA14" i="55"/>
  <c r="DB14" i="55"/>
  <c r="DC14" i="55"/>
  <c r="DD14" i="55"/>
  <c r="CI14" i="47"/>
  <c r="CJ14" i="47"/>
  <c r="CK14" i="47"/>
  <c r="CL14" i="47"/>
  <c r="CM14" i="47"/>
  <c r="CN14" i="47"/>
  <c r="CO14" i="47"/>
  <c r="CP14" i="47"/>
  <c r="CQ14" i="47"/>
  <c r="CR14" i="47"/>
  <c r="CS14" i="47"/>
  <c r="CT14" i="47"/>
  <c r="CU14" i="47"/>
  <c r="CV14" i="47"/>
  <c r="CW14" i="47"/>
  <c r="CX14" i="47"/>
  <c r="CY14" i="47"/>
  <c r="CZ14" i="47"/>
  <c r="DA14" i="47"/>
  <c r="DB14" i="47"/>
  <c r="DC14" i="47"/>
  <c r="DD14" i="47"/>
  <c r="DE14" i="47"/>
  <c r="DF14" i="47"/>
  <c r="CG14" i="45"/>
  <c r="CH14" i="45"/>
  <c r="CI14" i="45"/>
  <c r="CJ14" i="45"/>
  <c r="CK14" i="45"/>
  <c r="CL14" i="45"/>
  <c r="CM14" i="45"/>
  <c r="CN14" i="45"/>
  <c r="CO14" i="45"/>
  <c r="CP14" i="45"/>
  <c r="CQ14" i="45"/>
  <c r="CR14" i="45"/>
  <c r="CS14" i="45"/>
  <c r="CT14" i="45"/>
  <c r="CU14" i="45"/>
  <c r="CV14" i="45"/>
  <c r="CW14" i="45"/>
  <c r="CX14" i="45"/>
  <c r="CY14" i="45"/>
  <c r="CZ14" i="45"/>
  <c r="DA14" i="45"/>
  <c r="DB14" i="45"/>
  <c r="DC14" i="45"/>
  <c r="DD14" i="45"/>
  <c r="CG14" i="48"/>
  <c r="CH14" i="48"/>
  <c r="CI14" i="48"/>
  <c r="CJ14" i="48"/>
  <c r="CK14" i="48"/>
  <c r="CL14" i="48"/>
  <c r="CM14" i="48"/>
  <c r="CN14" i="48"/>
  <c r="CO14" i="48"/>
  <c r="CP14" i="48"/>
  <c r="CQ14" i="48"/>
  <c r="CR14" i="48"/>
  <c r="CS14" i="48"/>
  <c r="CT14" i="48"/>
  <c r="CU14" i="48"/>
  <c r="CV14" i="48"/>
  <c r="CW14" i="48"/>
  <c r="CX14" i="48"/>
  <c r="CY14" i="48"/>
  <c r="CZ14" i="48"/>
  <c r="DA14" i="48"/>
  <c r="DB14" i="48"/>
  <c r="DC14" i="48"/>
  <c r="DD14" i="48"/>
  <c r="CG14" i="46"/>
  <c r="CH14" i="46"/>
  <c r="CI14" i="46"/>
  <c r="CJ14" i="46"/>
  <c r="CK14" i="46"/>
  <c r="CL14" i="46"/>
  <c r="CM14" i="46"/>
  <c r="CN14" i="46"/>
  <c r="CO14" i="46"/>
  <c r="CP14" i="46"/>
  <c r="CQ14" i="46"/>
  <c r="CR14" i="46"/>
  <c r="CS14" i="46"/>
  <c r="CT14" i="46"/>
  <c r="CU14" i="46"/>
  <c r="CV14" i="46"/>
  <c r="CW14" i="46"/>
  <c r="CX14" i="46"/>
  <c r="CY14" i="46"/>
  <c r="CZ14" i="46"/>
  <c r="DA14" i="46"/>
  <c r="DB14" i="46"/>
  <c r="DC14" i="46"/>
  <c r="DD14" i="46"/>
  <c r="CG14" i="56"/>
  <c r="CH14" i="56"/>
  <c r="CI14" i="56"/>
  <c r="CJ14" i="56"/>
  <c r="CK14" i="56"/>
  <c r="CL14" i="56"/>
  <c r="CM14" i="56"/>
  <c r="CN14" i="56"/>
  <c r="CO14" i="56"/>
  <c r="CP14" i="56"/>
  <c r="CQ14" i="56"/>
  <c r="CR14" i="56"/>
  <c r="CS14" i="56"/>
  <c r="CT14" i="56"/>
  <c r="CU14" i="56"/>
  <c r="CV14" i="56"/>
  <c r="CW14" i="56"/>
  <c r="CX14" i="56"/>
  <c r="CY14" i="56"/>
  <c r="CZ14" i="56"/>
  <c r="DA14" i="56"/>
  <c r="DB14" i="56"/>
  <c r="DC14" i="56"/>
  <c r="DD14" i="56"/>
  <c r="CG14" i="58"/>
  <c r="CH14" i="58"/>
  <c r="CI14" i="58"/>
  <c r="CJ14" i="58"/>
  <c r="CK14" i="58"/>
  <c r="CL14" i="58"/>
  <c r="CM14" i="58"/>
  <c r="CN14" i="58"/>
  <c r="CO14" i="58"/>
  <c r="CP14" i="58"/>
  <c r="CQ14" i="58"/>
  <c r="CR14" i="58"/>
  <c r="CS14" i="58"/>
  <c r="CT14" i="58"/>
  <c r="CU14" i="58"/>
  <c r="CV14" i="58"/>
  <c r="CW14" i="58"/>
  <c r="CX14" i="58"/>
  <c r="CY14" i="58"/>
  <c r="CZ14" i="58"/>
  <c r="DA14" i="58"/>
  <c r="DB14" i="58"/>
  <c r="DC14" i="58"/>
  <c r="DD14" i="58"/>
  <c r="CH14" i="57"/>
  <c r="CI14" i="57"/>
  <c r="CJ14" i="57"/>
  <c r="CK14" i="57"/>
  <c r="CL14" i="57"/>
  <c r="CM14" i="57"/>
  <c r="CN14" i="57"/>
  <c r="CO14" i="57"/>
  <c r="CP14" i="57"/>
  <c r="CQ14" i="57"/>
  <c r="CR14" i="57"/>
  <c r="CS14" i="57"/>
  <c r="CT14" i="57"/>
  <c r="CU14" i="57"/>
  <c r="CV14" i="57"/>
  <c r="CW14" i="57"/>
  <c r="CX14" i="57"/>
  <c r="CY14" i="57"/>
  <c r="CZ14" i="57"/>
  <c r="DA14" i="57"/>
  <c r="DB14" i="57"/>
  <c r="DC14" i="57"/>
  <c r="DD14" i="57"/>
  <c r="DE14" i="57"/>
  <c r="CG14" i="59"/>
  <c r="CH14" i="59"/>
  <c r="CI14" i="59"/>
  <c r="CJ14" i="59"/>
  <c r="CK14" i="59"/>
  <c r="CL14" i="59"/>
  <c r="CM14" i="59"/>
  <c r="CN14" i="59"/>
  <c r="CO14" i="59"/>
  <c r="CP14" i="59"/>
  <c r="CQ14" i="59"/>
  <c r="CR14" i="59"/>
  <c r="CS14" i="59"/>
  <c r="CT14" i="59"/>
  <c r="CU14" i="59"/>
  <c r="CV14" i="59"/>
  <c r="CW14" i="59"/>
  <c r="CX14" i="59"/>
  <c r="CY14" i="59"/>
  <c r="CZ14" i="59"/>
  <c r="DA14" i="59"/>
  <c r="DB14" i="59"/>
  <c r="DC14" i="59"/>
  <c r="DD14" i="59"/>
  <c r="CG14" i="60"/>
  <c r="CH14" i="60"/>
  <c r="CI14" i="60"/>
  <c r="CJ14" i="60"/>
  <c r="CK14" i="60"/>
  <c r="CL14" i="60"/>
  <c r="CM14" i="60"/>
  <c r="CN14" i="60"/>
  <c r="CO14" i="60"/>
  <c r="CP14" i="60"/>
  <c r="CQ14" i="60"/>
  <c r="CR14" i="60"/>
  <c r="CS14" i="60"/>
  <c r="CT14" i="60"/>
  <c r="CU14" i="60"/>
  <c r="CV14" i="60"/>
  <c r="CW14" i="60"/>
  <c r="CX14" i="60"/>
  <c r="CY14" i="60"/>
  <c r="CZ14" i="60"/>
  <c r="DA14" i="60"/>
  <c r="DB14" i="60"/>
  <c r="DC14" i="60"/>
  <c r="DD14" i="60"/>
  <c r="CG14" i="61"/>
  <c r="CH14" i="61"/>
  <c r="CI14" i="61"/>
  <c r="CJ14" i="61"/>
  <c r="CK14" i="61"/>
  <c r="CL14" i="61"/>
  <c r="CM14" i="61"/>
  <c r="CN14" i="61"/>
  <c r="CO14" i="61"/>
  <c r="CP14" i="61"/>
  <c r="CQ14" i="61"/>
  <c r="CR14" i="61"/>
  <c r="CS14" i="61"/>
  <c r="CT14" i="61"/>
  <c r="CU14" i="61"/>
  <c r="CV14" i="61"/>
  <c r="CW14" i="61"/>
  <c r="CX14" i="61"/>
  <c r="CY14" i="61"/>
  <c r="CZ14" i="61"/>
  <c r="DA14" i="61"/>
  <c r="DB14" i="61"/>
  <c r="DC14" i="61"/>
  <c r="DD14" i="61"/>
  <c r="CG14" i="31"/>
  <c r="CH14" i="31"/>
  <c r="CI14" i="31"/>
  <c r="CJ14" i="31"/>
  <c r="CK14" i="31"/>
  <c r="CL14" i="31"/>
  <c r="CM14" i="31"/>
  <c r="CN14" i="31"/>
  <c r="CO14" i="31"/>
  <c r="CP14" i="31"/>
  <c r="CQ14" i="31"/>
  <c r="CR14" i="31"/>
  <c r="CS14" i="31"/>
  <c r="CT14" i="31"/>
  <c r="CU14" i="31"/>
  <c r="CV14" i="31"/>
  <c r="CW14" i="31"/>
  <c r="CX14" i="31"/>
  <c r="CY14" i="31"/>
  <c r="CZ14" i="31"/>
  <c r="DA14" i="31"/>
  <c r="DB14" i="31"/>
  <c r="DC14" i="31"/>
  <c r="DD14" i="31"/>
  <c r="CG13" i="36"/>
  <c r="CH13" i="36"/>
  <c r="CI13" i="36"/>
  <c r="CJ13" i="36"/>
  <c r="CK13" i="36"/>
  <c r="CL13" i="36"/>
  <c r="CM13" i="36"/>
  <c r="CN13" i="36"/>
  <c r="CO13" i="36"/>
  <c r="CP13" i="36"/>
  <c r="CQ13" i="36"/>
  <c r="CR13" i="36"/>
  <c r="CS13" i="36"/>
  <c r="CT13" i="36"/>
  <c r="CU13" i="36"/>
  <c r="CV13" i="36"/>
  <c r="CW13" i="36"/>
  <c r="CX13" i="36"/>
  <c r="CY13" i="36"/>
  <c r="CZ13" i="36"/>
  <c r="DA13" i="36"/>
  <c r="DB13" i="36"/>
  <c r="DC13" i="36"/>
  <c r="DD13" i="36"/>
  <c r="CG13" i="35"/>
  <c r="CH13" i="35"/>
  <c r="CI13" i="35"/>
  <c r="CJ13" i="35"/>
  <c r="CK13" i="35"/>
  <c r="CL13" i="35"/>
  <c r="CM13" i="35"/>
  <c r="CN13" i="35"/>
  <c r="CO13" i="35"/>
  <c r="CP13" i="35"/>
  <c r="CQ13" i="35"/>
  <c r="CR13" i="35"/>
  <c r="CS13" i="35"/>
  <c r="CT13" i="35"/>
  <c r="CU13" i="35"/>
  <c r="CV13" i="35"/>
  <c r="CW13" i="35"/>
  <c r="CX13" i="35"/>
  <c r="CY13" i="35"/>
  <c r="CZ13" i="35"/>
  <c r="DA13" i="35"/>
  <c r="DB13" i="35"/>
  <c r="DC13" i="35"/>
  <c r="DD13" i="35"/>
  <c r="CG13" i="33"/>
  <c r="CH13" i="33"/>
  <c r="CI13" i="33"/>
  <c r="CJ13" i="33"/>
  <c r="CK13" i="33"/>
  <c r="CL13" i="33"/>
  <c r="CM13" i="33"/>
  <c r="CN13" i="33"/>
  <c r="CO13" i="33"/>
  <c r="CP13" i="33"/>
  <c r="CQ13" i="33"/>
  <c r="CR13" i="33"/>
  <c r="CS13" i="33"/>
  <c r="CT13" i="33"/>
  <c r="CU13" i="33"/>
  <c r="CV13" i="33"/>
  <c r="CW13" i="33"/>
  <c r="CX13" i="33"/>
  <c r="CY13" i="33"/>
  <c r="CZ13" i="33"/>
  <c r="DA13" i="33"/>
  <c r="DB13" i="33"/>
  <c r="DC13" i="33"/>
  <c r="DD13" i="33"/>
  <c r="CG13" i="34"/>
  <c r="CH13" i="34"/>
  <c r="CI13" i="34"/>
  <c r="CJ13" i="34"/>
  <c r="CK13" i="34"/>
  <c r="CL13" i="34"/>
  <c r="CM13" i="34"/>
  <c r="CN13" i="34"/>
  <c r="CO13" i="34"/>
  <c r="CP13" i="34"/>
  <c r="CQ13" i="34"/>
  <c r="CR13" i="34"/>
  <c r="CS13" i="34"/>
  <c r="CT13" i="34"/>
  <c r="CU13" i="34"/>
  <c r="CV13" i="34"/>
  <c r="CW13" i="34"/>
  <c r="CX13" i="34"/>
  <c r="CY13" i="34"/>
  <c r="CZ13" i="34"/>
  <c r="DA13" i="34"/>
  <c r="DB13" i="34"/>
  <c r="DC13" i="34"/>
  <c r="DD13" i="34"/>
  <c r="CG13" i="38"/>
  <c r="CH13" i="38"/>
  <c r="CI13" i="38"/>
  <c r="CJ13" i="38"/>
  <c r="CK13" i="38"/>
  <c r="CL13" i="38"/>
  <c r="CM13" i="38"/>
  <c r="CN13" i="38"/>
  <c r="CO13" i="38"/>
  <c r="CP13" i="38"/>
  <c r="CQ13" i="38"/>
  <c r="CR13" i="38"/>
  <c r="CS13" i="38"/>
  <c r="CT13" i="38"/>
  <c r="CU13" i="38"/>
  <c r="CV13" i="38"/>
  <c r="CW13" i="38"/>
  <c r="CX13" i="38"/>
  <c r="CY13" i="38"/>
  <c r="CZ13" i="38"/>
  <c r="DA13" i="38"/>
  <c r="DB13" i="38"/>
  <c r="DC13" i="38"/>
  <c r="DD13" i="38"/>
  <c r="CG13" i="40"/>
  <c r="CH13" i="40"/>
  <c r="CI13" i="40"/>
  <c r="CJ13" i="40"/>
  <c r="CK13" i="40"/>
  <c r="CL13" i="40"/>
  <c r="CM13" i="40"/>
  <c r="CN13" i="40"/>
  <c r="CO13" i="40"/>
  <c r="CP13" i="40"/>
  <c r="CQ13" i="40"/>
  <c r="CR13" i="40"/>
  <c r="CS13" i="40"/>
  <c r="CT13" i="40"/>
  <c r="CU13" i="40"/>
  <c r="CV13" i="40"/>
  <c r="CW13" i="40"/>
  <c r="CX13" i="40"/>
  <c r="CY13" i="40"/>
  <c r="CZ13" i="40"/>
  <c r="DA13" i="40"/>
  <c r="DB13" i="40"/>
  <c r="DC13" i="40"/>
  <c r="DD13" i="40"/>
  <c r="CG13" i="39"/>
  <c r="CH13" i="39"/>
  <c r="CI13" i="39"/>
  <c r="CJ13" i="39"/>
  <c r="CK13" i="39"/>
  <c r="CL13" i="39"/>
  <c r="CM13" i="39"/>
  <c r="CN13" i="39"/>
  <c r="CO13" i="39"/>
  <c r="CP13" i="39"/>
  <c r="CQ13" i="39"/>
  <c r="CR13" i="39"/>
  <c r="CS13" i="39"/>
  <c r="CT13" i="39"/>
  <c r="CU13" i="39"/>
  <c r="CV13" i="39"/>
  <c r="CW13" i="39"/>
  <c r="CX13" i="39"/>
  <c r="CY13" i="39"/>
  <c r="CZ13" i="39"/>
  <c r="DA13" i="39"/>
  <c r="DB13" i="39"/>
  <c r="DC13" i="39"/>
  <c r="DD13" i="39"/>
  <c r="CG13" i="41"/>
  <c r="CH13" i="41"/>
  <c r="CI13" i="41"/>
  <c r="CJ13" i="41"/>
  <c r="CK13" i="41"/>
  <c r="CL13" i="41"/>
  <c r="CM13" i="41"/>
  <c r="CN13" i="41"/>
  <c r="CO13" i="41"/>
  <c r="CP13" i="41"/>
  <c r="CQ13" i="41"/>
  <c r="CR13" i="41"/>
  <c r="CS13" i="41"/>
  <c r="CT13" i="41"/>
  <c r="CU13" i="41"/>
  <c r="CV13" i="41"/>
  <c r="CW13" i="41"/>
  <c r="CX13" i="41"/>
  <c r="CY13" i="41"/>
  <c r="CZ13" i="41"/>
  <c r="DA13" i="41"/>
  <c r="DB13" i="41"/>
  <c r="DC13" i="41"/>
  <c r="DD13" i="41"/>
  <c r="CG13" i="44"/>
  <c r="CH13" i="44"/>
  <c r="CI13" i="44"/>
  <c r="CJ13" i="44"/>
  <c r="CK13" i="44"/>
  <c r="CL13" i="44"/>
  <c r="CM13" i="44"/>
  <c r="CN13" i="44"/>
  <c r="CO13" i="44"/>
  <c r="CP13" i="44"/>
  <c r="CQ13" i="44"/>
  <c r="CR13" i="44"/>
  <c r="CS13" i="44"/>
  <c r="CT13" i="44"/>
  <c r="CU13" i="44"/>
  <c r="CV13" i="44"/>
  <c r="CW13" i="44"/>
  <c r="CX13" i="44"/>
  <c r="CY13" i="44"/>
  <c r="CZ13" i="44"/>
  <c r="DA13" i="44"/>
  <c r="DB13" i="44"/>
  <c r="DC13" i="44"/>
  <c r="DD13" i="44"/>
  <c r="CG13" i="42"/>
  <c r="CH13" i="42"/>
  <c r="CI13" i="42"/>
  <c r="CJ13" i="42"/>
  <c r="CK13" i="42"/>
  <c r="CL13" i="42"/>
  <c r="CM13" i="42"/>
  <c r="CN13" i="42"/>
  <c r="CO13" i="42"/>
  <c r="CP13" i="42"/>
  <c r="CQ13" i="42"/>
  <c r="CR13" i="42"/>
  <c r="CS13" i="42"/>
  <c r="CT13" i="42"/>
  <c r="CU13" i="42"/>
  <c r="CV13" i="42"/>
  <c r="CW13" i="42"/>
  <c r="CX13" i="42"/>
  <c r="CY13" i="42"/>
  <c r="CZ13" i="42"/>
  <c r="DA13" i="42"/>
  <c r="DB13" i="42"/>
  <c r="DC13" i="42"/>
  <c r="DD13" i="42"/>
  <c r="CG13" i="43"/>
  <c r="CH13" i="43"/>
  <c r="CI13" i="43"/>
  <c r="CJ13" i="43"/>
  <c r="CK13" i="43"/>
  <c r="CL13" i="43"/>
  <c r="CM13" i="43"/>
  <c r="CN13" i="43"/>
  <c r="CO13" i="43"/>
  <c r="CP13" i="43"/>
  <c r="CQ13" i="43"/>
  <c r="CR13" i="43"/>
  <c r="CS13" i="43"/>
  <c r="CT13" i="43"/>
  <c r="CU13" i="43"/>
  <c r="CV13" i="43"/>
  <c r="CW13" i="43"/>
  <c r="CX13" i="43"/>
  <c r="CY13" i="43"/>
  <c r="CZ13" i="43"/>
  <c r="DA13" i="43"/>
  <c r="DB13" i="43"/>
  <c r="DC13" i="43"/>
  <c r="DD13" i="43"/>
  <c r="CG13" i="49"/>
  <c r="CH13" i="49"/>
  <c r="CI13" i="49"/>
  <c r="CJ13" i="49"/>
  <c r="CK13" i="49"/>
  <c r="CL13" i="49"/>
  <c r="CM13" i="49"/>
  <c r="CN13" i="49"/>
  <c r="CO13" i="49"/>
  <c r="CP13" i="49"/>
  <c r="CQ13" i="49"/>
  <c r="CR13" i="49"/>
  <c r="CS13" i="49"/>
  <c r="CT13" i="49"/>
  <c r="CU13" i="49"/>
  <c r="CV13" i="49"/>
  <c r="CW13" i="49"/>
  <c r="CX13" i="49"/>
  <c r="CY13" i="49"/>
  <c r="CZ13" i="49"/>
  <c r="DA13" i="49"/>
  <c r="DB13" i="49"/>
  <c r="DC13" i="49"/>
  <c r="DD13" i="49"/>
  <c r="CG13" i="50"/>
  <c r="CH13" i="50"/>
  <c r="CI13" i="50"/>
  <c r="CJ13" i="50"/>
  <c r="CK13" i="50"/>
  <c r="CL13" i="50"/>
  <c r="CM13" i="50"/>
  <c r="CN13" i="50"/>
  <c r="CO13" i="50"/>
  <c r="CP13" i="50"/>
  <c r="CQ13" i="50"/>
  <c r="CR13" i="50"/>
  <c r="CS13" i="50"/>
  <c r="CT13" i="50"/>
  <c r="CU13" i="50"/>
  <c r="CV13" i="50"/>
  <c r="CW13" i="50"/>
  <c r="CX13" i="50"/>
  <c r="CY13" i="50"/>
  <c r="CZ13" i="50"/>
  <c r="DA13" i="50"/>
  <c r="DB13" i="50"/>
  <c r="DC13" i="50"/>
  <c r="DD13" i="50"/>
  <c r="CG13" i="67"/>
  <c r="CH13" i="67"/>
  <c r="CI13" i="67"/>
  <c r="CJ13" i="67"/>
  <c r="CK13" i="67"/>
  <c r="CL13" i="67"/>
  <c r="CM13" i="67"/>
  <c r="CN13" i="67"/>
  <c r="CO13" i="67"/>
  <c r="CP13" i="67"/>
  <c r="CQ13" i="67"/>
  <c r="CR13" i="67"/>
  <c r="CS13" i="67"/>
  <c r="CT13" i="67"/>
  <c r="CU13" i="67"/>
  <c r="CV13" i="67"/>
  <c r="CW13" i="67"/>
  <c r="CX13" i="67"/>
  <c r="CY13" i="67"/>
  <c r="CZ13" i="67"/>
  <c r="DA13" i="67"/>
  <c r="DB13" i="67"/>
  <c r="DC13" i="67"/>
  <c r="DD13" i="67"/>
  <c r="CG13" i="51"/>
  <c r="CH13" i="51"/>
  <c r="CI13" i="51"/>
  <c r="CJ13" i="51"/>
  <c r="CK13" i="51"/>
  <c r="CL13" i="51"/>
  <c r="CM13" i="51"/>
  <c r="CN13" i="51"/>
  <c r="CO13" i="51"/>
  <c r="CP13" i="51"/>
  <c r="CQ13" i="51"/>
  <c r="CR13" i="51"/>
  <c r="CS13" i="51"/>
  <c r="CT13" i="51"/>
  <c r="CU13" i="51"/>
  <c r="CV13" i="51"/>
  <c r="CW13" i="51"/>
  <c r="CX13" i="51"/>
  <c r="CY13" i="51"/>
  <c r="CZ13" i="51"/>
  <c r="DA13" i="51"/>
  <c r="DB13" i="51"/>
  <c r="DC13" i="51"/>
  <c r="DD13" i="51"/>
  <c r="CG13" i="52"/>
  <c r="CH13" i="52"/>
  <c r="CI13" i="52"/>
  <c r="CJ13" i="52"/>
  <c r="CK13" i="52"/>
  <c r="CL13" i="52"/>
  <c r="CM13" i="52"/>
  <c r="CN13" i="52"/>
  <c r="CO13" i="52"/>
  <c r="CP13" i="52"/>
  <c r="CQ13" i="52"/>
  <c r="CR13" i="52"/>
  <c r="CS13" i="52"/>
  <c r="CT13" i="52"/>
  <c r="CU13" i="52"/>
  <c r="CV13" i="52"/>
  <c r="CW13" i="52"/>
  <c r="CX13" i="52"/>
  <c r="CY13" i="52"/>
  <c r="CZ13" i="52"/>
  <c r="DA13" i="52"/>
  <c r="DB13" i="52"/>
  <c r="DC13" i="52"/>
  <c r="DD13" i="52"/>
  <c r="CG13" i="53"/>
  <c r="CH13" i="53"/>
  <c r="CI13" i="53"/>
  <c r="CJ13" i="53"/>
  <c r="CK13" i="53"/>
  <c r="CL13" i="53"/>
  <c r="CM13" i="53"/>
  <c r="CN13" i="53"/>
  <c r="CO13" i="53"/>
  <c r="CP13" i="53"/>
  <c r="CQ13" i="53"/>
  <c r="CR13" i="53"/>
  <c r="CS13" i="53"/>
  <c r="CT13" i="53"/>
  <c r="CU13" i="53"/>
  <c r="CV13" i="53"/>
  <c r="CW13" i="53"/>
  <c r="CX13" i="53"/>
  <c r="CY13" i="53"/>
  <c r="CZ13" i="53"/>
  <c r="DA13" i="53"/>
  <c r="DB13" i="53"/>
  <c r="DC13" i="53"/>
  <c r="DD13" i="53"/>
  <c r="CG13" i="54"/>
  <c r="CH13" i="54"/>
  <c r="CI13" i="54"/>
  <c r="CJ13" i="54"/>
  <c r="CK13" i="54"/>
  <c r="CL13" i="54"/>
  <c r="CM13" i="54"/>
  <c r="CN13" i="54"/>
  <c r="CO13" i="54"/>
  <c r="CP13" i="54"/>
  <c r="CQ13" i="54"/>
  <c r="CR13" i="54"/>
  <c r="CS13" i="54"/>
  <c r="CT13" i="54"/>
  <c r="CU13" i="54"/>
  <c r="CV13" i="54"/>
  <c r="CW13" i="54"/>
  <c r="CX13" i="54"/>
  <c r="CY13" i="54"/>
  <c r="CZ13" i="54"/>
  <c r="DA13" i="54"/>
  <c r="DB13" i="54"/>
  <c r="DC13" i="54"/>
  <c r="DD13" i="54"/>
  <c r="CG13" i="55"/>
  <c r="CH13" i="55"/>
  <c r="CI13" i="55"/>
  <c r="CJ13" i="55"/>
  <c r="CK13" i="55"/>
  <c r="CL13" i="55"/>
  <c r="CM13" i="55"/>
  <c r="CN13" i="55"/>
  <c r="CO13" i="55"/>
  <c r="CP13" i="55"/>
  <c r="CQ13" i="55"/>
  <c r="CR13" i="55"/>
  <c r="CS13" i="55"/>
  <c r="CT13" i="55"/>
  <c r="CU13" i="55"/>
  <c r="CV13" i="55"/>
  <c r="CW13" i="55"/>
  <c r="CX13" i="55"/>
  <c r="CY13" i="55"/>
  <c r="CZ13" i="55"/>
  <c r="DA13" i="55"/>
  <c r="DB13" i="55"/>
  <c r="DC13" i="55"/>
  <c r="DD13" i="55"/>
  <c r="CI13" i="47"/>
  <c r="CJ13" i="47"/>
  <c r="CK13" i="47"/>
  <c r="CL13" i="47"/>
  <c r="CM13" i="47"/>
  <c r="CN13" i="47"/>
  <c r="CO13" i="47"/>
  <c r="CP13" i="47"/>
  <c r="CQ13" i="47"/>
  <c r="CR13" i="47"/>
  <c r="CS13" i="47"/>
  <c r="CT13" i="47"/>
  <c r="CU13" i="47"/>
  <c r="CV13" i="47"/>
  <c r="CW13" i="47"/>
  <c r="CX13" i="47"/>
  <c r="CY13" i="47"/>
  <c r="CZ13" i="47"/>
  <c r="DA13" i="47"/>
  <c r="DB13" i="47"/>
  <c r="DC13" i="47"/>
  <c r="DD13" i="47"/>
  <c r="DE13" i="47"/>
  <c r="DF13" i="47"/>
  <c r="CG13" i="45"/>
  <c r="CH13" i="45"/>
  <c r="CI13" i="45"/>
  <c r="CJ13" i="45"/>
  <c r="CK13" i="45"/>
  <c r="CL13" i="45"/>
  <c r="CM13" i="45"/>
  <c r="CN13" i="45"/>
  <c r="CO13" i="45"/>
  <c r="CP13" i="45"/>
  <c r="CQ13" i="45"/>
  <c r="CR13" i="45"/>
  <c r="CS13" i="45"/>
  <c r="CT13" i="45"/>
  <c r="CU13" i="45"/>
  <c r="CV13" i="45"/>
  <c r="CW13" i="45"/>
  <c r="CX13" i="45"/>
  <c r="CY13" i="45"/>
  <c r="CZ13" i="45"/>
  <c r="DA13" i="45"/>
  <c r="DB13" i="45"/>
  <c r="DC13" i="45"/>
  <c r="DD13" i="45"/>
  <c r="CG13" i="48"/>
  <c r="CH13" i="48"/>
  <c r="CI13" i="48"/>
  <c r="CJ13" i="48"/>
  <c r="CK13" i="48"/>
  <c r="CL13" i="48"/>
  <c r="CM13" i="48"/>
  <c r="CN13" i="48"/>
  <c r="CO13" i="48"/>
  <c r="CP13" i="48"/>
  <c r="CQ13" i="48"/>
  <c r="CR13" i="48"/>
  <c r="CS13" i="48"/>
  <c r="CT13" i="48"/>
  <c r="CU13" i="48"/>
  <c r="CV13" i="48"/>
  <c r="CW13" i="48"/>
  <c r="CX13" i="48"/>
  <c r="CY13" i="48"/>
  <c r="CZ13" i="48"/>
  <c r="DA13" i="48"/>
  <c r="DB13" i="48"/>
  <c r="DC13" i="48"/>
  <c r="DD13" i="48"/>
  <c r="CG13" i="46"/>
  <c r="CH13" i="46"/>
  <c r="CI13" i="46"/>
  <c r="CJ13" i="46"/>
  <c r="CK13" i="46"/>
  <c r="CL13" i="46"/>
  <c r="CM13" i="46"/>
  <c r="CN13" i="46"/>
  <c r="CO13" i="46"/>
  <c r="CP13" i="46"/>
  <c r="CQ13" i="46"/>
  <c r="CR13" i="46"/>
  <c r="CS13" i="46"/>
  <c r="CT13" i="46"/>
  <c r="CU13" i="46"/>
  <c r="CV13" i="46"/>
  <c r="CW13" i="46"/>
  <c r="CX13" i="46"/>
  <c r="CY13" i="46"/>
  <c r="CZ13" i="46"/>
  <c r="DA13" i="46"/>
  <c r="DB13" i="46"/>
  <c r="DC13" i="46"/>
  <c r="DD13" i="46"/>
  <c r="CG13" i="56"/>
  <c r="CH13" i="56"/>
  <c r="CI13" i="56"/>
  <c r="CJ13" i="56"/>
  <c r="CK13" i="56"/>
  <c r="CL13" i="56"/>
  <c r="CM13" i="56"/>
  <c r="CN13" i="56"/>
  <c r="CO13" i="56"/>
  <c r="CP13" i="56"/>
  <c r="CQ13" i="56"/>
  <c r="CR13" i="56"/>
  <c r="CS13" i="56"/>
  <c r="CT13" i="56"/>
  <c r="CU13" i="56"/>
  <c r="CV13" i="56"/>
  <c r="CW13" i="56"/>
  <c r="CX13" i="56"/>
  <c r="CY13" i="56"/>
  <c r="CZ13" i="56"/>
  <c r="DA13" i="56"/>
  <c r="DB13" i="56"/>
  <c r="DC13" i="56"/>
  <c r="DD13" i="56"/>
  <c r="CG13" i="58"/>
  <c r="CH13" i="58"/>
  <c r="CI13" i="58"/>
  <c r="CJ13" i="58"/>
  <c r="CK13" i="58"/>
  <c r="CL13" i="58"/>
  <c r="CM13" i="58"/>
  <c r="CN13" i="58"/>
  <c r="CO13" i="58"/>
  <c r="CP13" i="58"/>
  <c r="CQ13" i="58"/>
  <c r="CR13" i="58"/>
  <c r="CS13" i="58"/>
  <c r="CT13" i="58"/>
  <c r="CU13" i="58"/>
  <c r="CV13" i="58"/>
  <c r="CW13" i="58"/>
  <c r="CX13" i="58"/>
  <c r="CY13" i="58"/>
  <c r="CZ13" i="58"/>
  <c r="DA13" i="58"/>
  <c r="DB13" i="58"/>
  <c r="DC13" i="58"/>
  <c r="DD13" i="58"/>
  <c r="CH13" i="57"/>
  <c r="CI13" i="57"/>
  <c r="CJ13" i="57"/>
  <c r="CK13" i="57"/>
  <c r="CL13" i="57"/>
  <c r="CM13" i="57"/>
  <c r="CN13" i="57"/>
  <c r="CO13" i="57"/>
  <c r="CP13" i="57"/>
  <c r="CQ13" i="57"/>
  <c r="CR13" i="57"/>
  <c r="CS13" i="57"/>
  <c r="CT13" i="57"/>
  <c r="CU13" i="57"/>
  <c r="CV13" i="57"/>
  <c r="CW13" i="57"/>
  <c r="CX13" i="57"/>
  <c r="CY13" i="57"/>
  <c r="CZ13" i="57"/>
  <c r="DA13" i="57"/>
  <c r="DB13" i="57"/>
  <c r="DC13" i="57"/>
  <c r="DD13" i="57"/>
  <c r="DE13" i="57"/>
  <c r="CG13" i="59"/>
  <c r="CH13" i="59"/>
  <c r="CI13" i="59"/>
  <c r="CJ13" i="59"/>
  <c r="CK13" i="59"/>
  <c r="CL13" i="59"/>
  <c r="CM13" i="59"/>
  <c r="CN13" i="59"/>
  <c r="CO13" i="59"/>
  <c r="CP13" i="59"/>
  <c r="CQ13" i="59"/>
  <c r="CR13" i="59"/>
  <c r="CS13" i="59"/>
  <c r="CT13" i="59"/>
  <c r="CU13" i="59"/>
  <c r="CV13" i="59"/>
  <c r="CW13" i="59"/>
  <c r="CX13" i="59"/>
  <c r="CY13" i="59"/>
  <c r="CZ13" i="59"/>
  <c r="DA13" i="59"/>
  <c r="DB13" i="59"/>
  <c r="DC13" i="59"/>
  <c r="DD13" i="59"/>
  <c r="CG13" i="60"/>
  <c r="CH13" i="60"/>
  <c r="CI13" i="60"/>
  <c r="CJ13" i="60"/>
  <c r="CK13" i="60"/>
  <c r="CL13" i="60"/>
  <c r="CM13" i="60"/>
  <c r="CN13" i="60"/>
  <c r="CO13" i="60"/>
  <c r="CP13" i="60"/>
  <c r="CQ13" i="60"/>
  <c r="CR13" i="60"/>
  <c r="CS13" i="60"/>
  <c r="CT13" i="60"/>
  <c r="CU13" i="60"/>
  <c r="CV13" i="60"/>
  <c r="CW13" i="60"/>
  <c r="CX13" i="60"/>
  <c r="CY13" i="60"/>
  <c r="CZ13" i="60"/>
  <c r="DA13" i="60"/>
  <c r="DB13" i="60"/>
  <c r="DC13" i="60"/>
  <c r="DD13" i="60"/>
  <c r="CG13" i="61"/>
  <c r="CH13" i="61"/>
  <c r="CI13" i="61"/>
  <c r="CJ13" i="61"/>
  <c r="CK13" i="61"/>
  <c r="CL13" i="61"/>
  <c r="CM13" i="61"/>
  <c r="CN13" i="61"/>
  <c r="CO13" i="61"/>
  <c r="CP13" i="61"/>
  <c r="CQ13" i="61"/>
  <c r="CR13" i="61"/>
  <c r="CS13" i="61"/>
  <c r="CT13" i="61"/>
  <c r="CU13" i="61"/>
  <c r="CV13" i="61"/>
  <c r="CW13" i="61"/>
  <c r="CX13" i="61"/>
  <c r="CY13" i="61"/>
  <c r="CZ13" i="61"/>
  <c r="DA13" i="61"/>
  <c r="DB13" i="61"/>
  <c r="DC13" i="61"/>
  <c r="DD13" i="61"/>
  <c r="CG13" i="31"/>
  <c r="CH13" i="31"/>
  <c r="CI13" i="31"/>
  <c r="CJ13" i="31"/>
  <c r="CK13" i="31"/>
  <c r="CL13" i="31"/>
  <c r="CM13" i="31"/>
  <c r="CN13" i="31"/>
  <c r="CO13" i="31"/>
  <c r="CP13" i="31"/>
  <c r="CQ13" i="31"/>
  <c r="CR13" i="31"/>
  <c r="CS13" i="31"/>
  <c r="CT13" i="31"/>
  <c r="CU13" i="31"/>
  <c r="CV13" i="31"/>
  <c r="CW13" i="31"/>
  <c r="CX13" i="31"/>
  <c r="CY13" i="31"/>
  <c r="CZ13" i="31"/>
  <c r="DA13" i="31"/>
  <c r="DB13" i="31"/>
  <c r="DC13" i="31"/>
  <c r="DD13" i="31"/>
  <c r="CG12" i="36"/>
  <c r="CH12" i="36"/>
  <c r="CI12" i="36"/>
  <c r="CJ12" i="36"/>
  <c r="CK12" i="36"/>
  <c r="CL12" i="36"/>
  <c r="CM12" i="36"/>
  <c r="CN12" i="36"/>
  <c r="CO12" i="36"/>
  <c r="CP12" i="36"/>
  <c r="CQ12" i="36"/>
  <c r="CR12" i="36"/>
  <c r="CS12" i="36"/>
  <c r="CT12" i="36"/>
  <c r="CU12" i="36"/>
  <c r="CV12" i="36"/>
  <c r="CW12" i="36"/>
  <c r="CX12" i="36"/>
  <c r="CY12" i="36"/>
  <c r="CZ12" i="36"/>
  <c r="DA12" i="36"/>
  <c r="DB12" i="36"/>
  <c r="DC12" i="36"/>
  <c r="DD12" i="36"/>
  <c r="CG12" i="35"/>
  <c r="CH12" i="35"/>
  <c r="CI12" i="35"/>
  <c r="CJ12" i="35"/>
  <c r="CK12" i="35"/>
  <c r="CL12" i="35"/>
  <c r="CM12" i="35"/>
  <c r="CN12" i="35"/>
  <c r="CO12" i="35"/>
  <c r="CP12" i="35"/>
  <c r="CQ12" i="35"/>
  <c r="CR12" i="35"/>
  <c r="CS12" i="35"/>
  <c r="CT12" i="35"/>
  <c r="CU12" i="35"/>
  <c r="CV12" i="35"/>
  <c r="CW12" i="35"/>
  <c r="CX12" i="35"/>
  <c r="CY12" i="35"/>
  <c r="CZ12" i="35"/>
  <c r="DA12" i="35"/>
  <c r="DB12" i="35"/>
  <c r="DC12" i="35"/>
  <c r="DD12" i="35"/>
  <c r="CG12" i="33"/>
  <c r="CH12" i="33"/>
  <c r="CI12" i="33"/>
  <c r="CJ12" i="33"/>
  <c r="CK12" i="33"/>
  <c r="CL12" i="33"/>
  <c r="CM12" i="33"/>
  <c r="CN12" i="33"/>
  <c r="CO12" i="33"/>
  <c r="CP12" i="33"/>
  <c r="CQ12" i="33"/>
  <c r="CR12" i="33"/>
  <c r="CS12" i="33"/>
  <c r="CT12" i="33"/>
  <c r="CU12" i="33"/>
  <c r="CV12" i="33"/>
  <c r="CW12" i="33"/>
  <c r="CX12" i="33"/>
  <c r="CY12" i="33"/>
  <c r="CZ12" i="33"/>
  <c r="DA12" i="33"/>
  <c r="DB12" i="33"/>
  <c r="DC12" i="33"/>
  <c r="DD12" i="33"/>
  <c r="CG12" i="34"/>
  <c r="CH12" i="34"/>
  <c r="CI12" i="34"/>
  <c r="CJ12" i="34"/>
  <c r="CK12" i="34"/>
  <c r="CL12" i="34"/>
  <c r="CM12" i="34"/>
  <c r="CN12" i="34"/>
  <c r="CO12" i="34"/>
  <c r="CP12" i="34"/>
  <c r="CQ12" i="34"/>
  <c r="CR12" i="34"/>
  <c r="CS12" i="34"/>
  <c r="CT12" i="34"/>
  <c r="CU12" i="34"/>
  <c r="CV12" i="34"/>
  <c r="CW12" i="34"/>
  <c r="CX12" i="34"/>
  <c r="CY12" i="34"/>
  <c r="CZ12" i="34"/>
  <c r="DA12" i="34"/>
  <c r="DB12" i="34"/>
  <c r="DC12" i="34"/>
  <c r="DD12" i="34"/>
  <c r="CG12" i="38"/>
  <c r="CH12" i="38"/>
  <c r="CI12" i="38"/>
  <c r="CJ12" i="38"/>
  <c r="CK12" i="38"/>
  <c r="CL12" i="38"/>
  <c r="CM12" i="38"/>
  <c r="CN12" i="38"/>
  <c r="CO12" i="38"/>
  <c r="CP12" i="38"/>
  <c r="CQ12" i="38"/>
  <c r="CR12" i="38"/>
  <c r="CS12" i="38"/>
  <c r="CT12" i="38"/>
  <c r="CU12" i="38"/>
  <c r="CV12" i="38"/>
  <c r="CW12" i="38"/>
  <c r="CX12" i="38"/>
  <c r="CY12" i="38"/>
  <c r="CZ12" i="38"/>
  <c r="DA12" i="38"/>
  <c r="DB12" i="38"/>
  <c r="DC12" i="38"/>
  <c r="DD12" i="38"/>
  <c r="CG12" i="40"/>
  <c r="CH12" i="40"/>
  <c r="CI12" i="40"/>
  <c r="CJ12" i="40"/>
  <c r="CK12" i="40"/>
  <c r="CL12" i="40"/>
  <c r="CM12" i="40"/>
  <c r="CN12" i="40"/>
  <c r="CO12" i="40"/>
  <c r="CP12" i="40"/>
  <c r="CQ12" i="40"/>
  <c r="CR12" i="40"/>
  <c r="CS12" i="40"/>
  <c r="CT12" i="40"/>
  <c r="CU12" i="40"/>
  <c r="CV12" i="40"/>
  <c r="CW12" i="40"/>
  <c r="CX12" i="40"/>
  <c r="CY12" i="40"/>
  <c r="CZ12" i="40"/>
  <c r="DA12" i="40"/>
  <c r="DB12" i="40"/>
  <c r="DC12" i="40"/>
  <c r="DD12" i="40"/>
  <c r="CG12" i="39"/>
  <c r="CH12" i="39"/>
  <c r="CI12" i="39"/>
  <c r="CJ12" i="39"/>
  <c r="CK12" i="39"/>
  <c r="CL12" i="39"/>
  <c r="CM12" i="39"/>
  <c r="CN12" i="39"/>
  <c r="CO12" i="39"/>
  <c r="CP12" i="39"/>
  <c r="CQ12" i="39"/>
  <c r="CR12" i="39"/>
  <c r="CS12" i="39"/>
  <c r="CT12" i="39"/>
  <c r="CU12" i="39"/>
  <c r="CV12" i="39"/>
  <c r="CW12" i="39"/>
  <c r="CX12" i="39"/>
  <c r="CY12" i="39"/>
  <c r="CZ12" i="39"/>
  <c r="DA12" i="39"/>
  <c r="DB12" i="39"/>
  <c r="DC12" i="39"/>
  <c r="DD12" i="39"/>
  <c r="CG12" i="41"/>
  <c r="CH12" i="41"/>
  <c r="CI12" i="41"/>
  <c r="CJ12" i="41"/>
  <c r="CK12" i="41"/>
  <c r="CL12" i="41"/>
  <c r="CM12" i="41"/>
  <c r="CN12" i="41"/>
  <c r="CO12" i="41"/>
  <c r="CP12" i="41"/>
  <c r="CQ12" i="41"/>
  <c r="CR12" i="41"/>
  <c r="CS12" i="41"/>
  <c r="CT12" i="41"/>
  <c r="CU12" i="41"/>
  <c r="CV12" i="41"/>
  <c r="CW12" i="41"/>
  <c r="CX12" i="41"/>
  <c r="CY12" i="41"/>
  <c r="CZ12" i="41"/>
  <c r="DA12" i="41"/>
  <c r="DB12" i="41"/>
  <c r="DC12" i="41"/>
  <c r="DD12" i="41"/>
  <c r="CG12" i="44"/>
  <c r="CH12" i="44"/>
  <c r="CI12" i="44"/>
  <c r="CJ12" i="44"/>
  <c r="CK12" i="44"/>
  <c r="CL12" i="44"/>
  <c r="CM12" i="44"/>
  <c r="CN12" i="44"/>
  <c r="CO12" i="44"/>
  <c r="CP12" i="44"/>
  <c r="CQ12" i="44"/>
  <c r="CR12" i="44"/>
  <c r="CS12" i="44"/>
  <c r="CT12" i="44"/>
  <c r="CU12" i="44"/>
  <c r="CV12" i="44"/>
  <c r="CW12" i="44"/>
  <c r="CX12" i="44"/>
  <c r="CY12" i="44"/>
  <c r="CZ12" i="44"/>
  <c r="DA12" i="44"/>
  <c r="DB12" i="44"/>
  <c r="DC12" i="44"/>
  <c r="DD12" i="44"/>
  <c r="CG12" i="42"/>
  <c r="CH12" i="42"/>
  <c r="CI12" i="42"/>
  <c r="CJ12" i="42"/>
  <c r="CK12" i="42"/>
  <c r="CL12" i="42"/>
  <c r="CM12" i="42"/>
  <c r="CN12" i="42"/>
  <c r="CO12" i="42"/>
  <c r="CP12" i="42"/>
  <c r="CQ12" i="42"/>
  <c r="CR12" i="42"/>
  <c r="CS12" i="42"/>
  <c r="CT12" i="42"/>
  <c r="CU12" i="42"/>
  <c r="CV12" i="42"/>
  <c r="CW12" i="42"/>
  <c r="CX12" i="42"/>
  <c r="CY12" i="42"/>
  <c r="CZ12" i="42"/>
  <c r="DA12" i="42"/>
  <c r="DB12" i="42"/>
  <c r="DC12" i="42"/>
  <c r="DD12" i="42"/>
  <c r="CG12" i="43"/>
  <c r="CH12" i="43"/>
  <c r="CI12" i="43"/>
  <c r="CJ12" i="43"/>
  <c r="CK12" i="43"/>
  <c r="CL12" i="43"/>
  <c r="CM12" i="43"/>
  <c r="CN12" i="43"/>
  <c r="CO12" i="43"/>
  <c r="CP12" i="43"/>
  <c r="CQ12" i="43"/>
  <c r="CR12" i="43"/>
  <c r="CS12" i="43"/>
  <c r="CT12" i="43"/>
  <c r="CU12" i="43"/>
  <c r="CV12" i="43"/>
  <c r="CW12" i="43"/>
  <c r="CX12" i="43"/>
  <c r="CY12" i="43"/>
  <c r="CZ12" i="43"/>
  <c r="DA12" i="43"/>
  <c r="DB12" i="43"/>
  <c r="DC12" i="43"/>
  <c r="DD12" i="43"/>
  <c r="CG12" i="49"/>
  <c r="CH12" i="49"/>
  <c r="CI12" i="49"/>
  <c r="CJ12" i="49"/>
  <c r="CK12" i="49"/>
  <c r="CL12" i="49"/>
  <c r="CM12" i="49"/>
  <c r="CN12" i="49"/>
  <c r="CO12" i="49"/>
  <c r="CP12" i="49"/>
  <c r="CQ12" i="49"/>
  <c r="CR12" i="49"/>
  <c r="CS12" i="49"/>
  <c r="CT12" i="49"/>
  <c r="CU12" i="49"/>
  <c r="CV12" i="49"/>
  <c r="CW12" i="49"/>
  <c r="CX12" i="49"/>
  <c r="CY12" i="49"/>
  <c r="CZ12" i="49"/>
  <c r="DA12" i="49"/>
  <c r="DB12" i="49"/>
  <c r="DC12" i="49"/>
  <c r="DD12" i="49"/>
  <c r="CG12" i="50"/>
  <c r="CH12" i="50"/>
  <c r="CI12" i="50"/>
  <c r="CJ12" i="50"/>
  <c r="CK12" i="50"/>
  <c r="CL12" i="50"/>
  <c r="CM12" i="50"/>
  <c r="CN12" i="50"/>
  <c r="CO12" i="50"/>
  <c r="CP12" i="50"/>
  <c r="CQ12" i="50"/>
  <c r="CR12" i="50"/>
  <c r="CS12" i="50"/>
  <c r="CT12" i="50"/>
  <c r="CU12" i="50"/>
  <c r="CV12" i="50"/>
  <c r="CW12" i="50"/>
  <c r="CX12" i="50"/>
  <c r="CY12" i="50"/>
  <c r="CZ12" i="50"/>
  <c r="DA12" i="50"/>
  <c r="DB12" i="50"/>
  <c r="DC12" i="50"/>
  <c r="DD12" i="50"/>
  <c r="CG12" i="67"/>
  <c r="CH12" i="67"/>
  <c r="CI12" i="67"/>
  <c r="CJ12" i="67"/>
  <c r="CK12" i="67"/>
  <c r="CL12" i="67"/>
  <c r="CM12" i="67"/>
  <c r="CN12" i="67"/>
  <c r="CO12" i="67"/>
  <c r="CP12" i="67"/>
  <c r="CQ12" i="67"/>
  <c r="CR12" i="67"/>
  <c r="CS12" i="67"/>
  <c r="CT12" i="67"/>
  <c r="CU12" i="67"/>
  <c r="CV12" i="67"/>
  <c r="CW12" i="67"/>
  <c r="CX12" i="67"/>
  <c r="CY12" i="67"/>
  <c r="CZ12" i="67"/>
  <c r="DA12" i="67"/>
  <c r="DB12" i="67"/>
  <c r="DC12" i="67"/>
  <c r="DD12" i="67"/>
  <c r="CG12" i="51"/>
  <c r="CH12" i="51"/>
  <c r="CI12" i="51"/>
  <c r="CJ12" i="51"/>
  <c r="CK12" i="51"/>
  <c r="CL12" i="51"/>
  <c r="CM12" i="51"/>
  <c r="CN12" i="51"/>
  <c r="CO12" i="51"/>
  <c r="CP12" i="51"/>
  <c r="CQ12" i="51"/>
  <c r="CR12" i="51"/>
  <c r="CS12" i="51"/>
  <c r="CT12" i="51"/>
  <c r="CU12" i="51"/>
  <c r="CV12" i="51"/>
  <c r="CW12" i="51"/>
  <c r="CX12" i="51"/>
  <c r="CY12" i="51"/>
  <c r="CZ12" i="51"/>
  <c r="DA12" i="51"/>
  <c r="DB12" i="51"/>
  <c r="DC12" i="51"/>
  <c r="DD12" i="51"/>
  <c r="CG12" i="52"/>
  <c r="CH12" i="52"/>
  <c r="CI12" i="52"/>
  <c r="CJ12" i="52"/>
  <c r="CK12" i="52"/>
  <c r="CL12" i="52"/>
  <c r="CM12" i="52"/>
  <c r="CN12" i="52"/>
  <c r="CO12" i="52"/>
  <c r="CP12" i="52"/>
  <c r="CQ12" i="52"/>
  <c r="CR12" i="52"/>
  <c r="CS12" i="52"/>
  <c r="CT12" i="52"/>
  <c r="CU12" i="52"/>
  <c r="CV12" i="52"/>
  <c r="CW12" i="52"/>
  <c r="CX12" i="52"/>
  <c r="CY12" i="52"/>
  <c r="CZ12" i="52"/>
  <c r="DA12" i="52"/>
  <c r="DB12" i="52"/>
  <c r="DC12" i="52"/>
  <c r="DD12" i="52"/>
  <c r="CG12" i="53"/>
  <c r="CH12" i="53"/>
  <c r="CI12" i="53"/>
  <c r="CJ12" i="53"/>
  <c r="CK12" i="53"/>
  <c r="CL12" i="53"/>
  <c r="CM12" i="53"/>
  <c r="CN12" i="53"/>
  <c r="CO12" i="53"/>
  <c r="CP12" i="53"/>
  <c r="CQ12" i="53"/>
  <c r="CR12" i="53"/>
  <c r="CS12" i="53"/>
  <c r="CT12" i="53"/>
  <c r="CU12" i="53"/>
  <c r="CV12" i="53"/>
  <c r="CW12" i="53"/>
  <c r="CX12" i="53"/>
  <c r="CY12" i="53"/>
  <c r="CZ12" i="53"/>
  <c r="DA12" i="53"/>
  <c r="DB12" i="53"/>
  <c r="DC12" i="53"/>
  <c r="DD12" i="53"/>
  <c r="CG12" i="54"/>
  <c r="CH12" i="54"/>
  <c r="CI12" i="54"/>
  <c r="CJ12" i="54"/>
  <c r="CK12" i="54"/>
  <c r="CL12" i="54"/>
  <c r="CM12" i="54"/>
  <c r="CN12" i="54"/>
  <c r="CO12" i="54"/>
  <c r="CP12" i="54"/>
  <c r="CQ12" i="54"/>
  <c r="CR12" i="54"/>
  <c r="CS12" i="54"/>
  <c r="CT12" i="54"/>
  <c r="CU12" i="54"/>
  <c r="CV12" i="54"/>
  <c r="CW12" i="54"/>
  <c r="CX12" i="54"/>
  <c r="CY12" i="54"/>
  <c r="CZ12" i="54"/>
  <c r="DA12" i="54"/>
  <c r="DB12" i="54"/>
  <c r="DC12" i="54"/>
  <c r="DD12" i="54"/>
  <c r="CG12" i="55"/>
  <c r="CH12" i="55"/>
  <c r="CI12" i="55"/>
  <c r="CJ12" i="55"/>
  <c r="CK12" i="55"/>
  <c r="CL12" i="55"/>
  <c r="CM12" i="55"/>
  <c r="CN12" i="55"/>
  <c r="CO12" i="55"/>
  <c r="CP12" i="55"/>
  <c r="CQ12" i="55"/>
  <c r="CR12" i="55"/>
  <c r="CS12" i="55"/>
  <c r="CT12" i="55"/>
  <c r="CU12" i="55"/>
  <c r="CV12" i="55"/>
  <c r="CW12" i="55"/>
  <c r="CX12" i="55"/>
  <c r="CY12" i="55"/>
  <c r="CZ12" i="55"/>
  <c r="DA12" i="55"/>
  <c r="DB12" i="55"/>
  <c r="DC12" i="55"/>
  <c r="DD12" i="55"/>
  <c r="CI12" i="47"/>
  <c r="CJ12" i="47"/>
  <c r="CK12" i="47"/>
  <c r="CL12" i="47"/>
  <c r="CM12" i="47"/>
  <c r="CN12" i="47"/>
  <c r="CO12" i="47"/>
  <c r="CP12" i="47"/>
  <c r="CQ12" i="47"/>
  <c r="CR12" i="47"/>
  <c r="CS12" i="47"/>
  <c r="CT12" i="47"/>
  <c r="CU12" i="47"/>
  <c r="CV12" i="47"/>
  <c r="CW12" i="47"/>
  <c r="CX12" i="47"/>
  <c r="CY12" i="47"/>
  <c r="CZ12" i="47"/>
  <c r="DA12" i="47"/>
  <c r="DB12" i="47"/>
  <c r="DC12" i="47"/>
  <c r="DD12" i="47"/>
  <c r="DE12" i="47"/>
  <c r="DF12" i="47"/>
  <c r="CG12" i="45"/>
  <c r="CH12" i="45"/>
  <c r="CI12" i="45"/>
  <c r="CJ12" i="45"/>
  <c r="CK12" i="45"/>
  <c r="CL12" i="45"/>
  <c r="CM12" i="45"/>
  <c r="CN12" i="45"/>
  <c r="CO12" i="45"/>
  <c r="CP12" i="45"/>
  <c r="CQ12" i="45"/>
  <c r="CR12" i="45"/>
  <c r="CS12" i="45"/>
  <c r="CT12" i="45"/>
  <c r="CU12" i="45"/>
  <c r="CV12" i="45"/>
  <c r="CW12" i="45"/>
  <c r="CX12" i="45"/>
  <c r="CY12" i="45"/>
  <c r="CZ12" i="45"/>
  <c r="DA12" i="45"/>
  <c r="DB12" i="45"/>
  <c r="DC12" i="45"/>
  <c r="DD12" i="45"/>
  <c r="CG12" i="48"/>
  <c r="CH12" i="48"/>
  <c r="CI12" i="48"/>
  <c r="CJ12" i="48"/>
  <c r="CK12" i="48"/>
  <c r="CL12" i="48"/>
  <c r="CM12" i="48"/>
  <c r="CN12" i="48"/>
  <c r="CO12" i="48"/>
  <c r="CP12" i="48"/>
  <c r="CQ12" i="48"/>
  <c r="CR12" i="48"/>
  <c r="CS12" i="48"/>
  <c r="CT12" i="48"/>
  <c r="CU12" i="48"/>
  <c r="CV12" i="48"/>
  <c r="CW12" i="48"/>
  <c r="CX12" i="48"/>
  <c r="CY12" i="48"/>
  <c r="CZ12" i="48"/>
  <c r="DA12" i="48"/>
  <c r="DB12" i="48"/>
  <c r="DC12" i="48"/>
  <c r="DD12" i="48"/>
  <c r="CG12" i="46"/>
  <c r="CH12" i="46"/>
  <c r="CI12" i="46"/>
  <c r="CJ12" i="46"/>
  <c r="CK12" i="46"/>
  <c r="CL12" i="46"/>
  <c r="CM12" i="46"/>
  <c r="CN12" i="46"/>
  <c r="CO12" i="46"/>
  <c r="CP12" i="46"/>
  <c r="CQ12" i="46"/>
  <c r="CR12" i="46"/>
  <c r="CS12" i="46"/>
  <c r="CT12" i="46"/>
  <c r="CU12" i="46"/>
  <c r="CV12" i="46"/>
  <c r="CW12" i="46"/>
  <c r="CX12" i="46"/>
  <c r="CY12" i="46"/>
  <c r="CZ12" i="46"/>
  <c r="DA12" i="46"/>
  <c r="DB12" i="46"/>
  <c r="DC12" i="46"/>
  <c r="DD12" i="46"/>
  <c r="CG12" i="56"/>
  <c r="CH12" i="56"/>
  <c r="CI12" i="56"/>
  <c r="CJ12" i="56"/>
  <c r="CK12" i="56"/>
  <c r="CL12" i="56"/>
  <c r="CM12" i="56"/>
  <c r="CN12" i="56"/>
  <c r="CO12" i="56"/>
  <c r="CP12" i="56"/>
  <c r="CQ12" i="56"/>
  <c r="CR12" i="56"/>
  <c r="CS12" i="56"/>
  <c r="CT12" i="56"/>
  <c r="CU12" i="56"/>
  <c r="CV12" i="56"/>
  <c r="CW12" i="56"/>
  <c r="CX12" i="56"/>
  <c r="CY12" i="56"/>
  <c r="CZ12" i="56"/>
  <c r="DA12" i="56"/>
  <c r="DB12" i="56"/>
  <c r="DC12" i="56"/>
  <c r="DD12" i="56"/>
  <c r="CG12" i="58"/>
  <c r="CH12" i="58"/>
  <c r="CI12" i="58"/>
  <c r="CJ12" i="58"/>
  <c r="CK12" i="58"/>
  <c r="CL12" i="58"/>
  <c r="CM12" i="58"/>
  <c r="CN12" i="58"/>
  <c r="CO12" i="58"/>
  <c r="CP12" i="58"/>
  <c r="CQ12" i="58"/>
  <c r="CR12" i="58"/>
  <c r="CS12" i="58"/>
  <c r="CT12" i="58"/>
  <c r="CU12" i="58"/>
  <c r="CV12" i="58"/>
  <c r="CW12" i="58"/>
  <c r="CX12" i="58"/>
  <c r="CY12" i="58"/>
  <c r="CZ12" i="58"/>
  <c r="DA12" i="58"/>
  <c r="DB12" i="58"/>
  <c r="DC12" i="58"/>
  <c r="DD12" i="58"/>
  <c r="CH12" i="57"/>
  <c r="CI12" i="57"/>
  <c r="CJ12" i="57"/>
  <c r="CK12" i="57"/>
  <c r="CL12" i="57"/>
  <c r="CM12" i="57"/>
  <c r="CN12" i="57"/>
  <c r="CO12" i="57"/>
  <c r="CP12" i="57"/>
  <c r="CQ12" i="57"/>
  <c r="CR12" i="57"/>
  <c r="CS12" i="57"/>
  <c r="CT12" i="57"/>
  <c r="CU12" i="57"/>
  <c r="CV12" i="57"/>
  <c r="CW12" i="57"/>
  <c r="CX12" i="57"/>
  <c r="CY12" i="57"/>
  <c r="CZ12" i="57"/>
  <c r="DA12" i="57"/>
  <c r="DB12" i="57"/>
  <c r="DC12" i="57"/>
  <c r="DD12" i="57"/>
  <c r="DE12" i="57"/>
  <c r="CG12" i="59"/>
  <c r="CH12" i="59"/>
  <c r="CI12" i="59"/>
  <c r="CJ12" i="59"/>
  <c r="CK12" i="59"/>
  <c r="CL12" i="59"/>
  <c r="CM12" i="59"/>
  <c r="CN12" i="59"/>
  <c r="CO12" i="59"/>
  <c r="CP12" i="59"/>
  <c r="CQ12" i="59"/>
  <c r="CR12" i="59"/>
  <c r="CS12" i="59"/>
  <c r="CT12" i="59"/>
  <c r="CU12" i="59"/>
  <c r="CV12" i="59"/>
  <c r="CW12" i="59"/>
  <c r="CX12" i="59"/>
  <c r="CY12" i="59"/>
  <c r="CZ12" i="59"/>
  <c r="DA12" i="59"/>
  <c r="DB12" i="59"/>
  <c r="DC12" i="59"/>
  <c r="DD12" i="59"/>
  <c r="CG12" i="60"/>
  <c r="CH12" i="60"/>
  <c r="CI12" i="60"/>
  <c r="CJ12" i="60"/>
  <c r="CK12" i="60"/>
  <c r="CL12" i="60"/>
  <c r="CM12" i="60"/>
  <c r="CN12" i="60"/>
  <c r="CO12" i="60"/>
  <c r="CP12" i="60"/>
  <c r="CQ12" i="60"/>
  <c r="CR12" i="60"/>
  <c r="CS12" i="60"/>
  <c r="CT12" i="60"/>
  <c r="CU12" i="60"/>
  <c r="CV12" i="60"/>
  <c r="CW12" i="60"/>
  <c r="CX12" i="60"/>
  <c r="CY12" i="60"/>
  <c r="CZ12" i="60"/>
  <c r="DA12" i="60"/>
  <c r="DB12" i="60"/>
  <c r="DC12" i="60"/>
  <c r="DD12" i="60"/>
  <c r="CG12" i="61"/>
  <c r="CH12" i="61"/>
  <c r="CI12" i="61"/>
  <c r="CJ12" i="61"/>
  <c r="CK12" i="61"/>
  <c r="CL12" i="61"/>
  <c r="CM12" i="61"/>
  <c r="CN12" i="61"/>
  <c r="CO12" i="61"/>
  <c r="CP12" i="61"/>
  <c r="CQ12" i="61"/>
  <c r="CR12" i="61"/>
  <c r="CS12" i="61"/>
  <c r="CT12" i="61"/>
  <c r="CU12" i="61"/>
  <c r="CV12" i="61"/>
  <c r="CW12" i="61"/>
  <c r="CX12" i="61"/>
  <c r="CY12" i="61"/>
  <c r="CZ12" i="61"/>
  <c r="DA12" i="61"/>
  <c r="DB12" i="61"/>
  <c r="DC12" i="61"/>
  <c r="DD12" i="61"/>
  <c r="CG12" i="31"/>
  <c r="CH12" i="31"/>
  <c r="CI12" i="31"/>
  <c r="CJ12" i="31"/>
  <c r="CK12" i="31"/>
  <c r="CL12" i="31"/>
  <c r="CM12" i="31"/>
  <c r="CN12" i="31"/>
  <c r="CO12" i="31"/>
  <c r="CP12" i="31"/>
  <c r="CQ12" i="31"/>
  <c r="CR12" i="31"/>
  <c r="CS12" i="31"/>
  <c r="CT12" i="31"/>
  <c r="CU12" i="31"/>
  <c r="CV12" i="31"/>
  <c r="CW12" i="31"/>
  <c r="CX12" i="31"/>
  <c r="CY12" i="31"/>
  <c r="CZ12" i="31"/>
  <c r="DA12" i="31"/>
  <c r="DB12" i="31"/>
  <c r="DC12" i="31"/>
  <c r="DD12" i="31"/>
  <c r="CG11" i="36"/>
  <c r="CH11" i="36"/>
  <c r="CI11" i="36"/>
  <c r="CJ11" i="36"/>
  <c r="CK11" i="36"/>
  <c r="CL11" i="36"/>
  <c r="CM11" i="36"/>
  <c r="CN11" i="36"/>
  <c r="CO11" i="36"/>
  <c r="CP11" i="36"/>
  <c r="CQ11" i="36"/>
  <c r="CR11" i="36"/>
  <c r="CS11" i="36"/>
  <c r="CT11" i="36"/>
  <c r="CU11" i="36"/>
  <c r="CV11" i="36"/>
  <c r="CW11" i="36"/>
  <c r="CX11" i="36"/>
  <c r="CY11" i="36"/>
  <c r="CZ11" i="36"/>
  <c r="DA11" i="36"/>
  <c r="DB11" i="36"/>
  <c r="DC11" i="36"/>
  <c r="DD11" i="36"/>
  <c r="CG11" i="35"/>
  <c r="CH11" i="35"/>
  <c r="CI11" i="35"/>
  <c r="CJ11" i="35"/>
  <c r="CK11" i="35"/>
  <c r="CL11" i="35"/>
  <c r="CM11" i="35"/>
  <c r="CN11" i="35"/>
  <c r="CO11" i="35"/>
  <c r="CP11" i="35"/>
  <c r="CQ11" i="35"/>
  <c r="CR11" i="35"/>
  <c r="CS11" i="35"/>
  <c r="CT11" i="35"/>
  <c r="CU11" i="35"/>
  <c r="CV11" i="35"/>
  <c r="CW11" i="35"/>
  <c r="CX11" i="35"/>
  <c r="CY11" i="35"/>
  <c r="CZ11" i="35"/>
  <c r="DA11" i="35"/>
  <c r="DB11" i="35"/>
  <c r="DC11" i="35"/>
  <c r="DD11" i="35"/>
  <c r="CG11" i="33"/>
  <c r="CH11" i="33"/>
  <c r="CI11" i="33"/>
  <c r="CJ11" i="33"/>
  <c r="CK11" i="33"/>
  <c r="CL11" i="33"/>
  <c r="CM11" i="33"/>
  <c r="CN11" i="33"/>
  <c r="CO11" i="33"/>
  <c r="CP11" i="33"/>
  <c r="CQ11" i="33"/>
  <c r="CR11" i="33"/>
  <c r="CS11" i="33"/>
  <c r="CT11" i="33"/>
  <c r="CU11" i="33"/>
  <c r="CV11" i="33"/>
  <c r="CW11" i="33"/>
  <c r="CX11" i="33"/>
  <c r="CY11" i="33"/>
  <c r="CZ11" i="33"/>
  <c r="DA11" i="33"/>
  <c r="DB11" i="33"/>
  <c r="DC11" i="33"/>
  <c r="DD11" i="33"/>
  <c r="CG11" i="34"/>
  <c r="CH11" i="34"/>
  <c r="CI11" i="34"/>
  <c r="CJ11" i="34"/>
  <c r="CK11" i="34"/>
  <c r="CL11" i="34"/>
  <c r="CM11" i="34"/>
  <c r="CN11" i="34"/>
  <c r="CO11" i="34"/>
  <c r="CP11" i="34"/>
  <c r="CQ11" i="34"/>
  <c r="CR11" i="34"/>
  <c r="CS11" i="34"/>
  <c r="CT11" i="34"/>
  <c r="CU11" i="34"/>
  <c r="CV11" i="34"/>
  <c r="CW11" i="34"/>
  <c r="CX11" i="34"/>
  <c r="CY11" i="34"/>
  <c r="CZ11" i="34"/>
  <c r="DA11" i="34"/>
  <c r="DB11" i="34"/>
  <c r="DC11" i="34"/>
  <c r="DD11" i="34"/>
  <c r="CG11" i="38"/>
  <c r="CH11" i="38"/>
  <c r="CI11" i="38"/>
  <c r="CJ11" i="38"/>
  <c r="CK11" i="38"/>
  <c r="CL11" i="38"/>
  <c r="CM11" i="38"/>
  <c r="CN11" i="38"/>
  <c r="CO11" i="38"/>
  <c r="CP11" i="38"/>
  <c r="CQ11" i="38"/>
  <c r="CR11" i="38"/>
  <c r="CS11" i="38"/>
  <c r="CT11" i="38"/>
  <c r="CU11" i="38"/>
  <c r="CV11" i="38"/>
  <c r="CW11" i="38"/>
  <c r="CX11" i="38"/>
  <c r="CY11" i="38"/>
  <c r="CZ11" i="38"/>
  <c r="DA11" i="38"/>
  <c r="DB11" i="38"/>
  <c r="DC11" i="38"/>
  <c r="DD11" i="38"/>
  <c r="CG11" i="40"/>
  <c r="CH11" i="40"/>
  <c r="CI11" i="40"/>
  <c r="CJ11" i="40"/>
  <c r="CK11" i="40"/>
  <c r="CL11" i="40"/>
  <c r="CM11" i="40"/>
  <c r="CN11" i="40"/>
  <c r="CO11" i="40"/>
  <c r="CP11" i="40"/>
  <c r="CQ11" i="40"/>
  <c r="CR11" i="40"/>
  <c r="CS11" i="40"/>
  <c r="CT11" i="40"/>
  <c r="CU11" i="40"/>
  <c r="CV11" i="40"/>
  <c r="CW11" i="40"/>
  <c r="CX11" i="40"/>
  <c r="CY11" i="40"/>
  <c r="CZ11" i="40"/>
  <c r="DA11" i="40"/>
  <c r="DB11" i="40"/>
  <c r="DC11" i="40"/>
  <c r="DD11" i="40"/>
  <c r="CG11" i="39"/>
  <c r="CH11" i="39"/>
  <c r="CI11" i="39"/>
  <c r="CJ11" i="39"/>
  <c r="CK11" i="39"/>
  <c r="CL11" i="39"/>
  <c r="CM11" i="39"/>
  <c r="CN11" i="39"/>
  <c r="CO11" i="39"/>
  <c r="CP11" i="39"/>
  <c r="CQ11" i="39"/>
  <c r="CR11" i="39"/>
  <c r="CS11" i="39"/>
  <c r="CT11" i="39"/>
  <c r="CU11" i="39"/>
  <c r="CV11" i="39"/>
  <c r="CW11" i="39"/>
  <c r="CX11" i="39"/>
  <c r="CY11" i="39"/>
  <c r="CZ11" i="39"/>
  <c r="DA11" i="39"/>
  <c r="DB11" i="39"/>
  <c r="DC11" i="39"/>
  <c r="DD11" i="39"/>
  <c r="CG11" i="41"/>
  <c r="CH11" i="41"/>
  <c r="CI11" i="41"/>
  <c r="CJ11" i="41"/>
  <c r="CK11" i="41"/>
  <c r="CL11" i="41"/>
  <c r="CM11" i="41"/>
  <c r="CN11" i="41"/>
  <c r="CO11" i="41"/>
  <c r="CP11" i="41"/>
  <c r="CQ11" i="41"/>
  <c r="CR11" i="41"/>
  <c r="CS11" i="41"/>
  <c r="CT11" i="41"/>
  <c r="CU11" i="41"/>
  <c r="CV11" i="41"/>
  <c r="CW11" i="41"/>
  <c r="CX11" i="41"/>
  <c r="CY11" i="41"/>
  <c r="CZ11" i="41"/>
  <c r="DA11" i="41"/>
  <c r="DB11" i="41"/>
  <c r="DC11" i="41"/>
  <c r="DD11" i="41"/>
  <c r="CG11" i="44"/>
  <c r="CH11" i="44"/>
  <c r="CI11" i="44"/>
  <c r="CJ11" i="44"/>
  <c r="CK11" i="44"/>
  <c r="CL11" i="44"/>
  <c r="CM11" i="44"/>
  <c r="CN11" i="44"/>
  <c r="CO11" i="44"/>
  <c r="CP11" i="44"/>
  <c r="CQ11" i="44"/>
  <c r="CR11" i="44"/>
  <c r="CS11" i="44"/>
  <c r="CT11" i="44"/>
  <c r="CU11" i="44"/>
  <c r="CV11" i="44"/>
  <c r="CW11" i="44"/>
  <c r="CX11" i="44"/>
  <c r="CY11" i="44"/>
  <c r="CZ11" i="44"/>
  <c r="DA11" i="44"/>
  <c r="DB11" i="44"/>
  <c r="DC11" i="44"/>
  <c r="DD11" i="44"/>
  <c r="CG11" i="42"/>
  <c r="CH11" i="42"/>
  <c r="CI11" i="42"/>
  <c r="CJ11" i="42"/>
  <c r="CK11" i="42"/>
  <c r="CL11" i="42"/>
  <c r="CM11" i="42"/>
  <c r="CN11" i="42"/>
  <c r="CO11" i="42"/>
  <c r="CP11" i="42"/>
  <c r="CQ11" i="42"/>
  <c r="CR11" i="42"/>
  <c r="CS11" i="42"/>
  <c r="CT11" i="42"/>
  <c r="CU11" i="42"/>
  <c r="CV11" i="42"/>
  <c r="CW11" i="42"/>
  <c r="CX11" i="42"/>
  <c r="CY11" i="42"/>
  <c r="CZ11" i="42"/>
  <c r="DA11" i="42"/>
  <c r="DB11" i="42"/>
  <c r="DC11" i="42"/>
  <c r="DD11" i="42"/>
  <c r="CG11" i="43"/>
  <c r="CH11" i="43"/>
  <c r="CI11" i="43"/>
  <c r="CJ11" i="43"/>
  <c r="CK11" i="43"/>
  <c r="CL11" i="43"/>
  <c r="CM11" i="43"/>
  <c r="CN11" i="43"/>
  <c r="CO11" i="43"/>
  <c r="CP11" i="43"/>
  <c r="CQ11" i="43"/>
  <c r="CR11" i="43"/>
  <c r="CS11" i="43"/>
  <c r="CT11" i="43"/>
  <c r="CU11" i="43"/>
  <c r="CV11" i="43"/>
  <c r="CW11" i="43"/>
  <c r="CX11" i="43"/>
  <c r="CY11" i="43"/>
  <c r="CZ11" i="43"/>
  <c r="DA11" i="43"/>
  <c r="DB11" i="43"/>
  <c r="DC11" i="43"/>
  <c r="DD11" i="43"/>
  <c r="CG11" i="49"/>
  <c r="CH11" i="49"/>
  <c r="CI11" i="49"/>
  <c r="CJ11" i="49"/>
  <c r="CK11" i="49"/>
  <c r="CL11" i="49"/>
  <c r="CM11" i="49"/>
  <c r="CN11" i="49"/>
  <c r="CO11" i="49"/>
  <c r="CP11" i="49"/>
  <c r="CQ11" i="49"/>
  <c r="CR11" i="49"/>
  <c r="CS11" i="49"/>
  <c r="CT11" i="49"/>
  <c r="CU11" i="49"/>
  <c r="CV11" i="49"/>
  <c r="CW11" i="49"/>
  <c r="CX11" i="49"/>
  <c r="CY11" i="49"/>
  <c r="CZ11" i="49"/>
  <c r="DA11" i="49"/>
  <c r="DB11" i="49"/>
  <c r="DC11" i="49"/>
  <c r="DD11" i="49"/>
  <c r="CG11" i="50"/>
  <c r="CH11" i="50"/>
  <c r="CI11" i="50"/>
  <c r="CJ11" i="50"/>
  <c r="CK11" i="50"/>
  <c r="CL11" i="50"/>
  <c r="CM11" i="50"/>
  <c r="CN11" i="50"/>
  <c r="CO11" i="50"/>
  <c r="CP11" i="50"/>
  <c r="CQ11" i="50"/>
  <c r="CR11" i="50"/>
  <c r="CS11" i="50"/>
  <c r="CT11" i="50"/>
  <c r="CU11" i="50"/>
  <c r="CV11" i="50"/>
  <c r="CW11" i="50"/>
  <c r="CX11" i="50"/>
  <c r="CY11" i="50"/>
  <c r="CZ11" i="50"/>
  <c r="DA11" i="50"/>
  <c r="DB11" i="50"/>
  <c r="DC11" i="50"/>
  <c r="DD11" i="50"/>
  <c r="CG11" i="67"/>
  <c r="CH11" i="67"/>
  <c r="CI11" i="67"/>
  <c r="CJ11" i="67"/>
  <c r="CK11" i="67"/>
  <c r="CL11" i="67"/>
  <c r="CM11" i="67"/>
  <c r="CN11" i="67"/>
  <c r="CO11" i="67"/>
  <c r="CP11" i="67"/>
  <c r="CQ11" i="67"/>
  <c r="CR11" i="67"/>
  <c r="CS11" i="67"/>
  <c r="CT11" i="67"/>
  <c r="CU11" i="67"/>
  <c r="CV11" i="67"/>
  <c r="CW11" i="67"/>
  <c r="CX11" i="67"/>
  <c r="CY11" i="67"/>
  <c r="CZ11" i="67"/>
  <c r="DA11" i="67"/>
  <c r="DB11" i="67"/>
  <c r="DC11" i="67"/>
  <c r="DD11" i="67"/>
  <c r="CG11" i="51"/>
  <c r="CH11" i="51"/>
  <c r="CI11" i="51"/>
  <c r="CJ11" i="51"/>
  <c r="CK11" i="51"/>
  <c r="CL11" i="51"/>
  <c r="CM11" i="51"/>
  <c r="CN11" i="51"/>
  <c r="CO11" i="51"/>
  <c r="CP11" i="51"/>
  <c r="CQ11" i="51"/>
  <c r="CR11" i="51"/>
  <c r="CS11" i="51"/>
  <c r="CT11" i="51"/>
  <c r="CU11" i="51"/>
  <c r="CV11" i="51"/>
  <c r="CW11" i="51"/>
  <c r="CX11" i="51"/>
  <c r="CY11" i="51"/>
  <c r="CZ11" i="51"/>
  <c r="DA11" i="51"/>
  <c r="DB11" i="51"/>
  <c r="DC11" i="51"/>
  <c r="DD11" i="51"/>
  <c r="CG11" i="52"/>
  <c r="CH11" i="52"/>
  <c r="CI11" i="52"/>
  <c r="CJ11" i="52"/>
  <c r="CK11" i="52"/>
  <c r="CL11" i="52"/>
  <c r="CM11" i="52"/>
  <c r="CN11" i="52"/>
  <c r="CO11" i="52"/>
  <c r="CP11" i="52"/>
  <c r="CQ11" i="52"/>
  <c r="CR11" i="52"/>
  <c r="CS11" i="52"/>
  <c r="CT11" i="52"/>
  <c r="CU11" i="52"/>
  <c r="CV11" i="52"/>
  <c r="CW11" i="52"/>
  <c r="CX11" i="52"/>
  <c r="CY11" i="52"/>
  <c r="CZ11" i="52"/>
  <c r="DA11" i="52"/>
  <c r="DB11" i="52"/>
  <c r="DC11" i="52"/>
  <c r="DD11" i="52"/>
  <c r="CG11" i="53"/>
  <c r="CH11" i="53"/>
  <c r="CI11" i="53"/>
  <c r="CJ11" i="53"/>
  <c r="CK11" i="53"/>
  <c r="CL11" i="53"/>
  <c r="CM11" i="53"/>
  <c r="CN11" i="53"/>
  <c r="CO11" i="53"/>
  <c r="CP11" i="53"/>
  <c r="CQ11" i="53"/>
  <c r="CR11" i="53"/>
  <c r="CS11" i="53"/>
  <c r="CT11" i="53"/>
  <c r="CU11" i="53"/>
  <c r="CV11" i="53"/>
  <c r="CW11" i="53"/>
  <c r="CX11" i="53"/>
  <c r="CY11" i="53"/>
  <c r="CZ11" i="53"/>
  <c r="DA11" i="53"/>
  <c r="DB11" i="53"/>
  <c r="DC11" i="53"/>
  <c r="DD11" i="53"/>
  <c r="CG11" i="54"/>
  <c r="CH11" i="54"/>
  <c r="CI11" i="54"/>
  <c r="CJ11" i="54"/>
  <c r="CK11" i="54"/>
  <c r="CL11" i="54"/>
  <c r="CM11" i="54"/>
  <c r="CN11" i="54"/>
  <c r="CO11" i="54"/>
  <c r="CP11" i="54"/>
  <c r="CQ11" i="54"/>
  <c r="CR11" i="54"/>
  <c r="CS11" i="54"/>
  <c r="CT11" i="54"/>
  <c r="CU11" i="54"/>
  <c r="CV11" i="54"/>
  <c r="CW11" i="54"/>
  <c r="CX11" i="54"/>
  <c r="CY11" i="54"/>
  <c r="CZ11" i="54"/>
  <c r="DA11" i="54"/>
  <c r="DB11" i="54"/>
  <c r="DC11" i="54"/>
  <c r="DD11" i="54"/>
  <c r="CG11" i="55"/>
  <c r="CH11" i="55"/>
  <c r="CI11" i="55"/>
  <c r="CJ11" i="55"/>
  <c r="CK11" i="55"/>
  <c r="CL11" i="55"/>
  <c r="CM11" i="55"/>
  <c r="CN11" i="55"/>
  <c r="CO11" i="55"/>
  <c r="CP11" i="55"/>
  <c r="CQ11" i="55"/>
  <c r="CR11" i="55"/>
  <c r="CS11" i="55"/>
  <c r="CT11" i="55"/>
  <c r="CU11" i="55"/>
  <c r="CV11" i="55"/>
  <c r="CW11" i="55"/>
  <c r="CX11" i="55"/>
  <c r="CY11" i="55"/>
  <c r="CZ11" i="55"/>
  <c r="DA11" i="55"/>
  <c r="DB11" i="55"/>
  <c r="DC11" i="55"/>
  <c r="DD11" i="55"/>
  <c r="CI11" i="47"/>
  <c r="CJ11" i="47"/>
  <c r="CK11" i="47"/>
  <c r="CL11" i="47"/>
  <c r="CM11" i="47"/>
  <c r="CN11" i="47"/>
  <c r="CO11" i="47"/>
  <c r="CP11" i="47"/>
  <c r="CQ11" i="47"/>
  <c r="CR11" i="47"/>
  <c r="CS11" i="47"/>
  <c r="CT11" i="47"/>
  <c r="CU11" i="47"/>
  <c r="CV11" i="47"/>
  <c r="CW11" i="47"/>
  <c r="CX11" i="47"/>
  <c r="CY11" i="47"/>
  <c r="CZ11" i="47"/>
  <c r="DA11" i="47"/>
  <c r="DB11" i="47"/>
  <c r="DC11" i="47"/>
  <c r="DD11" i="47"/>
  <c r="DE11" i="47"/>
  <c r="DF11" i="47"/>
  <c r="CG11" i="45"/>
  <c r="CH11" i="45"/>
  <c r="CI11" i="45"/>
  <c r="CJ11" i="45"/>
  <c r="CK11" i="45"/>
  <c r="CL11" i="45"/>
  <c r="CM11" i="45"/>
  <c r="CN11" i="45"/>
  <c r="CO11" i="45"/>
  <c r="CP11" i="45"/>
  <c r="CQ11" i="45"/>
  <c r="CR11" i="45"/>
  <c r="CS11" i="45"/>
  <c r="CT11" i="45"/>
  <c r="CU11" i="45"/>
  <c r="CV11" i="45"/>
  <c r="CW11" i="45"/>
  <c r="CX11" i="45"/>
  <c r="CY11" i="45"/>
  <c r="CZ11" i="45"/>
  <c r="DA11" i="45"/>
  <c r="DB11" i="45"/>
  <c r="DC11" i="45"/>
  <c r="DD11" i="45"/>
  <c r="CG11" i="48"/>
  <c r="CH11" i="48"/>
  <c r="CI11" i="48"/>
  <c r="CJ11" i="48"/>
  <c r="CK11" i="48"/>
  <c r="CL11" i="48"/>
  <c r="CM11" i="48"/>
  <c r="CN11" i="48"/>
  <c r="CO11" i="48"/>
  <c r="CP11" i="48"/>
  <c r="CQ11" i="48"/>
  <c r="CR11" i="48"/>
  <c r="CS11" i="48"/>
  <c r="CT11" i="48"/>
  <c r="CU11" i="48"/>
  <c r="CV11" i="48"/>
  <c r="CW11" i="48"/>
  <c r="CX11" i="48"/>
  <c r="CY11" i="48"/>
  <c r="CZ11" i="48"/>
  <c r="DA11" i="48"/>
  <c r="DB11" i="48"/>
  <c r="DC11" i="48"/>
  <c r="DD11" i="48"/>
  <c r="CG11" i="46"/>
  <c r="CH11" i="46"/>
  <c r="CI11" i="46"/>
  <c r="CJ11" i="46"/>
  <c r="CK11" i="46"/>
  <c r="CL11" i="46"/>
  <c r="CM11" i="46"/>
  <c r="CN11" i="46"/>
  <c r="CO11" i="46"/>
  <c r="CP11" i="46"/>
  <c r="CQ11" i="46"/>
  <c r="CR11" i="46"/>
  <c r="CS11" i="46"/>
  <c r="CT11" i="46"/>
  <c r="CU11" i="46"/>
  <c r="CV11" i="46"/>
  <c r="CW11" i="46"/>
  <c r="CX11" i="46"/>
  <c r="CY11" i="46"/>
  <c r="CZ11" i="46"/>
  <c r="DA11" i="46"/>
  <c r="DB11" i="46"/>
  <c r="DC11" i="46"/>
  <c r="DD11" i="46"/>
  <c r="CG11" i="56"/>
  <c r="CH11" i="56"/>
  <c r="CI11" i="56"/>
  <c r="CJ11" i="56"/>
  <c r="CK11" i="56"/>
  <c r="CL11" i="56"/>
  <c r="CM11" i="56"/>
  <c r="CN11" i="56"/>
  <c r="CO11" i="56"/>
  <c r="CP11" i="56"/>
  <c r="CQ11" i="56"/>
  <c r="CR11" i="56"/>
  <c r="CS11" i="56"/>
  <c r="CT11" i="56"/>
  <c r="CU11" i="56"/>
  <c r="CV11" i="56"/>
  <c r="CW11" i="56"/>
  <c r="CX11" i="56"/>
  <c r="CY11" i="56"/>
  <c r="CZ11" i="56"/>
  <c r="DA11" i="56"/>
  <c r="DB11" i="56"/>
  <c r="DC11" i="56"/>
  <c r="DD11" i="56"/>
  <c r="CG11" i="58"/>
  <c r="CH11" i="58"/>
  <c r="CI11" i="58"/>
  <c r="CJ11" i="58"/>
  <c r="CK11" i="58"/>
  <c r="CL11" i="58"/>
  <c r="CM11" i="58"/>
  <c r="CN11" i="58"/>
  <c r="CO11" i="58"/>
  <c r="CP11" i="58"/>
  <c r="CQ11" i="58"/>
  <c r="CR11" i="58"/>
  <c r="CS11" i="58"/>
  <c r="CT11" i="58"/>
  <c r="CU11" i="58"/>
  <c r="CV11" i="58"/>
  <c r="CW11" i="58"/>
  <c r="CX11" i="58"/>
  <c r="CY11" i="58"/>
  <c r="CZ11" i="58"/>
  <c r="DA11" i="58"/>
  <c r="DB11" i="58"/>
  <c r="DC11" i="58"/>
  <c r="DD11" i="58"/>
  <c r="CH11" i="57"/>
  <c r="CI11" i="57"/>
  <c r="CJ11" i="57"/>
  <c r="CK11" i="57"/>
  <c r="CL11" i="57"/>
  <c r="CM11" i="57"/>
  <c r="CN11" i="57"/>
  <c r="CO11" i="57"/>
  <c r="CP11" i="57"/>
  <c r="CQ11" i="57"/>
  <c r="CR11" i="57"/>
  <c r="CS11" i="57"/>
  <c r="CT11" i="57"/>
  <c r="CU11" i="57"/>
  <c r="CV11" i="57"/>
  <c r="CW11" i="57"/>
  <c r="CX11" i="57"/>
  <c r="CY11" i="57"/>
  <c r="CZ11" i="57"/>
  <c r="DA11" i="57"/>
  <c r="DB11" i="57"/>
  <c r="DC11" i="57"/>
  <c r="DD11" i="57"/>
  <c r="DE11" i="57"/>
  <c r="CG11" i="59"/>
  <c r="CH11" i="59"/>
  <c r="CI11" i="59"/>
  <c r="CJ11" i="59"/>
  <c r="CK11" i="59"/>
  <c r="CL11" i="59"/>
  <c r="CM11" i="59"/>
  <c r="CN11" i="59"/>
  <c r="CO11" i="59"/>
  <c r="CP11" i="59"/>
  <c r="CQ11" i="59"/>
  <c r="CR11" i="59"/>
  <c r="CS11" i="59"/>
  <c r="CT11" i="59"/>
  <c r="CU11" i="59"/>
  <c r="CV11" i="59"/>
  <c r="CW11" i="59"/>
  <c r="CX11" i="59"/>
  <c r="CY11" i="59"/>
  <c r="CZ11" i="59"/>
  <c r="DA11" i="59"/>
  <c r="DB11" i="59"/>
  <c r="DC11" i="59"/>
  <c r="DD11" i="59"/>
  <c r="CG11" i="60"/>
  <c r="CH11" i="60"/>
  <c r="CI11" i="60"/>
  <c r="CJ11" i="60"/>
  <c r="CK11" i="60"/>
  <c r="CL11" i="60"/>
  <c r="CM11" i="60"/>
  <c r="CN11" i="60"/>
  <c r="CO11" i="60"/>
  <c r="CP11" i="60"/>
  <c r="CQ11" i="60"/>
  <c r="CR11" i="60"/>
  <c r="CS11" i="60"/>
  <c r="CT11" i="60"/>
  <c r="CU11" i="60"/>
  <c r="CV11" i="60"/>
  <c r="CW11" i="60"/>
  <c r="CX11" i="60"/>
  <c r="CY11" i="60"/>
  <c r="CZ11" i="60"/>
  <c r="DA11" i="60"/>
  <c r="DB11" i="60"/>
  <c r="DC11" i="60"/>
  <c r="DD11" i="60"/>
  <c r="CG11" i="61"/>
  <c r="CH11" i="61"/>
  <c r="CI11" i="61"/>
  <c r="CJ11" i="61"/>
  <c r="CK11" i="61"/>
  <c r="CL11" i="61"/>
  <c r="CM11" i="61"/>
  <c r="CN11" i="61"/>
  <c r="CO11" i="61"/>
  <c r="CP11" i="61"/>
  <c r="CQ11" i="61"/>
  <c r="CR11" i="61"/>
  <c r="CS11" i="61"/>
  <c r="CT11" i="61"/>
  <c r="CU11" i="61"/>
  <c r="CV11" i="61"/>
  <c r="CW11" i="61"/>
  <c r="CX11" i="61"/>
  <c r="CY11" i="61"/>
  <c r="CZ11" i="61"/>
  <c r="DA11" i="61"/>
  <c r="DB11" i="61"/>
  <c r="DC11" i="61"/>
  <c r="DD11" i="61"/>
  <c r="CG11" i="31"/>
  <c r="CH11" i="31"/>
  <c r="CI11" i="31"/>
  <c r="CJ11" i="31"/>
  <c r="CK11" i="31"/>
  <c r="CL11" i="31"/>
  <c r="CM11" i="31"/>
  <c r="CN11" i="31"/>
  <c r="CO11" i="31"/>
  <c r="CP11" i="31"/>
  <c r="CQ11" i="31"/>
  <c r="CR11" i="31"/>
  <c r="CS11" i="31"/>
  <c r="CT11" i="31"/>
  <c r="CU11" i="31"/>
  <c r="CV11" i="31"/>
  <c r="CW11" i="31"/>
  <c r="CX11" i="31"/>
  <c r="CY11" i="31"/>
  <c r="CZ11" i="31"/>
  <c r="DA11" i="31"/>
  <c r="DB11" i="31"/>
  <c r="DC11" i="31"/>
  <c r="DD11" i="31"/>
  <c r="CG10" i="36"/>
  <c r="CH10" i="36"/>
  <c r="CI10" i="36"/>
  <c r="CJ10" i="36"/>
  <c r="CK10" i="36"/>
  <c r="CL10" i="36"/>
  <c r="CM10" i="36"/>
  <c r="CN10" i="36"/>
  <c r="CO10" i="36"/>
  <c r="CP10" i="36"/>
  <c r="CQ10" i="36"/>
  <c r="CR10" i="36"/>
  <c r="CS10" i="36"/>
  <c r="CT10" i="36"/>
  <c r="CU10" i="36"/>
  <c r="CV10" i="36"/>
  <c r="CW10" i="36"/>
  <c r="CX10" i="36"/>
  <c r="CY10" i="36"/>
  <c r="CZ10" i="36"/>
  <c r="DA10" i="36"/>
  <c r="DB10" i="36"/>
  <c r="DC10" i="36"/>
  <c r="DD10" i="36"/>
  <c r="CG10" i="35"/>
  <c r="CH10" i="35"/>
  <c r="CI10" i="35"/>
  <c r="CJ10" i="35"/>
  <c r="CK10" i="35"/>
  <c r="CL10" i="35"/>
  <c r="CM10" i="35"/>
  <c r="CN10" i="35"/>
  <c r="CO10" i="35"/>
  <c r="CP10" i="35"/>
  <c r="CQ10" i="35"/>
  <c r="CR10" i="35"/>
  <c r="CS10" i="35"/>
  <c r="CT10" i="35"/>
  <c r="CU10" i="35"/>
  <c r="CV10" i="35"/>
  <c r="CW10" i="35"/>
  <c r="CX10" i="35"/>
  <c r="CY10" i="35"/>
  <c r="CZ10" i="35"/>
  <c r="DA10" i="35"/>
  <c r="DB10" i="35"/>
  <c r="DC10" i="35"/>
  <c r="DD10" i="35"/>
  <c r="CG10" i="33"/>
  <c r="CH10" i="33"/>
  <c r="CI10" i="33"/>
  <c r="CJ10" i="33"/>
  <c r="CK10" i="33"/>
  <c r="CL10" i="33"/>
  <c r="CM10" i="33"/>
  <c r="CN10" i="33"/>
  <c r="CO10" i="33"/>
  <c r="CP10" i="33"/>
  <c r="CQ10" i="33"/>
  <c r="CR10" i="33"/>
  <c r="CS10" i="33"/>
  <c r="CT10" i="33"/>
  <c r="CU10" i="33"/>
  <c r="CV10" i="33"/>
  <c r="CW10" i="33"/>
  <c r="CX10" i="33"/>
  <c r="CY10" i="33"/>
  <c r="CZ10" i="33"/>
  <c r="DA10" i="33"/>
  <c r="DB10" i="33"/>
  <c r="DC10" i="33"/>
  <c r="DD10" i="33"/>
  <c r="CG10" i="34"/>
  <c r="CH10" i="34"/>
  <c r="CI10" i="34"/>
  <c r="CJ10" i="34"/>
  <c r="CK10" i="34"/>
  <c r="CL10" i="34"/>
  <c r="CM10" i="34"/>
  <c r="CN10" i="34"/>
  <c r="CO10" i="34"/>
  <c r="CP10" i="34"/>
  <c r="CQ10" i="34"/>
  <c r="CR10" i="34"/>
  <c r="CS10" i="34"/>
  <c r="CT10" i="34"/>
  <c r="CU10" i="34"/>
  <c r="CV10" i="34"/>
  <c r="CW10" i="34"/>
  <c r="CX10" i="34"/>
  <c r="CY10" i="34"/>
  <c r="CZ10" i="34"/>
  <c r="DA10" i="34"/>
  <c r="DB10" i="34"/>
  <c r="DC10" i="34"/>
  <c r="DD10" i="34"/>
  <c r="CG10" i="38"/>
  <c r="CH10" i="38"/>
  <c r="CI10" i="38"/>
  <c r="CJ10" i="38"/>
  <c r="CK10" i="38"/>
  <c r="CL10" i="38"/>
  <c r="CM10" i="38"/>
  <c r="CN10" i="38"/>
  <c r="CO10" i="38"/>
  <c r="CP10" i="38"/>
  <c r="CQ10" i="38"/>
  <c r="CR10" i="38"/>
  <c r="CS10" i="38"/>
  <c r="CT10" i="38"/>
  <c r="CU10" i="38"/>
  <c r="CV10" i="38"/>
  <c r="CW10" i="38"/>
  <c r="CX10" i="38"/>
  <c r="CY10" i="38"/>
  <c r="CZ10" i="38"/>
  <c r="DA10" i="38"/>
  <c r="DB10" i="38"/>
  <c r="DC10" i="38"/>
  <c r="DD10" i="38"/>
  <c r="CG10" i="40"/>
  <c r="CH10" i="40"/>
  <c r="CI10" i="40"/>
  <c r="CJ10" i="40"/>
  <c r="CK10" i="40"/>
  <c r="CL10" i="40"/>
  <c r="CM10" i="40"/>
  <c r="CN10" i="40"/>
  <c r="CO10" i="40"/>
  <c r="CP10" i="40"/>
  <c r="CQ10" i="40"/>
  <c r="CR10" i="40"/>
  <c r="CS10" i="40"/>
  <c r="CT10" i="40"/>
  <c r="CU10" i="40"/>
  <c r="CV10" i="40"/>
  <c r="CW10" i="40"/>
  <c r="CX10" i="40"/>
  <c r="CY10" i="40"/>
  <c r="CZ10" i="40"/>
  <c r="DA10" i="40"/>
  <c r="DB10" i="40"/>
  <c r="DC10" i="40"/>
  <c r="DD10" i="40"/>
  <c r="CG10" i="39"/>
  <c r="CH10" i="39"/>
  <c r="CI10" i="39"/>
  <c r="CJ10" i="39"/>
  <c r="CK10" i="39"/>
  <c r="CL10" i="39"/>
  <c r="CM10" i="39"/>
  <c r="CN10" i="39"/>
  <c r="CO10" i="39"/>
  <c r="CP10" i="39"/>
  <c r="CQ10" i="39"/>
  <c r="CR10" i="39"/>
  <c r="CS10" i="39"/>
  <c r="CT10" i="39"/>
  <c r="CU10" i="39"/>
  <c r="CV10" i="39"/>
  <c r="CW10" i="39"/>
  <c r="CX10" i="39"/>
  <c r="CY10" i="39"/>
  <c r="CZ10" i="39"/>
  <c r="DA10" i="39"/>
  <c r="DB10" i="39"/>
  <c r="DC10" i="39"/>
  <c r="DD10" i="39"/>
  <c r="CG10" i="41"/>
  <c r="CH10" i="41"/>
  <c r="CI10" i="41"/>
  <c r="CJ10" i="41"/>
  <c r="CK10" i="41"/>
  <c r="CL10" i="41"/>
  <c r="CM10" i="41"/>
  <c r="CN10" i="41"/>
  <c r="CO10" i="41"/>
  <c r="CP10" i="41"/>
  <c r="CQ10" i="41"/>
  <c r="CR10" i="41"/>
  <c r="CS10" i="41"/>
  <c r="CT10" i="41"/>
  <c r="CU10" i="41"/>
  <c r="CV10" i="41"/>
  <c r="CW10" i="41"/>
  <c r="CX10" i="41"/>
  <c r="CY10" i="41"/>
  <c r="CZ10" i="41"/>
  <c r="DA10" i="41"/>
  <c r="DB10" i="41"/>
  <c r="DC10" i="41"/>
  <c r="DD10" i="41"/>
  <c r="CG10" i="44"/>
  <c r="CH10" i="44"/>
  <c r="CI10" i="44"/>
  <c r="CJ10" i="44"/>
  <c r="CK10" i="44"/>
  <c r="CL10" i="44"/>
  <c r="CM10" i="44"/>
  <c r="CN10" i="44"/>
  <c r="CO10" i="44"/>
  <c r="CP10" i="44"/>
  <c r="CQ10" i="44"/>
  <c r="CR10" i="44"/>
  <c r="CS10" i="44"/>
  <c r="CT10" i="44"/>
  <c r="CU10" i="44"/>
  <c r="CV10" i="44"/>
  <c r="CW10" i="44"/>
  <c r="CX10" i="44"/>
  <c r="CY10" i="44"/>
  <c r="CZ10" i="44"/>
  <c r="DA10" i="44"/>
  <c r="DB10" i="44"/>
  <c r="DC10" i="44"/>
  <c r="DD10" i="44"/>
  <c r="CG10" i="42"/>
  <c r="CH10" i="42"/>
  <c r="CI10" i="42"/>
  <c r="CJ10" i="42"/>
  <c r="CK10" i="42"/>
  <c r="CL10" i="42"/>
  <c r="CM10" i="42"/>
  <c r="CN10" i="42"/>
  <c r="CO10" i="42"/>
  <c r="CP10" i="42"/>
  <c r="CQ10" i="42"/>
  <c r="CR10" i="42"/>
  <c r="CS10" i="42"/>
  <c r="CT10" i="42"/>
  <c r="CU10" i="42"/>
  <c r="CV10" i="42"/>
  <c r="CW10" i="42"/>
  <c r="CX10" i="42"/>
  <c r="CY10" i="42"/>
  <c r="CZ10" i="42"/>
  <c r="DA10" i="42"/>
  <c r="DB10" i="42"/>
  <c r="DC10" i="42"/>
  <c r="DD10" i="42"/>
  <c r="CG10" i="43"/>
  <c r="CH10" i="43"/>
  <c r="CI10" i="43"/>
  <c r="CJ10" i="43"/>
  <c r="CK10" i="43"/>
  <c r="CL10" i="43"/>
  <c r="CM10" i="43"/>
  <c r="CN10" i="43"/>
  <c r="CO10" i="43"/>
  <c r="CP10" i="43"/>
  <c r="CQ10" i="43"/>
  <c r="CR10" i="43"/>
  <c r="CS10" i="43"/>
  <c r="CT10" i="43"/>
  <c r="CU10" i="43"/>
  <c r="CV10" i="43"/>
  <c r="CW10" i="43"/>
  <c r="CX10" i="43"/>
  <c r="CY10" i="43"/>
  <c r="CZ10" i="43"/>
  <c r="DA10" i="43"/>
  <c r="DB10" i="43"/>
  <c r="DC10" i="43"/>
  <c r="DD10" i="43"/>
  <c r="CG10" i="49"/>
  <c r="CH10" i="49"/>
  <c r="CI10" i="49"/>
  <c r="CJ10" i="49"/>
  <c r="CK10" i="49"/>
  <c r="CL10" i="49"/>
  <c r="CM10" i="49"/>
  <c r="CN10" i="49"/>
  <c r="CO10" i="49"/>
  <c r="CP10" i="49"/>
  <c r="CQ10" i="49"/>
  <c r="CR10" i="49"/>
  <c r="CS10" i="49"/>
  <c r="CT10" i="49"/>
  <c r="CU10" i="49"/>
  <c r="CV10" i="49"/>
  <c r="CW10" i="49"/>
  <c r="CX10" i="49"/>
  <c r="CY10" i="49"/>
  <c r="CZ10" i="49"/>
  <c r="DA10" i="49"/>
  <c r="DB10" i="49"/>
  <c r="DC10" i="49"/>
  <c r="DD10" i="49"/>
  <c r="CG10" i="50"/>
  <c r="CH10" i="50"/>
  <c r="CI10" i="50"/>
  <c r="CJ10" i="50"/>
  <c r="CK10" i="50"/>
  <c r="CL10" i="50"/>
  <c r="CM10" i="50"/>
  <c r="CN10" i="50"/>
  <c r="CO10" i="50"/>
  <c r="CP10" i="50"/>
  <c r="CQ10" i="50"/>
  <c r="CR10" i="50"/>
  <c r="CS10" i="50"/>
  <c r="CT10" i="50"/>
  <c r="CU10" i="50"/>
  <c r="CV10" i="50"/>
  <c r="CW10" i="50"/>
  <c r="CX10" i="50"/>
  <c r="CY10" i="50"/>
  <c r="CZ10" i="50"/>
  <c r="DA10" i="50"/>
  <c r="DB10" i="50"/>
  <c r="DC10" i="50"/>
  <c r="DD10" i="50"/>
  <c r="CG10" i="67"/>
  <c r="CH10" i="67"/>
  <c r="CI10" i="67"/>
  <c r="CJ10" i="67"/>
  <c r="CK10" i="67"/>
  <c r="CL10" i="67"/>
  <c r="CM10" i="67"/>
  <c r="CN10" i="67"/>
  <c r="CO10" i="67"/>
  <c r="CP10" i="67"/>
  <c r="CQ10" i="67"/>
  <c r="CR10" i="67"/>
  <c r="CS10" i="67"/>
  <c r="CT10" i="67"/>
  <c r="CU10" i="67"/>
  <c r="CV10" i="67"/>
  <c r="CW10" i="67"/>
  <c r="CX10" i="67"/>
  <c r="CY10" i="67"/>
  <c r="CZ10" i="67"/>
  <c r="DA10" i="67"/>
  <c r="DB10" i="67"/>
  <c r="DC10" i="67"/>
  <c r="DD10" i="67"/>
  <c r="CG10" i="51"/>
  <c r="CH10" i="51"/>
  <c r="CI10" i="51"/>
  <c r="CJ10" i="51"/>
  <c r="CK10" i="51"/>
  <c r="CL10" i="51"/>
  <c r="CM10" i="51"/>
  <c r="CN10" i="51"/>
  <c r="CO10" i="51"/>
  <c r="CP10" i="51"/>
  <c r="CQ10" i="51"/>
  <c r="CR10" i="51"/>
  <c r="CS10" i="51"/>
  <c r="CT10" i="51"/>
  <c r="CU10" i="51"/>
  <c r="CV10" i="51"/>
  <c r="CW10" i="51"/>
  <c r="CX10" i="51"/>
  <c r="CY10" i="51"/>
  <c r="CZ10" i="51"/>
  <c r="DA10" i="51"/>
  <c r="DB10" i="51"/>
  <c r="DC10" i="51"/>
  <c r="DD10" i="51"/>
  <c r="CG10" i="52"/>
  <c r="CH10" i="52"/>
  <c r="CI10" i="52"/>
  <c r="CJ10" i="52"/>
  <c r="CK10" i="52"/>
  <c r="CL10" i="52"/>
  <c r="CM10" i="52"/>
  <c r="CN10" i="52"/>
  <c r="CO10" i="52"/>
  <c r="CP10" i="52"/>
  <c r="CQ10" i="52"/>
  <c r="CR10" i="52"/>
  <c r="CS10" i="52"/>
  <c r="CT10" i="52"/>
  <c r="CU10" i="52"/>
  <c r="CV10" i="52"/>
  <c r="CW10" i="52"/>
  <c r="CX10" i="52"/>
  <c r="CY10" i="52"/>
  <c r="CZ10" i="52"/>
  <c r="DA10" i="52"/>
  <c r="DB10" i="52"/>
  <c r="DC10" i="52"/>
  <c r="DD10" i="52"/>
  <c r="CG10" i="53"/>
  <c r="CH10" i="53"/>
  <c r="CI10" i="53"/>
  <c r="CJ10" i="53"/>
  <c r="CK10" i="53"/>
  <c r="CL10" i="53"/>
  <c r="CM10" i="53"/>
  <c r="CN10" i="53"/>
  <c r="CO10" i="53"/>
  <c r="CP10" i="53"/>
  <c r="CQ10" i="53"/>
  <c r="CR10" i="53"/>
  <c r="CS10" i="53"/>
  <c r="CT10" i="53"/>
  <c r="CU10" i="53"/>
  <c r="CV10" i="53"/>
  <c r="CW10" i="53"/>
  <c r="CX10" i="53"/>
  <c r="CY10" i="53"/>
  <c r="CZ10" i="53"/>
  <c r="DA10" i="53"/>
  <c r="DB10" i="53"/>
  <c r="DC10" i="53"/>
  <c r="DD10" i="53"/>
  <c r="CG10" i="54"/>
  <c r="CH10" i="54"/>
  <c r="CI10" i="54"/>
  <c r="CJ10" i="54"/>
  <c r="CK10" i="54"/>
  <c r="CL10" i="54"/>
  <c r="CM10" i="54"/>
  <c r="CN10" i="54"/>
  <c r="CO10" i="54"/>
  <c r="CP10" i="54"/>
  <c r="CQ10" i="54"/>
  <c r="CR10" i="54"/>
  <c r="CS10" i="54"/>
  <c r="CT10" i="54"/>
  <c r="CU10" i="54"/>
  <c r="CV10" i="54"/>
  <c r="CW10" i="54"/>
  <c r="CX10" i="54"/>
  <c r="CY10" i="54"/>
  <c r="CZ10" i="54"/>
  <c r="DA10" i="54"/>
  <c r="DB10" i="54"/>
  <c r="DC10" i="54"/>
  <c r="DD10" i="54"/>
  <c r="CG10" i="55"/>
  <c r="CH10" i="55"/>
  <c r="CI10" i="55"/>
  <c r="CJ10" i="55"/>
  <c r="CK10" i="55"/>
  <c r="CL10" i="55"/>
  <c r="CM10" i="55"/>
  <c r="CN10" i="55"/>
  <c r="CO10" i="55"/>
  <c r="CP10" i="55"/>
  <c r="CQ10" i="55"/>
  <c r="CR10" i="55"/>
  <c r="CS10" i="55"/>
  <c r="CT10" i="55"/>
  <c r="CU10" i="55"/>
  <c r="CV10" i="55"/>
  <c r="CW10" i="55"/>
  <c r="CX10" i="55"/>
  <c r="CY10" i="55"/>
  <c r="CZ10" i="55"/>
  <c r="DA10" i="55"/>
  <c r="DB10" i="55"/>
  <c r="DC10" i="55"/>
  <c r="DD10" i="55"/>
  <c r="CI10" i="47"/>
  <c r="CJ10" i="47"/>
  <c r="CK10" i="47"/>
  <c r="CL10" i="47"/>
  <c r="CM10" i="47"/>
  <c r="CN10" i="47"/>
  <c r="CO10" i="47"/>
  <c r="CP10" i="47"/>
  <c r="CQ10" i="47"/>
  <c r="CR10" i="47"/>
  <c r="CS10" i="47"/>
  <c r="CT10" i="47"/>
  <c r="CU10" i="47"/>
  <c r="CV10" i="47"/>
  <c r="CW10" i="47"/>
  <c r="CX10" i="47"/>
  <c r="CY10" i="47"/>
  <c r="CZ10" i="47"/>
  <c r="DA10" i="47"/>
  <c r="DB10" i="47"/>
  <c r="DC10" i="47"/>
  <c r="DD10" i="47"/>
  <c r="DE10" i="47"/>
  <c r="DF10" i="47"/>
  <c r="CG10" i="45"/>
  <c r="CH10" i="45"/>
  <c r="CI10" i="45"/>
  <c r="CJ10" i="45"/>
  <c r="CK10" i="45"/>
  <c r="CL10" i="45"/>
  <c r="CM10" i="45"/>
  <c r="CN10" i="45"/>
  <c r="CO10" i="45"/>
  <c r="CP10" i="45"/>
  <c r="CQ10" i="45"/>
  <c r="CR10" i="45"/>
  <c r="CS10" i="45"/>
  <c r="CT10" i="45"/>
  <c r="CU10" i="45"/>
  <c r="CV10" i="45"/>
  <c r="CW10" i="45"/>
  <c r="CX10" i="45"/>
  <c r="CY10" i="45"/>
  <c r="CZ10" i="45"/>
  <c r="DA10" i="45"/>
  <c r="DB10" i="45"/>
  <c r="DC10" i="45"/>
  <c r="DD10" i="45"/>
  <c r="CG10" i="48"/>
  <c r="CH10" i="48"/>
  <c r="CI10" i="48"/>
  <c r="CJ10" i="48"/>
  <c r="CK10" i="48"/>
  <c r="CL10" i="48"/>
  <c r="CM10" i="48"/>
  <c r="CN10" i="48"/>
  <c r="CO10" i="48"/>
  <c r="CP10" i="48"/>
  <c r="CQ10" i="48"/>
  <c r="CR10" i="48"/>
  <c r="CS10" i="48"/>
  <c r="CT10" i="48"/>
  <c r="CU10" i="48"/>
  <c r="CV10" i="48"/>
  <c r="CW10" i="48"/>
  <c r="CX10" i="48"/>
  <c r="CY10" i="48"/>
  <c r="CZ10" i="48"/>
  <c r="DA10" i="48"/>
  <c r="DB10" i="48"/>
  <c r="DC10" i="48"/>
  <c r="DD10" i="48"/>
  <c r="CG10" i="46"/>
  <c r="CH10" i="46"/>
  <c r="CI10" i="46"/>
  <c r="CJ10" i="46"/>
  <c r="CK10" i="46"/>
  <c r="CL10" i="46"/>
  <c r="CM10" i="46"/>
  <c r="CN10" i="46"/>
  <c r="CO10" i="46"/>
  <c r="CP10" i="46"/>
  <c r="CQ10" i="46"/>
  <c r="CR10" i="46"/>
  <c r="CS10" i="46"/>
  <c r="CT10" i="46"/>
  <c r="CU10" i="46"/>
  <c r="CV10" i="46"/>
  <c r="CW10" i="46"/>
  <c r="CX10" i="46"/>
  <c r="CY10" i="46"/>
  <c r="CZ10" i="46"/>
  <c r="DA10" i="46"/>
  <c r="DB10" i="46"/>
  <c r="DC10" i="46"/>
  <c r="DD10" i="46"/>
  <c r="CG10" i="56"/>
  <c r="CH10" i="56"/>
  <c r="CI10" i="56"/>
  <c r="CJ10" i="56"/>
  <c r="CK10" i="56"/>
  <c r="CL10" i="56"/>
  <c r="CM10" i="56"/>
  <c r="CN10" i="56"/>
  <c r="CO10" i="56"/>
  <c r="CP10" i="56"/>
  <c r="CQ10" i="56"/>
  <c r="CR10" i="56"/>
  <c r="CS10" i="56"/>
  <c r="CT10" i="56"/>
  <c r="CU10" i="56"/>
  <c r="CV10" i="56"/>
  <c r="CW10" i="56"/>
  <c r="CX10" i="56"/>
  <c r="CY10" i="56"/>
  <c r="CZ10" i="56"/>
  <c r="DA10" i="56"/>
  <c r="DB10" i="56"/>
  <c r="DC10" i="56"/>
  <c r="DD10" i="56"/>
  <c r="CG10" i="58"/>
  <c r="CH10" i="58"/>
  <c r="CI10" i="58"/>
  <c r="CJ10" i="58"/>
  <c r="CK10" i="58"/>
  <c r="CL10" i="58"/>
  <c r="CM10" i="58"/>
  <c r="CN10" i="58"/>
  <c r="CO10" i="58"/>
  <c r="CP10" i="58"/>
  <c r="CQ10" i="58"/>
  <c r="CR10" i="58"/>
  <c r="CS10" i="58"/>
  <c r="CT10" i="58"/>
  <c r="CU10" i="58"/>
  <c r="CV10" i="58"/>
  <c r="CW10" i="58"/>
  <c r="CX10" i="58"/>
  <c r="CY10" i="58"/>
  <c r="CZ10" i="58"/>
  <c r="DA10" i="58"/>
  <c r="DB10" i="58"/>
  <c r="DC10" i="58"/>
  <c r="DD10" i="58"/>
  <c r="CH10" i="57"/>
  <c r="CI10" i="57"/>
  <c r="CJ10" i="57"/>
  <c r="CK10" i="57"/>
  <c r="CL10" i="57"/>
  <c r="CM10" i="57"/>
  <c r="CN10" i="57"/>
  <c r="CO10" i="57"/>
  <c r="CP10" i="57"/>
  <c r="CQ10" i="57"/>
  <c r="CR10" i="57"/>
  <c r="CS10" i="57"/>
  <c r="CT10" i="57"/>
  <c r="CU10" i="57"/>
  <c r="CV10" i="57"/>
  <c r="CW10" i="57"/>
  <c r="CX10" i="57"/>
  <c r="CY10" i="57"/>
  <c r="CZ10" i="57"/>
  <c r="DA10" i="57"/>
  <c r="DB10" i="57"/>
  <c r="DC10" i="57"/>
  <c r="DD10" i="57"/>
  <c r="DE10" i="57"/>
  <c r="CG10" i="59"/>
  <c r="CH10" i="59"/>
  <c r="CI10" i="59"/>
  <c r="CJ10" i="59"/>
  <c r="CK10" i="59"/>
  <c r="CL10" i="59"/>
  <c r="CM10" i="59"/>
  <c r="CN10" i="59"/>
  <c r="CO10" i="59"/>
  <c r="CP10" i="59"/>
  <c r="CQ10" i="59"/>
  <c r="CR10" i="59"/>
  <c r="CS10" i="59"/>
  <c r="CT10" i="59"/>
  <c r="CU10" i="59"/>
  <c r="CV10" i="59"/>
  <c r="CW10" i="59"/>
  <c r="CX10" i="59"/>
  <c r="CY10" i="59"/>
  <c r="CZ10" i="59"/>
  <c r="DA10" i="59"/>
  <c r="DB10" i="59"/>
  <c r="DC10" i="59"/>
  <c r="DD10" i="59"/>
  <c r="CG10" i="60"/>
  <c r="CH10" i="60"/>
  <c r="CI10" i="60"/>
  <c r="CJ10" i="60"/>
  <c r="CK10" i="60"/>
  <c r="CL10" i="60"/>
  <c r="CM10" i="60"/>
  <c r="CN10" i="60"/>
  <c r="CO10" i="60"/>
  <c r="CP10" i="60"/>
  <c r="CQ10" i="60"/>
  <c r="CR10" i="60"/>
  <c r="CS10" i="60"/>
  <c r="CT10" i="60"/>
  <c r="CU10" i="60"/>
  <c r="CV10" i="60"/>
  <c r="CW10" i="60"/>
  <c r="CX10" i="60"/>
  <c r="CY10" i="60"/>
  <c r="CZ10" i="60"/>
  <c r="DA10" i="60"/>
  <c r="DB10" i="60"/>
  <c r="DC10" i="60"/>
  <c r="DD10" i="60"/>
  <c r="CG10" i="61"/>
  <c r="CH10" i="61"/>
  <c r="CI10" i="61"/>
  <c r="CJ10" i="61"/>
  <c r="CK10" i="61"/>
  <c r="CL10" i="61"/>
  <c r="CM10" i="61"/>
  <c r="CN10" i="61"/>
  <c r="CO10" i="61"/>
  <c r="CP10" i="61"/>
  <c r="CQ10" i="61"/>
  <c r="CR10" i="61"/>
  <c r="CS10" i="61"/>
  <c r="CT10" i="61"/>
  <c r="CU10" i="61"/>
  <c r="CV10" i="61"/>
  <c r="CW10" i="61"/>
  <c r="CX10" i="61"/>
  <c r="CY10" i="61"/>
  <c r="CZ10" i="61"/>
  <c r="DA10" i="61"/>
  <c r="DB10" i="61"/>
  <c r="DC10" i="61"/>
  <c r="DD10" i="61"/>
  <c r="CG10" i="31"/>
  <c r="CH10" i="31"/>
  <c r="CI10" i="31"/>
  <c r="CJ10" i="31"/>
  <c r="CK10" i="31"/>
  <c r="CL10" i="31"/>
  <c r="CM10" i="31"/>
  <c r="CN10" i="31"/>
  <c r="CO10" i="31"/>
  <c r="CP10" i="31"/>
  <c r="CQ10" i="31"/>
  <c r="CR10" i="31"/>
  <c r="CS10" i="31"/>
  <c r="CT10" i="31"/>
  <c r="CU10" i="31"/>
  <c r="CV10" i="31"/>
  <c r="CW10" i="31"/>
  <c r="CX10" i="31"/>
  <c r="CY10" i="31"/>
  <c r="CZ10" i="31"/>
  <c r="DA10" i="31"/>
  <c r="DB10" i="31"/>
  <c r="DC10" i="31"/>
  <c r="DD10" i="31"/>
  <c r="CG9" i="36"/>
  <c r="CH9" i="36"/>
  <c r="CI9" i="36"/>
  <c r="CJ9" i="36"/>
  <c r="CK9" i="36"/>
  <c r="CL9" i="36"/>
  <c r="CM9" i="36"/>
  <c r="CN9" i="36"/>
  <c r="CO9" i="36"/>
  <c r="CP9" i="36"/>
  <c r="CQ9" i="36"/>
  <c r="CR9" i="36"/>
  <c r="CS9" i="36"/>
  <c r="CT9" i="36"/>
  <c r="CU9" i="36"/>
  <c r="CV9" i="36"/>
  <c r="CW9" i="36"/>
  <c r="CX9" i="36"/>
  <c r="CY9" i="36"/>
  <c r="CZ9" i="36"/>
  <c r="DA9" i="36"/>
  <c r="DB9" i="36"/>
  <c r="DC9" i="36"/>
  <c r="DD9" i="36"/>
  <c r="CG9" i="35"/>
  <c r="CH9" i="35"/>
  <c r="CI9" i="35"/>
  <c r="CJ9" i="35"/>
  <c r="CK9" i="35"/>
  <c r="CL9" i="35"/>
  <c r="CM9" i="35"/>
  <c r="CN9" i="35"/>
  <c r="CO9" i="35"/>
  <c r="CP9" i="35"/>
  <c r="CQ9" i="35"/>
  <c r="CR9" i="35"/>
  <c r="CS9" i="35"/>
  <c r="CT9" i="35"/>
  <c r="CU9" i="35"/>
  <c r="CV9" i="35"/>
  <c r="CW9" i="35"/>
  <c r="CX9" i="35"/>
  <c r="CY9" i="35"/>
  <c r="CZ9" i="35"/>
  <c r="DA9" i="35"/>
  <c r="DB9" i="35"/>
  <c r="DC9" i="35"/>
  <c r="DD9" i="35"/>
  <c r="CG9" i="33"/>
  <c r="CH9" i="33"/>
  <c r="CI9" i="33"/>
  <c r="CJ9" i="33"/>
  <c r="CK9" i="33"/>
  <c r="CL9" i="33"/>
  <c r="CM9" i="33"/>
  <c r="CN9" i="33"/>
  <c r="CO9" i="33"/>
  <c r="CP9" i="33"/>
  <c r="CQ9" i="33"/>
  <c r="CR9" i="33"/>
  <c r="CS9" i="33"/>
  <c r="CT9" i="33"/>
  <c r="CU9" i="33"/>
  <c r="CV9" i="33"/>
  <c r="CW9" i="33"/>
  <c r="CX9" i="33"/>
  <c r="CY9" i="33"/>
  <c r="CZ9" i="33"/>
  <c r="DA9" i="33"/>
  <c r="DB9" i="33"/>
  <c r="DC9" i="33"/>
  <c r="DD9" i="33"/>
  <c r="CG9" i="34"/>
  <c r="CH9" i="34"/>
  <c r="CI9" i="34"/>
  <c r="CJ9" i="34"/>
  <c r="CK9" i="34"/>
  <c r="CL9" i="34"/>
  <c r="CM9" i="34"/>
  <c r="CN9" i="34"/>
  <c r="CO9" i="34"/>
  <c r="CP9" i="34"/>
  <c r="CQ9" i="34"/>
  <c r="CR9" i="34"/>
  <c r="CS9" i="34"/>
  <c r="CT9" i="34"/>
  <c r="CU9" i="34"/>
  <c r="CV9" i="34"/>
  <c r="CW9" i="34"/>
  <c r="CX9" i="34"/>
  <c r="CY9" i="34"/>
  <c r="CZ9" i="34"/>
  <c r="DA9" i="34"/>
  <c r="DB9" i="34"/>
  <c r="DC9" i="34"/>
  <c r="DD9" i="34"/>
  <c r="CG9" i="38"/>
  <c r="CH9" i="38"/>
  <c r="CI9" i="38"/>
  <c r="CJ9" i="38"/>
  <c r="CK9" i="38"/>
  <c r="CL9" i="38"/>
  <c r="CM9" i="38"/>
  <c r="CN9" i="38"/>
  <c r="CO9" i="38"/>
  <c r="CP9" i="38"/>
  <c r="CQ9" i="38"/>
  <c r="CR9" i="38"/>
  <c r="CS9" i="38"/>
  <c r="CT9" i="38"/>
  <c r="CU9" i="38"/>
  <c r="CV9" i="38"/>
  <c r="CW9" i="38"/>
  <c r="CX9" i="38"/>
  <c r="CY9" i="38"/>
  <c r="CZ9" i="38"/>
  <c r="DA9" i="38"/>
  <c r="DB9" i="38"/>
  <c r="DC9" i="38"/>
  <c r="DD9" i="38"/>
  <c r="CG9" i="40"/>
  <c r="CH9" i="40"/>
  <c r="CI9" i="40"/>
  <c r="CJ9" i="40"/>
  <c r="CK9" i="40"/>
  <c r="CL9" i="40"/>
  <c r="CM9" i="40"/>
  <c r="CN9" i="40"/>
  <c r="CO9" i="40"/>
  <c r="CP9" i="40"/>
  <c r="CQ9" i="40"/>
  <c r="CR9" i="40"/>
  <c r="CS9" i="40"/>
  <c r="CT9" i="40"/>
  <c r="CU9" i="40"/>
  <c r="CV9" i="40"/>
  <c r="CW9" i="40"/>
  <c r="CX9" i="40"/>
  <c r="CY9" i="40"/>
  <c r="CZ9" i="40"/>
  <c r="DA9" i="40"/>
  <c r="DB9" i="40"/>
  <c r="DC9" i="40"/>
  <c r="DD9" i="40"/>
  <c r="CG9" i="39"/>
  <c r="CH9" i="39"/>
  <c r="CI9" i="39"/>
  <c r="CJ9" i="39"/>
  <c r="CK9" i="39"/>
  <c r="CL9" i="39"/>
  <c r="CM9" i="39"/>
  <c r="CN9" i="39"/>
  <c r="CO9" i="39"/>
  <c r="CP9" i="39"/>
  <c r="CQ9" i="39"/>
  <c r="CR9" i="39"/>
  <c r="CS9" i="39"/>
  <c r="CT9" i="39"/>
  <c r="CU9" i="39"/>
  <c r="CV9" i="39"/>
  <c r="CW9" i="39"/>
  <c r="CX9" i="39"/>
  <c r="CY9" i="39"/>
  <c r="CZ9" i="39"/>
  <c r="DA9" i="39"/>
  <c r="DB9" i="39"/>
  <c r="DC9" i="39"/>
  <c r="DD9" i="39"/>
  <c r="CG9" i="41"/>
  <c r="CH9" i="41"/>
  <c r="CI9" i="41"/>
  <c r="CJ9" i="41"/>
  <c r="CK9" i="41"/>
  <c r="CL9" i="41"/>
  <c r="CM9" i="41"/>
  <c r="CN9" i="41"/>
  <c r="CO9" i="41"/>
  <c r="CP9" i="41"/>
  <c r="CQ9" i="41"/>
  <c r="CR9" i="41"/>
  <c r="CS9" i="41"/>
  <c r="CT9" i="41"/>
  <c r="CU9" i="41"/>
  <c r="CV9" i="41"/>
  <c r="CW9" i="41"/>
  <c r="CX9" i="41"/>
  <c r="CY9" i="41"/>
  <c r="CZ9" i="41"/>
  <c r="DA9" i="41"/>
  <c r="DB9" i="41"/>
  <c r="DC9" i="41"/>
  <c r="DD9" i="41"/>
  <c r="CG9" i="44"/>
  <c r="CH9" i="44"/>
  <c r="CI9" i="44"/>
  <c r="CJ9" i="44"/>
  <c r="CK9" i="44"/>
  <c r="CL9" i="44"/>
  <c r="CM9" i="44"/>
  <c r="CN9" i="44"/>
  <c r="CO9" i="44"/>
  <c r="CP9" i="44"/>
  <c r="CQ9" i="44"/>
  <c r="CR9" i="44"/>
  <c r="CS9" i="44"/>
  <c r="CT9" i="44"/>
  <c r="CU9" i="44"/>
  <c r="CV9" i="44"/>
  <c r="CW9" i="44"/>
  <c r="CX9" i="44"/>
  <c r="CY9" i="44"/>
  <c r="CZ9" i="44"/>
  <c r="DA9" i="44"/>
  <c r="DB9" i="44"/>
  <c r="DC9" i="44"/>
  <c r="DD9" i="44"/>
  <c r="CG9" i="42"/>
  <c r="CH9" i="42"/>
  <c r="CI9" i="42"/>
  <c r="CJ9" i="42"/>
  <c r="CK9" i="42"/>
  <c r="CL9" i="42"/>
  <c r="CM9" i="42"/>
  <c r="CN9" i="42"/>
  <c r="CO9" i="42"/>
  <c r="CP9" i="42"/>
  <c r="CQ9" i="42"/>
  <c r="CR9" i="42"/>
  <c r="CS9" i="42"/>
  <c r="CT9" i="42"/>
  <c r="CU9" i="42"/>
  <c r="CV9" i="42"/>
  <c r="CW9" i="42"/>
  <c r="CX9" i="42"/>
  <c r="CY9" i="42"/>
  <c r="CZ9" i="42"/>
  <c r="DA9" i="42"/>
  <c r="DB9" i="42"/>
  <c r="DC9" i="42"/>
  <c r="DD9" i="42"/>
  <c r="CG9" i="43"/>
  <c r="CH9" i="43"/>
  <c r="CI9" i="43"/>
  <c r="CJ9" i="43"/>
  <c r="CK9" i="43"/>
  <c r="CL9" i="43"/>
  <c r="CM9" i="43"/>
  <c r="CN9" i="43"/>
  <c r="CO9" i="43"/>
  <c r="CP9" i="43"/>
  <c r="CQ9" i="43"/>
  <c r="CR9" i="43"/>
  <c r="CS9" i="43"/>
  <c r="CT9" i="43"/>
  <c r="CU9" i="43"/>
  <c r="CV9" i="43"/>
  <c r="CW9" i="43"/>
  <c r="CX9" i="43"/>
  <c r="CY9" i="43"/>
  <c r="CZ9" i="43"/>
  <c r="DA9" i="43"/>
  <c r="DB9" i="43"/>
  <c r="DC9" i="43"/>
  <c r="DD9" i="43"/>
  <c r="CG9" i="49"/>
  <c r="CH9" i="49"/>
  <c r="CI9" i="49"/>
  <c r="CJ9" i="49"/>
  <c r="CK9" i="49"/>
  <c r="CL9" i="49"/>
  <c r="CM9" i="49"/>
  <c r="CN9" i="49"/>
  <c r="CO9" i="49"/>
  <c r="CP9" i="49"/>
  <c r="CQ9" i="49"/>
  <c r="CR9" i="49"/>
  <c r="CS9" i="49"/>
  <c r="CT9" i="49"/>
  <c r="CU9" i="49"/>
  <c r="CV9" i="49"/>
  <c r="CW9" i="49"/>
  <c r="CX9" i="49"/>
  <c r="CY9" i="49"/>
  <c r="CZ9" i="49"/>
  <c r="DA9" i="49"/>
  <c r="DB9" i="49"/>
  <c r="DC9" i="49"/>
  <c r="DD9" i="49"/>
  <c r="CG9" i="50"/>
  <c r="CH9" i="50"/>
  <c r="CI9" i="50"/>
  <c r="CJ9" i="50"/>
  <c r="CK9" i="50"/>
  <c r="CL9" i="50"/>
  <c r="CM9" i="50"/>
  <c r="CN9" i="50"/>
  <c r="CO9" i="50"/>
  <c r="CP9" i="50"/>
  <c r="CQ9" i="50"/>
  <c r="CR9" i="50"/>
  <c r="CS9" i="50"/>
  <c r="CT9" i="50"/>
  <c r="CU9" i="50"/>
  <c r="CV9" i="50"/>
  <c r="CW9" i="50"/>
  <c r="CX9" i="50"/>
  <c r="CY9" i="50"/>
  <c r="CZ9" i="50"/>
  <c r="DA9" i="50"/>
  <c r="DB9" i="50"/>
  <c r="DC9" i="50"/>
  <c r="DD9" i="50"/>
  <c r="CG9" i="67"/>
  <c r="CH9" i="67"/>
  <c r="CI9" i="67"/>
  <c r="CJ9" i="67"/>
  <c r="CK9" i="67"/>
  <c r="CL9" i="67"/>
  <c r="CM9" i="67"/>
  <c r="CN9" i="67"/>
  <c r="CO9" i="67"/>
  <c r="CP9" i="67"/>
  <c r="CQ9" i="67"/>
  <c r="CR9" i="67"/>
  <c r="CS9" i="67"/>
  <c r="CT9" i="67"/>
  <c r="CU9" i="67"/>
  <c r="CV9" i="67"/>
  <c r="CW9" i="67"/>
  <c r="CX9" i="67"/>
  <c r="CY9" i="67"/>
  <c r="CZ9" i="67"/>
  <c r="DA9" i="67"/>
  <c r="DB9" i="67"/>
  <c r="DC9" i="67"/>
  <c r="DD9" i="67"/>
  <c r="CG9" i="51"/>
  <c r="CH9" i="51"/>
  <c r="CI9" i="51"/>
  <c r="CJ9" i="51"/>
  <c r="CK9" i="51"/>
  <c r="CL9" i="51"/>
  <c r="CM9" i="51"/>
  <c r="CN9" i="51"/>
  <c r="CO9" i="51"/>
  <c r="CP9" i="51"/>
  <c r="CQ9" i="51"/>
  <c r="CR9" i="51"/>
  <c r="CS9" i="51"/>
  <c r="CT9" i="51"/>
  <c r="CU9" i="51"/>
  <c r="CV9" i="51"/>
  <c r="CW9" i="51"/>
  <c r="CX9" i="51"/>
  <c r="CY9" i="51"/>
  <c r="CZ9" i="51"/>
  <c r="DA9" i="51"/>
  <c r="DB9" i="51"/>
  <c r="DC9" i="51"/>
  <c r="DD9" i="51"/>
  <c r="CG9" i="52"/>
  <c r="CH9" i="52"/>
  <c r="CI9" i="52"/>
  <c r="CJ9" i="52"/>
  <c r="CK9" i="52"/>
  <c r="CL9" i="52"/>
  <c r="CM9" i="52"/>
  <c r="CN9" i="52"/>
  <c r="CO9" i="52"/>
  <c r="CP9" i="52"/>
  <c r="CQ9" i="52"/>
  <c r="CR9" i="52"/>
  <c r="CS9" i="52"/>
  <c r="CT9" i="52"/>
  <c r="CU9" i="52"/>
  <c r="CV9" i="52"/>
  <c r="CW9" i="52"/>
  <c r="CX9" i="52"/>
  <c r="CY9" i="52"/>
  <c r="CZ9" i="52"/>
  <c r="DA9" i="52"/>
  <c r="DB9" i="52"/>
  <c r="DC9" i="52"/>
  <c r="DD9" i="52"/>
  <c r="CG9" i="53"/>
  <c r="CH9" i="53"/>
  <c r="CI9" i="53"/>
  <c r="CJ9" i="53"/>
  <c r="CK9" i="53"/>
  <c r="CL9" i="53"/>
  <c r="CM9" i="53"/>
  <c r="CN9" i="53"/>
  <c r="CO9" i="53"/>
  <c r="CP9" i="53"/>
  <c r="CQ9" i="53"/>
  <c r="CR9" i="53"/>
  <c r="CS9" i="53"/>
  <c r="CT9" i="53"/>
  <c r="CU9" i="53"/>
  <c r="CV9" i="53"/>
  <c r="CW9" i="53"/>
  <c r="CX9" i="53"/>
  <c r="CY9" i="53"/>
  <c r="CZ9" i="53"/>
  <c r="DA9" i="53"/>
  <c r="DB9" i="53"/>
  <c r="DC9" i="53"/>
  <c r="DD9" i="53"/>
  <c r="CG9" i="54"/>
  <c r="CH9" i="54"/>
  <c r="CI9" i="54"/>
  <c r="CJ9" i="54"/>
  <c r="CK9" i="54"/>
  <c r="CL9" i="54"/>
  <c r="CM9" i="54"/>
  <c r="CN9" i="54"/>
  <c r="CO9" i="54"/>
  <c r="CP9" i="54"/>
  <c r="CQ9" i="54"/>
  <c r="CR9" i="54"/>
  <c r="CS9" i="54"/>
  <c r="CT9" i="54"/>
  <c r="CU9" i="54"/>
  <c r="CV9" i="54"/>
  <c r="CW9" i="54"/>
  <c r="CX9" i="54"/>
  <c r="CY9" i="54"/>
  <c r="CZ9" i="54"/>
  <c r="DA9" i="54"/>
  <c r="DB9" i="54"/>
  <c r="DC9" i="54"/>
  <c r="DD9" i="54"/>
  <c r="CG9" i="55"/>
  <c r="CH9" i="55"/>
  <c r="CI9" i="55"/>
  <c r="CJ9" i="55"/>
  <c r="CK9" i="55"/>
  <c r="CL9" i="55"/>
  <c r="CM9" i="55"/>
  <c r="CN9" i="55"/>
  <c r="CO9" i="55"/>
  <c r="CP9" i="55"/>
  <c r="CQ9" i="55"/>
  <c r="CR9" i="55"/>
  <c r="CS9" i="55"/>
  <c r="CT9" i="55"/>
  <c r="CU9" i="55"/>
  <c r="CV9" i="55"/>
  <c r="CW9" i="55"/>
  <c r="CX9" i="55"/>
  <c r="CY9" i="55"/>
  <c r="CZ9" i="55"/>
  <c r="DA9" i="55"/>
  <c r="DB9" i="55"/>
  <c r="DC9" i="55"/>
  <c r="DD9" i="55"/>
  <c r="CI9" i="47"/>
  <c r="CJ9" i="47"/>
  <c r="CK9" i="47"/>
  <c r="CL9" i="47"/>
  <c r="CM9" i="47"/>
  <c r="CN9" i="47"/>
  <c r="CO9" i="47"/>
  <c r="CP9" i="47"/>
  <c r="CQ9" i="47"/>
  <c r="CR9" i="47"/>
  <c r="CS9" i="47"/>
  <c r="CT9" i="47"/>
  <c r="CU9" i="47"/>
  <c r="CV9" i="47"/>
  <c r="CW9" i="47"/>
  <c r="CX9" i="47"/>
  <c r="CY9" i="47"/>
  <c r="CZ9" i="47"/>
  <c r="DA9" i="47"/>
  <c r="DB9" i="47"/>
  <c r="DC9" i="47"/>
  <c r="DD9" i="47"/>
  <c r="DE9" i="47"/>
  <c r="DF9" i="47"/>
  <c r="CG9" i="45"/>
  <c r="CH9" i="45"/>
  <c r="CI9" i="45"/>
  <c r="CJ9" i="45"/>
  <c r="CK9" i="45"/>
  <c r="CL9" i="45"/>
  <c r="CM9" i="45"/>
  <c r="CN9" i="45"/>
  <c r="CO9" i="45"/>
  <c r="CP9" i="45"/>
  <c r="CQ9" i="45"/>
  <c r="CR9" i="45"/>
  <c r="CS9" i="45"/>
  <c r="CT9" i="45"/>
  <c r="CU9" i="45"/>
  <c r="CV9" i="45"/>
  <c r="CW9" i="45"/>
  <c r="CX9" i="45"/>
  <c r="CY9" i="45"/>
  <c r="CZ9" i="45"/>
  <c r="DA9" i="45"/>
  <c r="DB9" i="45"/>
  <c r="DC9" i="45"/>
  <c r="DD9" i="45"/>
  <c r="CG9" i="48"/>
  <c r="CH9" i="48"/>
  <c r="CI9" i="48"/>
  <c r="CJ9" i="48"/>
  <c r="CK9" i="48"/>
  <c r="CL9" i="48"/>
  <c r="CM9" i="48"/>
  <c r="CN9" i="48"/>
  <c r="CO9" i="48"/>
  <c r="CP9" i="48"/>
  <c r="CQ9" i="48"/>
  <c r="CR9" i="48"/>
  <c r="CS9" i="48"/>
  <c r="CT9" i="48"/>
  <c r="CU9" i="48"/>
  <c r="CV9" i="48"/>
  <c r="CW9" i="48"/>
  <c r="CX9" i="48"/>
  <c r="CY9" i="48"/>
  <c r="CZ9" i="48"/>
  <c r="DA9" i="48"/>
  <c r="DB9" i="48"/>
  <c r="DC9" i="48"/>
  <c r="DD9" i="48"/>
  <c r="CG9" i="46"/>
  <c r="CH9" i="46"/>
  <c r="CI9" i="46"/>
  <c r="CJ9" i="46"/>
  <c r="CK9" i="46"/>
  <c r="CL9" i="46"/>
  <c r="CM9" i="46"/>
  <c r="CN9" i="46"/>
  <c r="CO9" i="46"/>
  <c r="CP9" i="46"/>
  <c r="CQ9" i="46"/>
  <c r="CR9" i="46"/>
  <c r="CS9" i="46"/>
  <c r="CT9" i="46"/>
  <c r="CU9" i="46"/>
  <c r="CV9" i="46"/>
  <c r="CW9" i="46"/>
  <c r="CX9" i="46"/>
  <c r="CY9" i="46"/>
  <c r="CZ9" i="46"/>
  <c r="DA9" i="46"/>
  <c r="DB9" i="46"/>
  <c r="DC9" i="46"/>
  <c r="DD9" i="46"/>
  <c r="CG9" i="56"/>
  <c r="CH9" i="56"/>
  <c r="CI9" i="56"/>
  <c r="CJ9" i="56"/>
  <c r="CK9" i="56"/>
  <c r="CL9" i="56"/>
  <c r="CM9" i="56"/>
  <c r="CN9" i="56"/>
  <c r="CO9" i="56"/>
  <c r="CP9" i="56"/>
  <c r="CQ9" i="56"/>
  <c r="CR9" i="56"/>
  <c r="CS9" i="56"/>
  <c r="CT9" i="56"/>
  <c r="CU9" i="56"/>
  <c r="CV9" i="56"/>
  <c r="CW9" i="56"/>
  <c r="CX9" i="56"/>
  <c r="CY9" i="56"/>
  <c r="CZ9" i="56"/>
  <c r="DA9" i="56"/>
  <c r="DB9" i="56"/>
  <c r="DC9" i="56"/>
  <c r="DD9" i="56"/>
  <c r="CG9" i="58"/>
  <c r="CH9" i="58"/>
  <c r="CI9" i="58"/>
  <c r="CJ9" i="58"/>
  <c r="CK9" i="58"/>
  <c r="CL9" i="58"/>
  <c r="CM9" i="58"/>
  <c r="CN9" i="58"/>
  <c r="CO9" i="58"/>
  <c r="CP9" i="58"/>
  <c r="CQ9" i="58"/>
  <c r="CR9" i="58"/>
  <c r="CS9" i="58"/>
  <c r="CT9" i="58"/>
  <c r="CU9" i="58"/>
  <c r="CV9" i="58"/>
  <c r="CW9" i="58"/>
  <c r="CX9" i="58"/>
  <c r="CY9" i="58"/>
  <c r="CZ9" i="58"/>
  <c r="DA9" i="58"/>
  <c r="DB9" i="58"/>
  <c r="DC9" i="58"/>
  <c r="DD9" i="58"/>
  <c r="CH9" i="57"/>
  <c r="CI9" i="57"/>
  <c r="CJ9" i="57"/>
  <c r="CK9" i="57"/>
  <c r="CL9" i="57"/>
  <c r="CM9" i="57"/>
  <c r="CN9" i="57"/>
  <c r="CO9" i="57"/>
  <c r="CP9" i="57"/>
  <c r="CQ9" i="57"/>
  <c r="CR9" i="57"/>
  <c r="CS9" i="57"/>
  <c r="CT9" i="57"/>
  <c r="CU9" i="57"/>
  <c r="CV9" i="57"/>
  <c r="CW9" i="57"/>
  <c r="CX9" i="57"/>
  <c r="CY9" i="57"/>
  <c r="CZ9" i="57"/>
  <c r="DA9" i="57"/>
  <c r="DB9" i="57"/>
  <c r="DC9" i="57"/>
  <c r="DD9" i="57"/>
  <c r="DE9" i="57"/>
  <c r="CG9" i="59"/>
  <c r="CH9" i="59"/>
  <c r="CI9" i="59"/>
  <c r="CJ9" i="59"/>
  <c r="CK9" i="59"/>
  <c r="CL9" i="59"/>
  <c r="CM9" i="59"/>
  <c r="CN9" i="59"/>
  <c r="CO9" i="59"/>
  <c r="CP9" i="59"/>
  <c r="CQ9" i="59"/>
  <c r="CR9" i="59"/>
  <c r="CS9" i="59"/>
  <c r="CT9" i="59"/>
  <c r="CU9" i="59"/>
  <c r="CV9" i="59"/>
  <c r="CW9" i="59"/>
  <c r="CX9" i="59"/>
  <c r="CY9" i="59"/>
  <c r="CZ9" i="59"/>
  <c r="DA9" i="59"/>
  <c r="DB9" i="59"/>
  <c r="DC9" i="59"/>
  <c r="DD9" i="59"/>
  <c r="CG9" i="60"/>
  <c r="CH9" i="60"/>
  <c r="CI9" i="60"/>
  <c r="CJ9" i="60"/>
  <c r="CK9" i="60"/>
  <c r="CL9" i="60"/>
  <c r="CM9" i="60"/>
  <c r="CN9" i="60"/>
  <c r="CO9" i="60"/>
  <c r="CP9" i="60"/>
  <c r="CQ9" i="60"/>
  <c r="CR9" i="60"/>
  <c r="CS9" i="60"/>
  <c r="CT9" i="60"/>
  <c r="CU9" i="60"/>
  <c r="CV9" i="60"/>
  <c r="CW9" i="60"/>
  <c r="CX9" i="60"/>
  <c r="CY9" i="60"/>
  <c r="CZ9" i="60"/>
  <c r="DA9" i="60"/>
  <c r="DB9" i="60"/>
  <c r="DC9" i="60"/>
  <c r="DD9" i="60"/>
  <c r="CG9" i="61"/>
  <c r="CH9" i="61"/>
  <c r="CI9" i="61"/>
  <c r="CJ9" i="61"/>
  <c r="CK9" i="61"/>
  <c r="CL9" i="61"/>
  <c r="CM9" i="61"/>
  <c r="CN9" i="61"/>
  <c r="CO9" i="61"/>
  <c r="CP9" i="61"/>
  <c r="CQ9" i="61"/>
  <c r="CR9" i="61"/>
  <c r="CS9" i="61"/>
  <c r="CT9" i="61"/>
  <c r="CU9" i="61"/>
  <c r="CV9" i="61"/>
  <c r="CW9" i="61"/>
  <c r="CX9" i="61"/>
  <c r="CY9" i="61"/>
  <c r="CZ9" i="61"/>
  <c r="DA9" i="61"/>
  <c r="DB9" i="61"/>
  <c r="DC9" i="61"/>
  <c r="DD9" i="61"/>
  <c r="CG9" i="31"/>
  <c r="CH9" i="31"/>
  <c r="CI9" i="31"/>
  <c r="CJ9" i="31"/>
  <c r="CK9" i="31"/>
  <c r="CL9" i="31"/>
  <c r="CM9" i="31"/>
  <c r="CN9" i="31"/>
  <c r="CO9" i="31"/>
  <c r="CP9" i="31"/>
  <c r="CQ9" i="31"/>
  <c r="CR9" i="31"/>
  <c r="CS9" i="31"/>
  <c r="CT9" i="31"/>
  <c r="CU9" i="31"/>
  <c r="CV9" i="31"/>
  <c r="CW9" i="31"/>
  <c r="CX9" i="31"/>
  <c r="CY9" i="31"/>
  <c r="CZ9" i="31"/>
  <c r="DA9" i="31"/>
  <c r="DB9" i="31"/>
  <c r="DC9" i="31"/>
  <c r="DD9" i="31"/>
  <c r="CG8" i="36"/>
  <c r="CH8" i="36"/>
  <c r="CI8" i="36"/>
  <c r="CJ8" i="36"/>
  <c r="CK8" i="36"/>
  <c r="CL8" i="36"/>
  <c r="CM8" i="36"/>
  <c r="CN8" i="36"/>
  <c r="CO8" i="36"/>
  <c r="CP8" i="36"/>
  <c r="CQ8" i="36"/>
  <c r="CR8" i="36"/>
  <c r="CS8" i="36"/>
  <c r="CT8" i="36"/>
  <c r="CU8" i="36"/>
  <c r="CV8" i="36"/>
  <c r="CW8" i="36"/>
  <c r="CX8" i="36"/>
  <c r="CY8" i="36"/>
  <c r="CZ8" i="36"/>
  <c r="DA8" i="36"/>
  <c r="DB8" i="36"/>
  <c r="DC8" i="36"/>
  <c r="DD8" i="36"/>
  <c r="CG8" i="35"/>
  <c r="CH8" i="35"/>
  <c r="CI8" i="35"/>
  <c r="CJ8" i="35"/>
  <c r="CK8" i="35"/>
  <c r="CL8" i="35"/>
  <c r="CM8" i="35"/>
  <c r="CN8" i="35"/>
  <c r="CO8" i="35"/>
  <c r="CP8" i="35"/>
  <c r="CQ8" i="35"/>
  <c r="CR8" i="35"/>
  <c r="CS8" i="35"/>
  <c r="CT8" i="35"/>
  <c r="CU8" i="35"/>
  <c r="CV8" i="35"/>
  <c r="CW8" i="35"/>
  <c r="CX8" i="35"/>
  <c r="CY8" i="35"/>
  <c r="CZ8" i="35"/>
  <c r="DA8" i="35"/>
  <c r="DB8" i="35"/>
  <c r="DC8" i="35"/>
  <c r="DD8" i="35"/>
  <c r="CG8" i="33"/>
  <c r="CH8" i="33"/>
  <c r="CI8" i="33"/>
  <c r="CJ8" i="33"/>
  <c r="CK8" i="33"/>
  <c r="CL8" i="33"/>
  <c r="CM8" i="33"/>
  <c r="CN8" i="33"/>
  <c r="CO8" i="33"/>
  <c r="CP8" i="33"/>
  <c r="CQ8" i="33"/>
  <c r="CR8" i="33"/>
  <c r="CS8" i="33"/>
  <c r="CT8" i="33"/>
  <c r="CU8" i="33"/>
  <c r="CV8" i="33"/>
  <c r="CW8" i="33"/>
  <c r="CX8" i="33"/>
  <c r="CY8" i="33"/>
  <c r="CZ8" i="33"/>
  <c r="DA8" i="33"/>
  <c r="DB8" i="33"/>
  <c r="DC8" i="33"/>
  <c r="DD8" i="33"/>
  <c r="CG8" i="34"/>
  <c r="CH8" i="34"/>
  <c r="CI8" i="34"/>
  <c r="CJ8" i="34"/>
  <c r="CK8" i="34"/>
  <c r="CL8" i="34"/>
  <c r="CM8" i="34"/>
  <c r="CN8" i="34"/>
  <c r="CO8" i="34"/>
  <c r="CP8" i="34"/>
  <c r="CQ8" i="34"/>
  <c r="CR8" i="34"/>
  <c r="CS8" i="34"/>
  <c r="CT8" i="34"/>
  <c r="CU8" i="34"/>
  <c r="CV8" i="34"/>
  <c r="CW8" i="34"/>
  <c r="CX8" i="34"/>
  <c r="CY8" i="34"/>
  <c r="CZ8" i="34"/>
  <c r="DA8" i="34"/>
  <c r="DB8" i="34"/>
  <c r="DC8" i="34"/>
  <c r="DD8" i="34"/>
  <c r="CG8" i="38"/>
  <c r="CH8" i="38"/>
  <c r="CI8" i="38"/>
  <c r="CJ8" i="38"/>
  <c r="CK8" i="38"/>
  <c r="CL8" i="38"/>
  <c r="CM8" i="38"/>
  <c r="CN8" i="38"/>
  <c r="CO8" i="38"/>
  <c r="CP8" i="38"/>
  <c r="CQ8" i="38"/>
  <c r="CR8" i="38"/>
  <c r="CS8" i="38"/>
  <c r="CT8" i="38"/>
  <c r="CU8" i="38"/>
  <c r="CV8" i="38"/>
  <c r="CW8" i="38"/>
  <c r="CX8" i="38"/>
  <c r="CY8" i="38"/>
  <c r="CZ8" i="38"/>
  <c r="DA8" i="38"/>
  <c r="DB8" i="38"/>
  <c r="DC8" i="38"/>
  <c r="DD8" i="38"/>
  <c r="CG8" i="40"/>
  <c r="CH8" i="40"/>
  <c r="CI8" i="40"/>
  <c r="CJ8" i="40"/>
  <c r="CK8" i="40"/>
  <c r="CL8" i="40"/>
  <c r="CM8" i="40"/>
  <c r="CN8" i="40"/>
  <c r="CO8" i="40"/>
  <c r="CP8" i="40"/>
  <c r="CQ8" i="40"/>
  <c r="CR8" i="40"/>
  <c r="CS8" i="40"/>
  <c r="CT8" i="40"/>
  <c r="CU8" i="40"/>
  <c r="CV8" i="40"/>
  <c r="CW8" i="40"/>
  <c r="CX8" i="40"/>
  <c r="CY8" i="40"/>
  <c r="CZ8" i="40"/>
  <c r="DA8" i="40"/>
  <c r="DB8" i="40"/>
  <c r="DC8" i="40"/>
  <c r="DD8" i="40"/>
  <c r="CG8" i="39"/>
  <c r="CH8" i="39"/>
  <c r="CI8" i="39"/>
  <c r="CJ8" i="39"/>
  <c r="CK8" i="39"/>
  <c r="CL8" i="39"/>
  <c r="CM8" i="39"/>
  <c r="CN8" i="39"/>
  <c r="CO8" i="39"/>
  <c r="CP8" i="39"/>
  <c r="CQ8" i="39"/>
  <c r="CR8" i="39"/>
  <c r="CS8" i="39"/>
  <c r="CT8" i="39"/>
  <c r="CU8" i="39"/>
  <c r="CV8" i="39"/>
  <c r="CW8" i="39"/>
  <c r="CX8" i="39"/>
  <c r="CY8" i="39"/>
  <c r="CZ8" i="39"/>
  <c r="DA8" i="39"/>
  <c r="DB8" i="39"/>
  <c r="DC8" i="39"/>
  <c r="DD8" i="39"/>
  <c r="CG8" i="41"/>
  <c r="CH8" i="41"/>
  <c r="CI8" i="41"/>
  <c r="CJ8" i="41"/>
  <c r="CK8" i="41"/>
  <c r="CL8" i="41"/>
  <c r="CM8" i="41"/>
  <c r="CN8" i="41"/>
  <c r="CO8" i="41"/>
  <c r="CP8" i="41"/>
  <c r="CQ8" i="41"/>
  <c r="CR8" i="41"/>
  <c r="CS8" i="41"/>
  <c r="CT8" i="41"/>
  <c r="CU8" i="41"/>
  <c r="CV8" i="41"/>
  <c r="CW8" i="41"/>
  <c r="CX8" i="41"/>
  <c r="CY8" i="41"/>
  <c r="CZ8" i="41"/>
  <c r="DA8" i="41"/>
  <c r="DB8" i="41"/>
  <c r="DC8" i="41"/>
  <c r="DD8" i="41"/>
  <c r="CG8" i="44"/>
  <c r="CH8" i="44"/>
  <c r="CI8" i="44"/>
  <c r="CJ8" i="44"/>
  <c r="CK8" i="44"/>
  <c r="CL8" i="44"/>
  <c r="CM8" i="44"/>
  <c r="CN8" i="44"/>
  <c r="CO8" i="44"/>
  <c r="CP8" i="44"/>
  <c r="CQ8" i="44"/>
  <c r="CR8" i="44"/>
  <c r="CS8" i="44"/>
  <c r="CT8" i="44"/>
  <c r="CU8" i="44"/>
  <c r="CV8" i="44"/>
  <c r="CW8" i="44"/>
  <c r="CX8" i="44"/>
  <c r="CY8" i="44"/>
  <c r="CZ8" i="44"/>
  <c r="DA8" i="44"/>
  <c r="DB8" i="44"/>
  <c r="DC8" i="44"/>
  <c r="DD8" i="44"/>
  <c r="CG8" i="42"/>
  <c r="CH8" i="42"/>
  <c r="CI8" i="42"/>
  <c r="CJ8" i="42"/>
  <c r="CK8" i="42"/>
  <c r="CL8" i="42"/>
  <c r="CM8" i="42"/>
  <c r="CN8" i="42"/>
  <c r="CO8" i="42"/>
  <c r="CP8" i="42"/>
  <c r="CQ8" i="42"/>
  <c r="CR8" i="42"/>
  <c r="CS8" i="42"/>
  <c r="CT8" i="42"/>
  <c r="CU8" i="42"/>
  <c r="CV8" i="42"/>
  <c r="CW8" i="42"/>
  <c r="CX8" i="42"/>
  <c r="CY8" i="42"/>
  <c r="CZ8" i="42"/>
  <c r="DA8" i="42"/>
  <c r="DB8" i="42"/>
  <c r="DC8" i="42"/>
  <c r="DD8" i="42"/>
  <c r="CG8" i="43"/>
  <c r="CH8" i="43"/>
  <c r="CI8" i="43"/>
  <c r="CJ8" i="43"/>
  <c r="CK8" i="43"/>
  <c r="CL8" i="43"/>
  <c r="CM8" i="43"/>
  <c r="CN8" i="43"/>
  <c r="CO8" i="43"/>
  <c r="CP8" i="43"/>
  <c r="CQ8" i="43"/>
  <c r="CR8" i="43"/>
  <c r="CS8" i="43"/>
  <c r="CT8" i="43"/>
  <c r="CU8" i="43"/>
  <c r="CV8" i="43"/>
  <c r="CW8" i="43"/>
  <c r="CX8" i="43"/>
  <c r="CY8" i="43"/>
  <c r="CZ8" i="43"/>
  <c r="DA8" i="43"/>
  <c r="DB8" i="43"/>
  <c r="DC8" i="43"/>
  <c r="DD8" i="43"/>
  <c r="CG8" i="49"/>
  <c r="CH8" i="49"/>
  <c r="CI8" i="49"/>
  <c r="CJ8" i="49"/>
  <c r="CK8" i="49"/>
  <c r="CL8" i="49"/>
  <c r="CM8" i="49"/>
  <c r="CN8" i="49"/>
  <c r="CO8" i="49"/>
  <c r="CP8" i="49"/>
  <c r="CQ8" i="49"/>
  <c r="CR8" i="49"/>
  <c r="CS8" i="49"/>
  <c r="CT8" i="49"/>
  <c r="CU8" i="49"/>
  <c r="CV8" i="49"/>
  <c r="CW8" i="49"/>
  <c r="CX8" i="49"/>
  <c r="CY8" i="49"/>
  <c r="CZ8" i="49"/>
  <c r="DA8" i="49"/>
  <c r="DB8" i="49"/>
  <c r="DC8" i="49"/>
  <c r="DD8" i="49"/>
  <c r="CG8" i="50"/>
  <c r="CH8" i="50"/>
  <c r="CI8" i="50"/>
  <c r="CJ8" i="50"/>
  <c r="CK8" i="50"/>
  <c r="CL8" i="50"/>
  <c r="CM8" i="50"/>
  <c r="CN8" i="50"/>
  <c r="CO8" i="50"/>
  <c r="CP8" i="50"/>
  <c r="CQ8" i="50"/>
  <c r="CR8" i="50"/>
  <c r="CS8" i="50"/>
  <c r="CT8" i="50"/>
  <c r="CU8" i="50"/>
  <c r="CV8" i="50"/>
  <c r="CW8" i="50"/>
  <c r="CX8" i="50"/>
  <c r="CY8" i="50"/>
  <c r="CZ8" i="50"/>
  <c r="DA8" i="50"/>
  <c r="DB8" i="50"/>
  <c r="DC8" i="50"/>
  <c r="DD8" i="50"/>
  <c r="CG8" i="67"/>
  <c r="CH8" i="67"/>
  <c r="CI8" i="67"/>
  <c r="CJ8" i="67"/>
  <c r="CK8" i="67"/>
  <c r="CL8" i="67"/>
  <c r="CM8" i="67"/>
  <c r="CN8" i="67"/>
  <c r="CO8" i="67"/>
  <c r="CP8" i="67"/>
  <c r="CQ8" i="67"/>
  <c r="CR8" i="67"/>
  <c r="CS8" i="67"/>
  <c r="CT8" i="67"/>
  <c r="CU8" i="67"/>
  <c r="CV8" i="67"/>
  <c r="CW8" i="67"/>
  <c r="CX8" i="67"/>
  <c r="CY8" i="67"/>
  <c r="CZ8" i="67"/>
  <c r="DA8" i="67"/>
  <c r="DB8" i="67"/>
  <c r="DC8" i="67"/>
  <c r="DD8" i="67"/>
  <c r="CG8" i="51"/>
  <c r="CH8" i="51"/>
  <c r="CI8" i="51"/>
  <c r="CJ8" i="51"/>
  <c r="CK8" i="51"/>
  <c r="CL8" i="51"/>
  <c r="CM8" i="51"/>
  <c r="CN8" i="51"/>
  <c r="CO8" i="51"/>
  <c r="CP8" i="51"/>
  <c r="CQ8" i="51"/>
  <c r="CR8" i="51"/>
  <c r="CS8" i="51"/>
  <c r="CT8" i="51"/>
  <c r="CU8" i="51"/>
  <c r="CV8" i="51"/>
  <c r="CW8" i="51"/>
  <c r="CX8" i="51"/>
  <c r="CY8" i="51"/>
  <c r="CZ8" i="51"/>
  <c r="DA8" i="51"/>
  <c r="DB8" i="51"/>
  <c r="DC8" i="51"/>
  <c r="DD8" i="51"/>
  <c r="CG8" i="52"/>
  <c r="CH8" i="52"/>
  <c r="CI8" i="52"/>
  <c r="CJ8" i="52"/>
  <c r="CK8" i="52"/>
  <c r="CL8" i="52"/>
  <c r="CM8" i="52"/>
  <c r="CN8" i="52"/>
  <c r="CO8" i="52"/>
  <c r="CP8" i="52"/>
  <c r="CQ8" i="52"/>
  <c r="CR8" i="52"/>
  <c r="CS8" i="52"/>
  <c r="CT8" i="52"/>
  <c r="CU8" i="52"/>
  <c r="CV8" i="52"/>
  <c r="CW8" i="52"/>
  <c r="CX8" i="52"/>
  <c r="CY8" i="52"/>
  <c r="CZ8" i="52"/>
  <c r="DA8" i="52"/>
  <c r="DB8" i="52"/>
  <c r="DC8" i="52"/>
  <c r="DD8" i="52"/>
  <c r="CG8" i="53"/>
  <c r="CH8" i="53"/>
  <c r="CI8" i="53"/>
  <c r="CJ8" i="53"/>
  <c r="CK8" i="53"/>
  <c r="CL8" i="53"/>
  <c r="CM8" i="53"/>
  <c r="CN8" i="53"/>
  <c r="CO8" i="53"/>
  <c r="CP8" i="53"/>
  <c r="CQ8" i="53"/>
  <c r="CR8" i="53"/>
  <c r="CS8" i="53"/>
  <c r="CT8" i="53"/>
  <c r="CU8" i="53"/>
  <c r="CV8" i="53"/>
  <c r="CW8" i="53"/>
  <c r="CX8" i="53"/>
  <c r="CY8" i="53"/>
  <c r="CZ8" i="53"/>
  <c r="DA8" i="53"/>
  <c r="DB8" i="53"/>
  <c r="DC8" i="53"/>
  <c r="DD8" i="53"/>
  <c r="CG8" i="54"/>
  <c r="CH8" i="54"/>
  <c r="CI8" i="54"/>
  <c r="CJ8" i="54"/>
  <c r="CK8" i="54"/>
  <c r="CL8" i="54"/>
  <c r="CM8" i="54"/>
  <c r="CN8" i="54"/>
  <c r="CO8" i="54"/>
  <c r="CP8" i="54"/>
  <c r="CQ8" i="54"/>
  <c r="CR8" i="54"/>
  <c r="CS8" i="54"/>
  <c r="CT8" i="54"/>
  <c r="CU8" i="54"/>
  <c r="CV8" i="54"/>
  <c r="CW8" i="54"/>
  <c r="CX8" i="54"/>
  <c r="CY8" i="54"/>
  <c r="CZ8" i="54"/>
  <c r="DA8" i="54"/>
  <c r="DB8" i="54"/>
  <c r="DC8" i="54"/>
  <c r="DD8" i="54"/>
  <c r="CG8" i="55"/>
  <c r="CH8" i="55"/>
  <c r="CI8" i="55"/>
  <c r="CJ8" i="55"/>
  <c r="CK8" i="55"/>
  <c r="CL8" i="55"/>
  <c r="CM8" i="55"/>
  <c r="CN8" i="55"/>
  <c r="CO8" i="55"/>
  <c r="CP8" i="55"/>
  <c r="CQ8" i="55"/>
  <c r="CR8" i="55"/>
  <c r="CS8" i="55"/>
  <c r="CT8" i="55"/>
  <c r="CU8" i="55"/>
  <c r="CV8" i="55"/>
  <c r="CW8" i="55"/>
  <c r="CX8" i="55"/>
  <c r="CY8" i="55"/>
  <c r="CZ8" i="55"/>
  <c r="DA8" i="55"/>
  <c r="DB8" i="55"/>
  <c r="DC8" i="55"/>
  <c r="DD8" i="55"/>
  <c r="CI8" i="47"/>
  <c r="CJ8" i="47"/>
  <c r="CK8" i="47"/>
  <c r="CL8" i="47"/>
  <c r="CM8" i="47"/>
  <c r="CN8" i="47"/>
  <c r="CO8" i="47"/>
  <c r="CP8" i="47"/>
  <c r="CQ8" i="47"/>
  <c r="CR8" i="47"/>
  <c r="CS8" i="47"/>
  <c r="CT8" i="47"/>
  <c r="CU8" i="47"/>
  <c r="CV8" i="47"/>
  <c r="CW8" i="47"/>
  <c r="CX8" i="47"/>
  <c r="CY8" i="47"/>
  <c r="CZ8" i="47"/>
  <c r="DA8" i="47"/>
  <c r="DB8" i="47"/>
  <c r="DC8" i="47"/>
  <c r="DD8" i="47"/>
  <c r="DE8" i="47"/>
  <c r="DF8" i="47"/>
  <c r="CG8" i="45"/>
  <c r="CH8" i="45"/>
  <c r="CI8" i="45"/>
  <c r="CJ8" i="45"/>
  <c r="CK8" i="45"/>
  <c r="CL8" i="45"/>
  <c r="CM8" i="45"/>
  <c r="CN8" i="45"/>
  <c r="CO8" i="45"/>
  <c r="CP8" i="45"/>
  <c r="CQ8" i="45"/>
  <c r="CR8" i="45"/>
  <c r="CS8" i="45"/>
  <c r="CT8" i="45"/>
  <c r="CU8" i="45"/>
  <c r="CV8" i="45"/>
  <c r="CW8" i="45"/>
  <c r="CX8" i="45"/>
  <c r="CY8" i="45"/>
  <c r="CZ8" i="45"/>
  <c r="DA8" i="45"/>
  <c r="DB8" i="45"/>
  <c r="DC8" i="45"/>
  <c r="DD8" i="45"/>
  <c r="CG8" i="48"/>
  <c r="CH8" i="48"/>
  <c r="CI8" i="48"/>
  <c r="CJ8" i="48"/>
  <c r="CK8" i="48"/>
  <c r="CL8" i="48"/>
  <c r="CM8" i="48"/>
  <c r="CN8" i="48"/>
  <c r="CO8" i="48"/>
  <c r="CP8" i="48"/>
  <c r="CQ8" i="48"/>
  <c r="CR8" i="48"/>
  <c r="CS8" i="48"/>
  <c r="CT8" i="48"/>
  <c r="CU8" i="48"/>
  <c r="CV8" i="48"/>
  <c r="CW8" i="48"/>
  <c r="CX8" i="48"/>
  <c r="CY8" i="48"/>
  <c r="CZ8" i="48"/>
  <c r="DA8" i="48"/>
  <c r="DB8" i="48"/>
  <c r="DC8" i="48"/>
  <c r="DD8" i="48"/>
  <c r="CG8" i="46"/>
  <c r="CH8" i="46"/>
  <c r="CI8" i="46"/>
  <c r="CJ8" i="46"/>
  <c r="CK8" i="46"/>
  <c r="CL8" i="46"/>
  <c r="CM8" i="46"/>
  <c r="CN8" i="46"/>
  <c r="CO8" i="46"/>
  <c r="CP8" i="46"/>
  <c r="CQ8" i="46"/>
  <c r="CR8" i="46"/>
  <c r="CS8" i="46"/>
  <c r="CT8" i="46"/>
  <c r="CU8" i="46"/>
  <c r="CV8" i="46"/>
  <c r="CW8" i="46"/>
  <c r="CX8" i="46"/>
  <c r="CY8" i="46"/>
  <c r="CZ8" i="46"/>
  <c r="DA8" i="46"/>
  <c r="DB8" i="46"/>
  <c r="DC8" i="46"/>
  <c r="DD8" i="46"/>
  <c r="CG8" i="56"/>
  <c r="CH8" i="56"/>
  <c r="CI8" i="56"/>
  <c r="CJ8" i="56"/>
  <c r="CK8" i="56"/>
  <c r="CL8" i="56"/>
  <c r="CM8" i="56"/>
  <c r="CN8" i="56"/>
  <c r="CO8" i="56"/>
  <c r="CP8" i="56"/>
  <c r="CQ8" i="56"/>
  <c r="CR8" i="56"/>
  <c r="CS8" i="56"/>
  <c r="CT8" i="56"/>
  <c r="CU8" i="56"/>
  <c r="CV8" i="56"/>
  <c r="CW8" i="56"/>
  <c r="CX8" i="56"/>
  <c r="CY8" i="56"/>
  <c r="CZ8" i="56"/>
  <c r="DA8" i="56"/>
  <c r="DB8" i="56"/>
  <c r="DC8" i="56"/>
  <c r="DD8" i="56"/>
  <c r="CG8" i="58"/>
  <c r="CH8" i="58"/>
  <c r="CI8" i="58"/>
  <c r="CJ8" i="58"/>
  <c r="CK8" i="58"/>
  <c r="CL8" i="58"/>
  <c r="CM8" i="58"/>
  <c r="CN8" i="58"/>
  <c r="CO8" i="58"/>
  <c r="CP8" i="58"/>
  <c r="CQ8" i="58"/>
  <c r="CR8" i="58"/>
  <c r="CS8" i="58"/>
  <c r="CT8" i="58"/>
  <c r="CU8" i="58"/>
  <c r="CV8" i="58"/>
  <c r="CW8" i="58"/>
  <c r="CX8" i="58"/>
  <c r="CY8" i="58"/>
  <c r="CZ8" i="58"/>
  <c r="DA8" i="58"/>
  <c r="DB8" i="58"/>
  <c r="DC8" i="58"/>
  <c r="DD8" i="58"/>
  <c r="CH8" i="57"/>
  <c r="CI8" i="57"/>
  <c r="CJ8" i="57"/>
  <c r="CK8" i="57"/>
  <c r="CL8" i="57"/>
  <c r="CM8" i="57"/>
  <c r="CN8" i="57"/>
  <c r="CO8" i="57"/>
  <c r="CP8" i="57"/>
  <c r="CQ8" i="57"/>
  <c r="CR8" i="57"/>
  <c r="CS8" i="57"/>
  <c r="CT8" i="57"/>
  <c r="CU8" i="57"/>
  <c r="CV8" i="57"/>
  <c r="CW8" i="57"/>
  <c r="CX8" i="57"/>
  <c r="CY8" i="57"/>
  <c r="CZ8" i="57"/>
  <c r="DA8" i="57"/>
  <c r="DB8" i="57"/>
  <c r="DC8" i="57"/>
  <c r="DD8" i="57"/>
  <c r="DE8" i="57"/>
  <c r="CG8" i="59"/>
  <c r="CH8" i="59"/>
  <c r="CI8" i="59"/>
  <c r="CJ8" i="59"/>
  <c r="CK8" i="59"/>
  <c r="CL8" i="59"/>
  <c r="CM8" i="59"/>
  <c r="CN8" i="59"/>
  <c r="CO8" i="59"/>
  <c r="CP8" i="59"/>
  <c r="CQ8" i="59"/>
  <c r="CR8" i="59"/>
  <c r="CS8" i="59"/>
  <c r="CT8" i="59"/>
  <c r="CU8" i="59"/>
  <c r="CV8" i="59"/>
  <c r="CW8" i="59"/>
  <c r="CX8" i="59"/>
  <c r="CY8" i="59"/>
  <c r="CZ8" i="59"/>
  <c r="DA8" i="59"/>
  <c r="DB8" i="59"/>
  <c r="DC8" i="59"/>
  <c r="DD8" i="59"/>
  <c r="CG8" i="60"/>
  <c r="CH8" i="60"/>
  <c r="CI8" i="60"/>
  <c r="CJ8" i="60"/>
  <c r="CK8" i="60"/>
  <c r="CL8" i="60"/>
  <c r="CM8" i="60"/>
  <c r="CN8" i="60"/>
  <c r="CO8" i="60"/>
  <c r="CP8" i="60"/>
  <c r="CQ8" i="60"/>
  <c r="CR8" i="60"/>
  <c r="CS8" i="60"/>
  <c r="CT8" i="60"/>
  <c r="CU8" i="60"/>
  <c r="CV8" i="60"/>
  <c r="CW8" i="60"/>
  <c r="CX8" i="60"/>
  <c r="CY8" i="60"/>
  <c r="CZ8" i="60"/>
  <c r="DA8" i="60"/>
  <c r="DB8" i="60"/>
  <c r="DC8" i="60"/>
  <c r="DD8" i="60"/>
  <c r="CG8" i="61"/>
  <c r="CH8" i="61"/>
  <c r="CI8" i="61"/>
  <c r="CJ8" i="61"/>
  <c r="CK8" i="61"/>
  <c r="CL8" i="61"/>
  <c r="CM8" i="61"/>
  <c r="CN8" i="61"/>
  <c r="CO8" i="61"/>
  <c r="CP8" i="61"/>
  <c r="CQ8" i="61"/>
  <c r="CR8" i="61"/>
  <c r="CS8" i="61"/>
  <c r="CT8" i="61"/>
  <c r="CU8" i="61"/>
  <c r="CV8" i="61"/>
  <c r="CW8" i="61"/>
  <c r="CX8" i="61"/>
  <c r="CY8" i="61"/>
  <c r="CZ8" i="61"/>
  <c r="DA8" i="61"/>
  <c r="DB8" i="61"/>
  <c r="DC8" i="61"/>
  <c r="DD8" i="61"/>
  <c r="CG8" i="31"/>
  <c r="CH8" i="31"/>
  <c r="CI8" i="31"/>
  <c r="CJ8" i="31"/>
  <c r="CK8" i="31"/>
  <c r="CL8" i="31"/>
  <c r="CM8" i="31"/>
  <c r="CN8" i="31"/>
  <c r="CO8" i="31"/>
  <c r="CP8" i="31"/>
  <c r="CQ8" i="31"/>
  <c r="CR8" i="31"/>
  <c r="CS8" i="31"/>
  <c r="CT8" i="31"/>
  <c r="CU8" i="31"/>
  <c r="CV8" i="31"/>
  <c r="CW8" i="31"/>
  <c r="CX8" i="31"/>
  <c r="CY8" i="31"/>
  <c r="CZ8" i="31"/>
  <c r="DA8" i="31"/>
  <c r="DB8" i="31"/>
  <c r="DC8" i="31"/>
  <c r="DD8" i="31"/>
  <c r="CG7" i="36"/>
  <c r="CH7" i="36"/>
  <c r="CI7" i="36"/>
  <c r="CJ7" i="36"/>
  <c r="CK7" i="36"/>
  <c r="CL7" i="36"/>
  <c r="CM7" i="36"/>
  <c r="CN7" i="36"/>
  <c r="CO7" i="36"/>
  <c r="CP7" i="36"/>
  <c r="CQ7" i="36"/>
  <c r="CR7" i="36"/>
  <c r="CS7" i="36"/>
  <c r="CT7" i="36"/>
  <c r="CU7" i="36"/>
  <c r="CV7" i="36"/>
  <c r="CW7" i="36"/>
  <c r="CX7" i="36"/>
  <c r="CY7" i="36"/>
  <c r="CZ7" i="36"/>
  <c r="DA7" i="36"/>
  <c r="DB7" i="36"/>
  <c r="DC7" i="36"/>
  <c r="DD7" i="36"/>
  <c r="CG7" i="35"/>
  <c r="CH7" i="35"/>
  <c r="CI7" i="35"/>
  <c r="CJ7" i="35"/>
  <c r="CK7" i="35"/>
  <c r="CL7" i="35"/>
  <c r="CM7" i="35"/>
  <c r="CN7" i="35"/>
  <c r="CO7" i="35"/>
  <c r="CP7" i="35"/>
  <c r="CQ7" i="35"/>
  <c r="CR7" i="35"/>
  <c r="CS7" i="35"/>
  <c r="CT7" i="35"/>
  <c r="CU7" i="35"/>
  <c r="CV7" i="35"/>
  <c r="CW7" i="35"/>
  <c r="CX7" i="35"/>
  <c r="CY7" i="35"/>
  <c r="CZ7" i="35"/>
  <c r="DA7" i="35"/>
  <c r="DB7" i="35"/>
  <c r="DC7" i="35"/>
  <c r="DD7" i="35"/>
  <c r="CG7" i="33"/>
  <c r="CH7" i="33"/>
  <c r="CI7" i="33"/>
  <c r="CJ7" i="33"/>
  <c r="CK7" i="33"/>
  <c r="CL7" i="33"/>
  <c r="CM7" i="33"/>
  <c r="CN7" i="33"/>
  <c r="CO7" i="33"/>
  <c r="CP7" i="33"/>
  <c r="CQ7" i="33"/>
  <c r="CR7" i="33"/>
  <c r="CS7" i="33"/>
  <c r="CT7" i="33"/>
  <c r="CU7" i="33"/>
  <c r="CV7" i="33"/>
  <c r="CW7" i="33"/>
  <c r="CX7" i="33"/>
  <c r="CY7" i="33"/>
  <c r="CZ7" i="33"/>
  <c r="DA7" i="33"/>
  <c r="DB7" i="33"/>
  <c r="DC7" i="33"/>
  <c r="DD7" i="33"/>
  <c r="CG7" i="34"/>
  <c r="CH7" i="34"/>
  <c r="CI7" i="34"/>
  <c r="CJ7" i="34"/>
  <c r="CK7" i="34"/>
  <c r="CL7" i="34"/>
  <c r="CM7" i="34"/>
  <c r="CN7" i="34"/>
  <c r="CO7" i="34"/>
  <c r="CP7" i="34"/>
  <c r="CQ7" i="34"/>
  <c r="CR7" i="34"/>
  <c r="CS7" i="34"/>
  <c r="CT7" i="34"/>
  <c r="CU7" i="34"/>
  <c r="CV7" i="34"/>
  <c r="CW7" i="34"/>
  <c r="CX7" i="34"/>
  <c r="CY7" i="34"/>
  <c r="CZ7" i="34"/>
  <c r="DA7" i="34"/>
  <c r="DB7" i="34"/>
  <c r="DC7" i="34"/>
  <c r="DD7" i="34"/>
  <c r="CG7" i="38"/>
  <c r="CH7" i="38"/>
  <c r="CI7" i="38"/>
  <c r="CJ7" i="38"/>
  <c r="CK7" i="38"/>
  <c r="CL7" i="38"/>
  <c r="CM7" i="38"/>
  <c r="CN7" i="38"/>
  <c r="CO7" i="38"/>
  <c r="CP7" i="38"/>
  <c r="CQ7" i="38"/>
  <c r="CR7" i="38"/>
  <c r="CS7" i="38"/>
  <c r="CT7" i="38"/>
  <c r="CU7" i="38"/>
  <c r="CV7" i="38"/>
  <c r="CW7" i="38"/>
  <c r="CX7" i="38"/>
  <c r="CY7" i="38"/>
  <c r="CZ7" i="38"/>
  <c r="DA7" i="38"/>
  <c r="DB7" i="38"/>
  <c r="DC7" i="38"/>
  <c r="DD7" i="38"/>
  <c r="CG7" i="40"/>
  <c r="CH7" i="40"/>
  <c r="CI7" i="40"/>
  <c r="CJ7" i="40"/>
  <c r="CK7" i="40"/>
  <c r="CL7" i="40"/>
  <c r="CM7" i="40"/>
  <c r="CN7" i="40"/>
  <c r="CO7" i="40"/>
  <c r="CP7" i="40"/>
  <c r="CQ7" i="40"/>
  <c r="CR7" i="40"/>
  <c r="CS7" i="40"/>
  <c r="CT7" i="40"/>
  <c r="CU7" i="40"/>
  <c r="CV7" i="40"/>
  <c r="CW7" i="40"/>
  <c r="CX7" i="40"/>
  <c r="CY7" i="40"/>
  <c r="CZ7" i="40"/>
  <c r="DA7" i="40"/>
  <c r="DB7" i="40"/>
  <c r="DC7" i="40"/>
  <c r="DD7" i="40"/>
  <c r="CG7" i="39"/>
  <c r="CH7" i="39"/>
  <c r="CI7" i="39"/>
  <c r="CJ7" i="39"/>
  <c r="CK7" i="39"/>
  <c r="CL7" i="39"/>
  <c r="CM7" i="39"/>
  <c r="CN7" i="39"/>
  <c r="CO7" i="39"/>
  <c r="CP7" i="39"/>
  <c r="CQ7" i="39"/>
  <c r="CR7" i="39"/>
  <c r="CS7" i="39"/>
  <c r="CT7" i="39"/>
  <c r="CU7" i="39"/>
  <c r="CV7" i="39"/>
  <c r="CW7" i="39"/>
  <c r="CX7" i="39"/>
  <c r="CY7" i="39"/>
  <c r="CZ7" i="39"/>
  <c r="DA7" i="39"/>
  <c r="DB7" i="39"/>
  <c r="DC7" i="39"/>
  <c r="DD7" i="39"/>
  <c r="CG7" i="41"/>
  <c r="CH7" i="41"/>
  <c r="CI7" i="41"/>
  <c r="CJ7" i="41"/>
  <c r="CK7" i="41"/>
  <c r="CL7" i="41"/>
  <c r="CM7" i="41"/>
  <c r="CN7" i="41"/>
  <c r="CO7" i="41"/>
  <c r="CP7" i="41"/>
  <c r="CQ7" i="41"/>
  <c r="CR7" i="41"/>
  <c r="CS7" i="41"/>
  <c r="CT7" i="41"/>
  <c r="CU7" i="41"/>
  <c r="CV7" i="41"/>
  <c r="CW7" i="41"/>
  <c r="CX7" i="41"/>
  <c r="CY7" i="41"/>
  <c r="CZ7" i="41"/>
  <c r="DA7" i="41"/>
  <c r="DB7" i="41"/>
  <c r="DC7" i="41"/>
  <c r="DD7" i="41"/>
  <c r="CG7" i="44"/>
  <c r="CH7" i="44"/>
  <c r="CI7" i="44"/>
  <c r="CJ7" i="44"/>
  <c r="CK7" i="44"/>
  <c r="CL7" i="44"/>
  <c r="CM7" i="44"/>
  <c r="CN7" i="44"/>
  <c r="CO7" i="44"/>
  <c r="CP7" i="44"/>
  <c r="CQ7" i="44"/>
  <c r="CR7" i="44"/>
  <c r="CS7" i="44"/>
  <c r="CT7" i="44"/>
  <c r="CU7" i="44"/>
  <c r="CV7" i="44"/>
  <c r="CW7" i="44"/>
  <c r="CX7" i="44"/>
  <c r="CY7" i="44"/>
  <c r="CZ7" i="44"/>
  <c r="DA7" i="44"/>
  <c r="DB7" i="44"/>
  <c r="DC7" i="44"/>
  <c r="DD7" i="44"/>
  <c r="CG7" i="42"/>
  <c r="CH7" i="42"/>
  <c r="CI7" i="42"/>
  <c r="CJ7" i="42"/>
  <c r="CK7" i="42"/>
  <c r="CL7" i="42"/>
  <c r="CM7" i="42"/>
  <c r="CN7" i="42"/>
  <c r="CO7" i="42"/>
  <c r="CP7" i="42"/>
  <c r="CQ7" i="42"/>
  <c r="CR7" i="42"/>
  <c r="CS7" i="42"/>
  <c r="CT7" i="42"/>
  <c r="CU7" i="42"/>
  <c r="CV7" i="42"/>
  <c r="CW7" i="42"/>
  <c r="CX7" i="42"/>
  <c r="CY7" i="42"/>
  <c r="CZ7" i="42"/>
  <c r="DA7" i="42"/>
  <c r="DB7" i="42"/>
  <c r="DC7" i="42"/>
  <c r="DD7" i="42"/>
  <c r="CG7" i="43"/>
  <c r="CH7" i="43"/>
  <c r="CI7" i="43"/>
  <c r="CJ7" i="43"/>
  <c r="CK7" i="43"/>
  <c r="CL7" i="43"/>
  <c r="CM7" i="43"/>
  <c r="CN7" i="43"/>
  <c r="CO7" i="43"/>
  <c r="CP7" i="43"/>
  <c r="CQ7" i="43"/>
  <c r="CR7" i="43"/>
  <c r="CS7" i="43"/>
  <c r="CT7" i="43"/>
  <c r="CU7" i="43"/>
  <c r="CV7" i="43"/>
  <c r="CW7" i="43"/>
  <c r="CX7" i="43"/>
  <c r="CY7" i="43"/>
  <c r="CZ7" i="43"/>
  <c r="DA7" i="43"/>
  <c r="DB7" i="43"/>
  <c r="DC7" i="43"/>
  <c r="DD7" i="43"/>
  <c r="CG7" i="49"/>
  <c r="CH7" i="49"/>
  <c r="CI7" i="49"/>
  <c r="CJ7" i="49"/>
  <c r="CK7" i="49"/>
  <c r="CL7" i="49"/>
  <c r="CM7" i="49"/>
  <c r="CN7" i="49"/>
  <c r="CO7" i="49"/>
  <c r="CP7" i="49"/>
  <c r="CQ7" i="49"/>
  <c r="CR7" i="49"/>
  <c r="CS7" i="49"/>
  <c r="CT7" i="49"/>
  <c r="CU7" i="49"/>
  <c r="CV7" i="49"/>
  <c r="CW7" i="49"/>
  <c r="CX7" i="49"/>
  <c r="CY7" i="49"/>
  <c r="CZ7" i="49"/>
  <c r="DA7" i="49"/>
  <c r="DB7" i="49"/>
  <c r="DC7" i="49"/>
  <c r="DD7" i="49"/>
  <c r="CG7" i="50"/>
  <c r="CH7" i="50"/>
  <c r="CI7" i="50"/>
  <c r="CJ7" i="50"/>
  <c r="CK7" i="50"/>
  <c r="CL7" i="50"/>
  <c r="CM7" i="50"/>
  <c r="CN7" i="50"/>
  <c r="CO7" i="50"/>
  <c r="CP7" i="50"/>
  <c r="CQ7" i="50"/>
  <c r="CR7" i="50"/>
  <c r="CS7" i="50"/>
  <c r="CT7" i="50"/>
  <c r="CU7" i="50"/>
  <c r="CV7" i="50"/>
  <c r="CW7" i="50"/>
  <c r="CX7" i="50"/>
  <c r="CY7" i="50"/>
  <c r="CZ7" i="50"/>
  <c r="DA7" i="50"/>
  <c r="DB7" i="50"/>
  <c r="DC7" i="50"/>
  <c r="DD7" i="50"/>
  <c r="CG7" i="67"/>
  <c r="CH7" i="67"/>
  <c r="CI7" i="67"/>
  <c r="CJ7" i="67"/>
  <c r="CK7" i="67"/>
  <c r="CL7" i="67"/>
  <c r="CM7" i="67"/>
  <c r="CN7" i="67"/>
  <c r="CO7" i="67"/>
  <c r="CP7" i="67"/>
  <c r="CQ7" i="67"/>
  <c r="CR7" i="67"/>
  <c r="CS7" i="67"/>
  <c r="CT7" i="67"/>
  <c r="CU7" i="67"/>
  <c r="CV7" i="67"/>
  <c r="CW7" i="67"/>
  <c r="CX7" i="67"/>
  <c r="CY7" i="67"/>
  <c r="CZ7" i="67"/>
  <c r="DA7" i="67"/>
  <c r="DB7" i="67"/>
  <c r="DC7" i="67"/>
  <c r="DD7" i="67"/>
  <c r="CG7" i="51"/>
  <c r="CH7" i="51"/>
  <c r="CI7" i="51"/>
  <c r="CJ7" i="51"/>
  <c r="CK7" i="51"/>
  <c r="CL7" i="51"/>
  <c r="CM7" i="51"/>
  <c r="CN7" i="51"/>
  <c r="CO7" i="51"/>
  <c r="CP7" i="51"/>
  <c r="CQ7" i="51"/>
  <c r="CR7" i="51"/>
  <c r="CS7" i="51"/>
  <c r="CT7" i="51"/>
  <c r="CU7" i="51"/>
  <c r="CV7" i="51"/>
  <c r="CW7" i="51"/>
  <c r="CX7" i="51"/>
  <c r="CY7" i="51"/>
  <c r="CZ7" i="51"/>
  <c r="DA7" i="51"/>
  <c r="DB7" i="51"/>
  <c r="DC7" i="51"/>
  <c r="DD7" i="51"/>
  <c r="CG7" i="52"/>
  <c r="CH7" i="52"/>
  <c r="CI7" i="52"/>
  <c r="CJ7" i="52"/>
  <c r="CK7" i="52"/>
  <c r="CL7" i="52"/>
  <c r="CM7" i="52"/>
  <c r="CN7" i="52"/>
  <c r="CO7" i="52"/>
  <c r="CP7" i="52"/>
  <c r="CQ7" i="52"/>
  <c r="CR7" i="52"/>
  <c r="CS7" i="52"/>
  <c r="CT7" i="52"/>
  <c r="CU7" i="52"/>
  <c r="CV7" i="52"/>
  <c r="CW7" i="52"/>
  <c r="CX7" i="52"/>
  <c r="CY7" i="52"/>
  <c r="CZ7" i="52"/>
  <c r="DA7" i="52"/>
  <c r="DB7" i="52"/>
  <c r="DC7" i="52"/>
  <c r="DD7" i="52"/>
  <c r="CG7" i="53"/>
  <c r="CH7" i="53"/>
  <c r="CI7" i="53"/>
  <c r="CJ7" i="53"/>
  <c r="CK7" i="53"/>
  <c r="CL7" i="53"/>
  <c r="CM7" i="53"/>
  <c r="CN7" i="53"/>
  <c r="CO7" i="53"/>
  <c r="CP7" i="53"/>
  <c r="CQ7" i="53"/>
  <c r="CR7" i="53"/>
  <c r="CS7" i="53"/>
  <c r="CT7" i="53"/>
  <c r="CU7" i="53"/>
  <c r="CV7" i="53"/>
  <c r="CW7" i="53"/>
  <c r="CX7" i="53"/>
  <c r="CY7" i="53"/>
  <c r="CZ7" i="53"/>
  <c r="DA7" i="53"/>
  <c r="DB7" i="53"/>
  <c r="DC7" i="53"/>
  <c r="DD7" i="53"/>
  <c r="CG7" i="54"/>
  <c r="CH7" i="54"/>
  <c r="CI7" i="54"/>
  <c r="CJ7" i="54"/>
  <c r="CK7" i="54"/>
  <c r="CL7" i="54"/>
  <c r="CM7" i="54"/>
  <c r="CN7" i="54"/>
  <c r="CO7" i="54"/>
  <c r="CP7" i="54"/>
  <c r="CQ7" i="54"/>
  <c r="CR7" i="54"/>
  <c r="CS7" i="54"/>
  <c r="CT7" i="54"/>
  <c r="CU7" i="54"/>
  <c r="CV7" i="54"/>
  <c r="CW7" i="54"/>
  <c r="CX7" i="54"/>
  <c r="CY7" i="54"/>
  <c r="CZ7" i="54"/>
  <c r="DA7" i="54"/>
  <c r="DB7" i="54"/>
  <c r="DC7" i="54"/>
  <c r="DD7" i="54"/>
  <c r="CG7" i="55"/>
  <c r="CH7" i="55"/>
  <c r="CI7" i="55"/>
  <c r="CJ7" i="55"/>
  <c r="CK7" i="55"/>
  <c r="CL7" i="55"/>
  <c r="CM7" i="55"/>
  <c r="CN7" i="55"/>
  <c r="CO7" i="55"/>
  <c r="CP7" i="55"/>
  <c r="CQ7" i="55"/>
  <c r="CR7" i="55"/>
  <c r="CS7" i="55"/>
  <c r="CT7" i="55"/>
  <c r="CU7" i="55"/>
  <c r="CV7" i="55"/>
  <c r="CW7" i="55"/>
  <c r="CX7" i="55"/>
  <c r="CY7" i="55"/>
  <c r="CZ7" i="55"/>
  <c r="DA7" i="55"/>
  <c r="DB7" i="55"/>
  <c r="DC7" i="55"/>
  <c r="DD7" i="55"/>
  <c r="CI7" i="47"/>
  <c r="CJ7" i="47"/>
  <c r="CK7" i="47"/>
  <c r="CL7" i="47"/>
  <c r="CM7" i="47"/>
  <c r="CN7" i="47"/>
  <c r="CO7" i="47"/>
  <c r="CP7" i="47"/>
  <c r="CQ7" i="47"/>
  <c r="CR7" i="47"/>
  <c r="CS7" i="47"/>
  <c r="CT7" i="47"/>
  <c r="CU7" i="47"/>
  <c r="CV7" i="47"/>
  <c r="CW7" i="47"/>
  <c r="CX7" i="47"/>
  <c r="CY7" i="47"/>
  <c r="CZ7" i="47"/>
  <c r="DA7" i="47"/>
  <c r="DB7" i="47"/>
  <c r="DC7" i="47"/>
  <c r="DD7" i="47"/>
  <c r="DE7" i="47"/>
  <c r="DF7" i="47"/>
  <c r="CG7" i="45"/>
  <c r="CH7" i="45"/>
  <c r="CI7" i="45"/>
  <c r="CJ7" i="45"/>
  <c r="CK7" i="45"/>
  <c r="CL7" i="45"/>
  <c r="CM7" i="45"/>
  <c r="CN7" i="45"/>
  <c r="CO7" i="45"/>
  <c r="CP7" i="45"/>
  <c r="CQ7" i="45"/>
  <c r="CR7" i="45"/>
  <c r="CS7" i="45"/>
  <c r="CT7" i="45"/>
  <c r="CU7" i="45"/>
  <c r="CV7" i="45"/>
  <c r="CW7" i="45"/>
  <c r="CX7" i="45"/>
  <c r="CY7" i="45"/>
  <c r="CZ7" i="45"/>
  <c r="DA7" i="45"/>
  <c r="DB7" i="45"/>
  <c r="DC7" i="45"/>
  <c r="DD7" i="45"/>
  <c r="CG7" i="48"/>
  <c r="CH7" i="48"/>
  <c r="CI7" i="48"/>
  <c r="CJ7" i="48"/>
  <c r="CK7" i="48"/>
  <c r="CL7" i="48"/>
  <c r="CM7" i="48"/>
  <c r="CN7" i="48"/>
  <c r="CO7" i="48"/>
  <c r="CP7" i="48"/>
  <c r="CQ7" i="48"/>
  <c r="CR7" i="48"/>
  <c r="CS7" i="48"/>
  <c r="CT7" i="48"/>
  <c r="CU7" i="48"/>
  <c r="CV7" i="48"/>
  <c r="CW7" i="48"/>
  <c r="CX7" i="48"/>
  <c r="CY7" i="48"/>
  <c r="CZ7" i="48"/>
  <c r="DA7" i="48"/>
  <c r="DB7" i="48"/>
  <c r="DC7" i="48"/>
  <c r="DD7" i="48"/>
  <c r="CG7" i="46"/>
  <c r="CH7" i="46"/>
  <c r="CI7" i="46"/>
  <c r="CJ7" i="46"/>
  <c r="CK7" i="46"/>
  <c r="CL7" i="46"/>
  <c r="CM7" i="46"/>
  <c r="CN7" i="46"/>
  <c r="CO7" i="46"/>
  <c r="CP7" i="46"/>
  <c r="CQ7" i="46"/>
  <c r="CR7" i="46"/>
  <c r="CS7" i="46"/>
  <c r="CT7" i="46"/>
  <c r="CU7" i="46"/>
  <c r="CV7" i="46"/>
  <c r="CW7" i="46"/>
  <c r="CX7" i="46"/>
  <c r="CY7" i="46"/>
  <c r="CZ7" i="46"/>
  <c r="DA7" i="46"/>
  <c r="DB7" i="46"/>
  <c r="DC7" i="46"/>
  <c r="DD7" i="46"/>
  <c r="CG7" i="56"/>
  <c r="CH7" i="56"/>
  <c r="CI7" i="56"/>
  <c r="CJ7" i="56"/>
  <c r="CK7" i="56"/>
  <c r="CL7" i="56"/>
  <c r="CM7" i="56"/>
  <c r="CN7" i="56"/>
  <c r="CO7" i="56"/>
  <c r="CP7" i="56"/>
  <c r="CQ7" i="56"/>
  <c r="CR7" i="56"/>
  <c r="CS7" i="56"/>
  <c r="CT7" i="56"/>
  <c r="CU7" i="56"/>
  <c r="CV7" i="56"/>
  <c r="CW7" i="56"/>
  <c r="CX7" i="56"/>
  <c r="CY7" i="56"/>
  <c r="CZ7" i="56"/>
  <c r="DA7" i="56"/>
  <c r="DB7" i="56"/>
  <c r="DC7" i="56"/>
  <c r="DD7" i="56"/>
  <c r="CG7" i="58"/>
  <c r="CH7" i="58"/>
  <c r="CI7" i="58"/>
  <c r="CJ7" i="58"/>
  <c r="CK7" i="58"/>
  <c r="CL7" i="58"/>
  <c r="CM7" i="58"/>
  <c r="CN7" i="58"/>
  <c r="CO7" i="58"/>
  <c r="CP7" i="58"/>
  <c r="CQ7" i="58"/>
  <c r="CR7" i="58"/>
  <c r="CS7" i="58"/>
  <c r="CT7" i="58"/>
  <c r="CU7" i="58"/>
  <c r="CV7" i="58"/>
  <c r="CW7" i="58"/>
  <c r="CX7" i="58"/>
  <c r="CY7" i="58"/>
  <c r="CZ7" i="58"/>
  <c r="DA7" i="58"/>
  <c r="DB7" i="58"/>
  <c r="DC7" i="58"/>
  <c r="DD7" i="58"/>
  <c r="CH7" i="57"/>
  <c r="CI7" i="57"/>
  <c r="CJ7" i="57"/>
  <c r="CK7" i="57"/>
  <c r="CL7" i="57"/>
  <c r="CM7" i="57"/>
  <c r="CN7" i="57"/>
  <c r="CO7" i="57"/>
  <c r="CP7" i="57"/>
  <c r="CQ7" i="57"/>
  <c r="CR7" i="57"/>
  <c r="CS7" i="57"/>
  <c r="CT7" i="57"/>
  <c r="CU7" i="57"/>
  <c r="CV7" i="57"/>
  <c r="CW7" i="57"/>
  <c r="CX7" i="57"/>
  <c r="CY7" i="57"/>
  <c r="CZ7" i="57"/>
  <c r="DA7" i="57"/>
  <c r="DB7" i="57"/>
  <c r="DC7" i="57"/>
  <c r="DD7" i="57"/>
  <c r="DE7" i="57"/>
  <c r="CG7" i="59"/>
  <c r="CH7" i="59"/>
  <c r="CI7" i="59"/>
  <c r="CJ7" i="59"/>
  <c r="CK7" i="59"/>
  <c r="CL7" i="59"/>
  <c r="CM7" i="59"/>
  <c r="CN7" i="59"/>
  <c r="CO7" i="59"/>
  <c r="CP7" i="59"/>
  <c r="CQ7" i="59"/>
  <c r="CR7" i="59"/>
  <c r="CS7" i="59"/>
  <c r="CT7" i="59"/>
  <c r="CU7" i="59"/>
  <c r="CV7" i="59"/>
  <c r="CW7" i="59"/>
  <c r="CX7" i="59"/>
  <c r="CY7" i="59"/>
  <c r="CZ7" i="59"/>
  <c r="DA7" i="59"/>
  <c r="DB7" i="59"/>
  <c r="DC7" i="59"/>
  <c r="DD7" i="59"/>
  <c r="CG7" i="60"/>
  <c r="CH7" i="60"/>
  <c r="CI7" i="60"/>
  <c r="CJ7" i="60"/>
  <c r="CK7" i="60"/>
  <c r="CL7" i="60"/>
  <c r="CM7" i="60"/>
  <c r="CN7" i="60"/>
  <c r="CO7" i="60"/>
  <c r="CP7" i="60"/>
  <c r="CQ7" i="60"/>
  <c r="CR7" i="60"/>
  <c r="CS7" i="60"/>
  <c r="CT7" i="60"/>
  <c r="CU7" i="60"/>
  <c r="CV7" i="60"/>
  <c r="CW7" i="60"/>
  <c r="CX7" i="60"/>
  <c r="CY7" i="60"/>
  <c r="CZ7" i="60"/>
  <c r="DA7" i="60"/>
  <c r="DB7" i="60"/>
  <c r="DC7" i="60"/>
  <c r="DD7" i="60"/>
  <c r="CG7" i="61"/>
  <c r="CH7" i="61"/>
  <c r="CI7" i="61"/>
  <c r="CJ7" i="61"/>
  <c r="CK7" i="61"/>
  <c r="CL7" i="61"/>
  <c r="CM7" i="61"/>
  <c r="CN7" i="61"/>
  <c r="CO7" i="61"/>
  <c r="CP7" i="61"/>
  <c r="CQ7" i="61"/>
  <c r="CR7" i="61"/>
  <c r="CS7" i="61"/>
  <c r="CT7" i="61"/>
  <c r="CU7" i="61"/>
  <c r="CV7" i="61"/>
  <c r="CW7" i="61"/>
  <c r="CX7" i="61"/>
  <c r="CY7" i="61"/>
  <c r="CZ7" i="61"/>
  <c r="DA7" i="61"/>
  <c r="DB7" i="61"/>
  <c r="DC7" i="61"/>
  <c r="DD7" i="61"/>
  <c r="CG7" i="31"/>
  <c r="CH7" i="31"/>
  <c r="CI7" i="31"/>
  <c r="CJ7" i="31"/>
  <c r="CK7" i="31"/>
  <c r="CL7" i="31"/>
  <c r="CM7" i="31"/>
  <c r="CN7" i="31"/>
  <c r="CO7" i="31"/>
  <c r="CP7" i="31"/>
  <c r="CQ7" i="31"/>
  <c r="CR7" i="31"/>
  <c r="CS7" i="31"/>
  <c r="CT7" i="31"/>
  <c r="CU7" i="31"/>
  <c r="CV7" i="31"/>
  <c r="CW7" i="31"/>
  <c r="CX7" i="31"/>
  <c r="CY7" i="31"/>
  <c r="CZ7" i="31"/>
  <c r="DA7" i="31"/>
  <c r="DB7" i="31"/>
  <c r="DC7" i="31"/>
  <c r="DD7" i="31"/>
  <c r="CG6" i="36"/>
  <c r="CH6" i="36"/>
  <c r="CI6" i="36"/>
  <c r="CJ6" i="36"/>
  <c r="CK6" i="36"/>
  <c r="CL6" i="36"/>
  <c r="CM6" i="36"/>
  <c r="CN6" i="36"/>
  <c r="CO6" i="36"/>
  <c r="CP6" i="36"/>
  <c r="CQ6" i="36"/>
  <c r="CR6" i="36"/>
  <c r="CS6" i="36"/>
  <c r="CT6" i="36"/>
  <c r="CU6" i="36"/>
  <c r="CV6" i="36"/>
  <c r="CW6" i="36"/>
  <c r="CX6" i="36"/>
  <c r="CY6" i="36"/>
  <c r="CZ6" i="36"/>
  <c r="DA6" i="36"/>
  <c r="DB6" i="36"/>
  <c r="DC6" i="36"/>
  <c r="DD6" i="36"/>
  <c r="CG6" i="35"/>
  <c r="CH6" i="35"/>
  <c r="CI6" i="35"/>
  <c r="CJ6" i="35"/>
  <c r="CK6" i="35"/>
  <c r="CL6" i="35"/>
  <c r="CM6" i="35"/>
  <c r="CN6" i="35"/>
  <c r="CO6" i="35"/>
  <c r="CP6" i="35"/>
  <c r="CQ6" i="35"/>
  <c r="CR6" i="35"/>
  <c r="CS6" i="35"/>
  <c r="CT6" i="35"/>
  <c r="CU6" i="35"/>
  <c r="CV6" i="35"/>
  <c r="CW6" i="35"/>
  <c r="CX6" i="35"/>
  <c r="CY6" i="35"/>
  <c r="CZ6" i="35"/>
  <c r="DA6" i="35"/>
  <c r="DB6" i="35"/>
  <c r="DC6" i="35"/>
  <c r="DD6" i="35"/>
  <c r="CG6" i="33"/>
  <c r="CH6" i="33"/>
  <c r="CI6" i="33"/>
  <c r="CJ6" i="33"/>
  <c r="CK6" i="33"/>
  <c r="CL6" i="33"/>
  <c r="CM6" i="33"/>
  <c r="CN6" i="33"/>
  <c r="CO6" i="33"/>
  <c r="CP6" i="33"/>
  <c r="CQ6" i="33"/>
  <c r="CR6" i="33"/>
  <c r="CS6" i="33"/>
  <c r="CT6" i="33"/>
  <c r="CU6" i="33"/>
  <c r="CV6" i="33"/>
  <c r="CW6" i="33"/>
  <c r="CX6" i="33"/>
  <c r="CY6" i="33"/>
  <c r="CZ6" i="33"/>
  <c r="DA6" i="33"/>
  <c r="DB6" i="33"/>
  <c r="DC6" i="33"/>
  <c r="DD6" i="33"/>
  <c r="CG6" i="34"/>
  <c r="CH6" i="34"/>
  <c r="CI6" i="34"/>
  <c r="CJ6" i="34"/>
  <c r="CK6" i="34"/>
  <c r="CL6" i="34"/>
  <c r="CM6" i="34"/>
  <c r="CN6" i="34"/>
  <c r="CO6" i="34"/>
  <c r="CP6" i="34"/>
  <c r="CQ6" i="34"/>
  <c r="CR6" i="34"/>
  <c r="CS6" i="34"/>
  <c r="CT6" i="34"/>
  <c r="CU6" i="34"/>
  <c r="CV6" i="34"/>
  <c r="CW6" i="34"/>
  <c r="CX6" i="34"/>
  <c r="CY6" i="34"/>
  <c r="CZ6" i="34"/>
  <c r="DA6" i="34"/>
  <c r="DB6" i="34"/>
  <c r="DC6" i="34"/>
  <c r="DD6" i="34"/>
  <c r="CG6" i="38"/>
  <c r="CH6" i="38"/>
  <c r="CI6" i="38"/>
  <c r="CJ6" i="38"/>
  <c r="CK6" i="38"/>
  <c r="CL6" i="38"/>
  <c r="CM6" i="38"/>
  <c r="CN6" i="38"/>
  <c r="CO6" i="38"/>
  <c r="CP6" i="38"/>
  <c r="CQ6" i="38"/>
  <c r="CR6" i="38"/>
  <c r="CS6" i="38"/>
  <c r="CT6" i="38"/>
  <c r="CU6" i="38"/>
  <c r="CV6" i="38"/>
  <c r="CW6" i="38"/>
  <c r="CX6" i="38"/>
  <c r="CY6" i="38"/>
  <c r="CZ6" i="38"/>
  <c r="DA6" i="38"/>
  <c r="DB6" i="38"/>
  <c r="DC6" i="38"/>
  <c r="DD6" i="38"/>
  <c r="CG6" i="40"/>
  <c r="CH6" i="40"/>
  <c r="CI6" i="40"/>
  <c r="CJ6" i="40"/>
  <c r="CK6" i="40"/>
  <c r="CL6" i="40"/>
  <c r="CM6" i="40"/>
  <c r="CN6" i="40"/>
  <c r="CO6" i="40"/>
  <c r="CP6" i="40"/>
  <c r="CQ6" i="40"/>
  <c r="CR6" i="40"/>
  <c r="CS6" i="40"/>
  <c r="CT6" i="40"/>
  <c r="CU6" i="40"/>
  <c r="CV6" i="40"/>
  <c r="CW6" i="40"/>
  <c r="CX6" i="40"/>
  <c r="CY6" i="40"/>
  <c r="CZ6" i="40"/>
  <c r="DA6" i="40"/>
  <c r="DB6" i="40"/>
  <c r="DC6" i="40"/>
  <c r="DD6" i="40"/>
  <c r="CG6" i="39"/>
  <c r="CH6" i="39"/>
  <c r="CI6" i="39"/>
  <c r="CJ6" i="39"/>
  <c r="CK6" i="39"/>
  <c r="CL6" i="39"/>
  <c r="CM6" i="39"/>
  <c r="CN6" i="39"/>
  <c r="CO6" i="39"/>
  <c r="CP6" i="39"/>
  <c r="CQ6" i="39"/>
  <c r="CR6" i="39"/>
  <c r="CS6" i="39"/>
  <c r="CT6" i="39"/>
  <c r="CU6" i="39"/>
  <c r="CV6" i="39"/>
  <c r="CW6" i="39"/>
  <c r="CX6" i="39"/>
  <c r="CY6" i="39"/>
  <c r="CZ6" i="39"/>
  <c r="DA6" i="39"/>
  <c r="DB6" i="39"/>
  <c r="DC6" i="39"/>
  <c r="DD6" i="39"/>
  <c r="CG6" i="41"/>
  <c r="CH6" i="41"/>
  <c r="CI6" i="41"/>
  <c r="CJ6" i="41"/>
  <c r="CK6" i="41"/>
  <c r="CL6" i="41"/>
  <c r="CM6" i="41"/>
  <c r="CN6" i="41"/>
  <c r="CO6" i="41"/>
  <c r="CP6" i="41"/>
  <c r="CQ6" i="41"/>
  <c r="CR6" i="41"/>
  <c r="CS6" i="41"/>
  <c r="CT6" i="41"/>
  <c r="CU6" i="41"/>
  <c r="CV6" i="41"/>
  <c r="CW6" i="41"/>
  <c r="CX6" i="41"/>
  <c r="CY6" i="41"/>
  <c r="CZ6" i="41"/>
  <c r="DA6" i="41"/>
  <c r="DB6" i="41"/>
  <c r="DC6" i="41"/>
  <c r="DD6" i="41"/>
  <c r="CG6" i="44"/>
  <c r="CH6" i="44"/>
  <c r="CI6" i="44"/>
  <c r="CJ6" i="44"/>
  <c r="CK6" i="44"/>
  <c r="CL6" i="44"/>
  <c r="CM6" i="44"/>
  <c r="CN6" i="44"/>
  <c r="CO6" i="44"/>
  <c r="CP6" i="44"/>
  <c r="CQ6" i="44"/>
  <c r="CR6" i="44"/>
  <c r="CS6" i="44"/>
  <c r="CT6" i="44"/>
  <c r="CU6" i="44"/>
  <c r="CV6" i="44"/>
  <c r="CW6" i="44"/>
  <c r="CX6" i="44"/>
  <c r="CY6" i="44"/>
  <c r="CZ6" i="44"/>
  <c r="DA6" i="44"/>
  <c r="DB6" i="44"/>
  <c r="DC6" i="44"/>
  <c r="DD6" i="44"/>
  <c r="CG6" i="42"/>
  <c r="CH6" i="42"/>
  <c r="CI6" i="42"/>
  <c r="CJ6" i="42"/>
  <c r="CK6" i="42"/>
  <c r="CL6" i="42"/>
  <c r="CM6" i="42"/>
  <c r="CN6" i="42"/>
  <c r="CO6" i="42"/>
  <c r="CP6" i="42"/>
  <c r="CQ6" i="42"/>
  <c r="CR6" i="42"/>
  <c r="CS6" i="42"/>
  <c r="CT6" i="42"/>
  <c r="CU6" i="42"/>
  <c r="CV6" i="42"/>
  <c r="CW6" i="42"/>
  <c r="CX6" i="42"/>
  <c r="CY6" i="42"/>
  <c r="CZ6" i="42"/>
  <c r="DA6" i="42"/>
  <c r="DB6" i="42"/>
  <c r="DC6" i="42"/>
  <c r="DD6" i="42"/>
  <c r="CG6" i="43"/>
  <c r="CH6" i="43"/>
  <c r="CI6" i="43"/>
  <c r="CJ6" i="43"/>
  <c r="CK6" i="43"/>
  <c r="CL6" i="43"/>
  <c r="CM6" i="43"/>
  <c r="CN6" i="43"/>
  <c r="CO6" i="43"/>
  <c r="CP6" i="43"/>
  <c r="CQ6" i="43"/>
  <c r="CR6" i="43"/>
  <c r="CS6" i="43"/>
  <c r="CT6" i="43"/>
  <c r="CU6" i="43"/>
  <c r="CV6" i="43"/>
  <c r="CW6" i="43"/>
  <c r="CX6" i="43"/>
  <c r="CY6" i="43"/>
  <c r="CZ6" i="43"/>
  <c r="DA6" i="43"/>
  <c r="DB6" i="43"/>
  <c r="DC6" i="43"/>
  <c r="DD6" i="43"/>
  <c r="CG6" i="49"/>
  <c r="CH6" i="49"/>
  <c r="CI6" i="49"/>
  <c r="CJ6" i="49"/>
  <c r="CK6" i="49"/>
  <c r="CL6" i="49"/>
  <c r="CM6" i="49"/>
  <c r="CN6" i="49"/>
  <c r="CO6" i="49"/>
  <c r="CP6" i="49"/>
  <c r="CQ6" i="49"/>
  <c r="CR6" i="49"/>
  <c r="CS6" i="49"/>
  <c r="CT6" i="49"/>
  <c r="CU6" i="49"/>
  <c r="CV6" i="49"/>
  <c r="CW6" i="49"/>
  <c r="CX6" i="49"/>
  <c r="CY6" i="49"/>
  <c r="CZ6" i="49"/>
  <c r="DA6" i="49"/>
  <c r="DB6" i="49"/>
  <c r="DC6" i="49"/>
  <c r="DD6" i="49"/>
  <c r="CG6" i="50"/>
  <c r="CH6" i="50"/>
  <c r="CI6" i="50"/>
  <c r="CJ6" i="50"/>
  <c r="CK6" i="50"/>
  <c r="CL6" i="50"/>
  <c r="CM6" i="50"/>
  <c r="CN6" i="50"/>
  <c r="CO6" i="50"/>
  <c r="CP6" i="50"/>
  <c r="CQ6" i="50"/>
  <c r="CR6" i="50"/>
  <c r="CS6" i="50"/>
  <c r="CT6" i="50"/>
  <c r="CU6" i="50"/>
  <c r="CV6" i="50"/>
  <c r="CW6" i="50"/>
  <c r="CX6" i="50"/>
  <c r="CY6" i="50"/>
  <c r="CZ6" i="50"/>
  <c r="DA6" i="50"/>
  <c r="DB6" i="50"/>
  <c r="DC6" i="50"/>
  <c r="DD6" i="50"/>
  <c r="CG6" i="67"/>
  <c r="CH6" i="67"/>
  <c r="CI6" i="67"/>
  <c r="CJ6" i="67"/>
  <c r="CK6" i="67"/>
  <c r="CL6" i="67"/>
  <c r="CM6" i="67"/>
  <c r="CN6" i="67"/>
  <c r="CO6" i="67"/>
  <c r="CP6" i="67"/>
  <c r="CQ6" i="67"/>
  <c r="CR6" i="67"/>
  <c r="CS6" i="67"/>
  <c r="CT6" i="67"/>
  <c r="CU6" i="67"/>
  <c r="CV6" i="67"/>
  <c r="CW6" i="67"/>
  <c r="CX6" i="67"/>
  <c r="CY6" i="67"/>
  <c r="CZ6" i="67"/>
  <c r="DA6" i="67"/>
  <c r="DB6" i="67"/>
  <c r="DC6" i="67"/>
  <c r="DD6" i="67"/>
  <c r="CG6" i="51"/>
  <c r="CH6" i="51"/>
  <c r="CI6" i="51"/>
  <c r="CJ6" i="51"/>
  <c r="CK6" i="51"/>
  <c r="CL6" i="51"/>
  <c r="CM6" i="51"/>
  <c r="CN6" i="51"/>
  <c r="CO6" i="51"/>
  <c r="CP6" i="51"/>
  <c r="CQ6" i="51"/>
  <c r="CR6" i="51"/>
  <c r="CS6" i="51"/>
  <c r="CT6" i="51"/>
  <c r="CU6" i="51"/>
  <c r="CV6" i="51"/>
  <c r="CW6" i="51"/>
  <c r="CX6" i="51"/>
  <c r="CY6" i="51"/>
  <c r="CZ6" i="51"/>
  <c r="DA6" i="51"/>
  <c r="DB6" i="51"/>
  <c r="DC6" i="51"/>
  <c r="DD6" i="51"/>
  <c r="CG6" i="52"/>
  <c r="CH6" i="52"/>
  <c r="CI6" i="52"/>
  <c r="CJ6" i="52"/>
  <c r="CK6" i="52"/>
  <c r="CL6" i="52"/>
  <c r="CM6" i="52"/>
  <c r="CN6" i="52"/>
  <c r="CO6" i="52"/>
  <c r="CP6" i="52"/>
  <c r="CQ6" i="52"/>
  <c r="CR6" i="52"/>
  <c r="CS6" i="52"/>
  <c r="CT6" i="52"/>
  <c r="CU6" i="52"/>
  <c r="CV6" i="52"/>
  <c r="CW6" i="52"/>
  <c r="CX6" i="52"/>
  <c r="CY6" i="52"/>
  <c r="CZ6" i="52"/>
  <c r="DA6" i="52"/>
  <c r="DB6" i="52"/>
  <c r="DC6" i="52"/>
  <c r="DD6" i="52"/>
  <c r="CG6" i="53"/>
  <c r="CH6" i="53"/>
  <c r="CI6" i="53"/>
  <c r="CJ6" i="53"/>
  <c r="CK6" i="53"/>
  <c r="CL6" i="53"/>
  <c r="CM6" i="53"/>
  <c r="CN6" i="53"/>
  <c r="CO6" i="53"/>
  <c r="CP6" i="53"/>
  <c r="CQ6" i="53"/>
  <c r="CR6" i="53"/>
  <c r="CS6" i="53"/>
  <c r="CT6" i="53"/>
  <c r="CU6" i="53"/>
  <c r="CV6" i="53"/>
  <c r="CW6" i="53"/>
  <c r="CX6" i="53"/>
  <c r="CY6" i="53"/>
  <c r="CZ6" i="53"/>
  <c r="DA6" i="53"/>
  <c r="DB6" i="53"/>
  <c r="DC6" i="53"/>
  <c r="DD6" i="53"/>
  <c r="CG6" i="54"/>
  <c r="CH6" i="54"/>
  <c r="CI6" i="54"/>
  <c r="CJ6" i="54"/>
  <c r="CK6" i="54"/>
  <c r="CL6" i="54"/>
  <c r="CM6" i="54"/>
  <c r="CN6" i="54"/>
  <c r="CO6" i="54"/>
  <c r="CP6" i="54"/>
  <c r="CQ6" i="54"/>
  <c r="CR6" i="54"/>
  <c r="CS6" i="54"/>
  <c r="CT6" i="54"/>
  <c r="CU6" i="54"/>
  <c r="CV6" i="54"/>
  <c r="CW6" i="54"/>
  <c r="CX6" i="54"/>
  <c r="CY6" i="54"/>
  <c r="CZ6" i="54"/>
  <c r="DA6" i="54"/>
  <c r="DB6" i="54"/>
  <c r="DC6" i="54"/>
  <c r="DD6" i="54"/>
  <c r="CG6" i="55"/>
  <c r="CH6" i="55"/>
  <c r="CI6" i="55"/>
  <c r="CJ6" i="55"/>
  <c r="CK6" i="55"/>
  <c r="CL6" i="55"/>
  <c r="CM6" i="55"/>
  <c r="CN6" i="55"/>
  <c r="CO6" i="55"/>
  <c r="CP6" i="55"/>
  <c r="CQ6" i="55"/>
  <c r="CR6" i="55"/>
  <c r="CS6" i="55"/>
  <c r="CT6" i="55"/>
  <c r="CU6" i="55"/>
  <c r="CV6" i="55"/>
  <c r="CW6" i="55"/>
  <c r="CX6" i="55"/>
  <c r="CY6" i="55"/>
  <c r="CZ6" i="55"/>
  <c r="DA6" i="55"/>
  <c r="DB6" i="55"/>
  <c r="DC6" i="55"/>
  <c r="DD6" i="55"/>
  <c r="CI6" i="47"/>
  <c r="CJ6" i="47"/>
  <c r="CK6" i="47"/>
  <c r="CL6" i="47"/>
  <c r="CM6" i="47"/>
  <c r="CN6" i="47"/>
  <c r="CO6" i="47"/>
  <c r="CP6" i="47"/>
  <c r="CQ6" i="47"/>
  <c r="CR6" i="47"/>
  <c r="CS6" i="47"/>
  <c r="CT6" i="47"/>
  <c r="CU6" i="47"/>
  <c r="CV6" i="47"/>
  <c r="CW6" i="47"/>
  <c r="CX6" i="47"/>
  <c r="CY6" i="47"/>
  <c r="CZ6" i="47"/>
  <c r="DA6" i="47"/>
  <c r="DB6" i="47"/>
  <c r="DC6" i="47"/>
  <c r="DD6" i="47"/>
  <c r="DE6" i="47"/>
  <c r="DF6" i="47"/>
  <c r="CG6" i="45"/>
  <c r="CH6" i="45"/>
  <c r="CI6" i="45"/>
  <c r="CJ6" i="45"/>
  <c r="CK6" i="45"/>
  <c r="CL6" i="45"/>
  <c r="CM6" i="45"/>
  <c r="CN6" i="45"/>
  <c r="CO6" i="45"/>
  <c r="CP6" i="45"/>
  <c r="CQ6" i="45"/>
  <c r="CR6" i="45"/>
  <c r="CS6" i="45"/>
  <c r="CT6" i="45"/>
  <c r="CU6" i="45"/>
  <c r="CV6" i="45"/>
  <c r="CW6" i="45"/>
  <c r="CX6" i="45"/>
  <c r="CY6" i="45"/>
  <c r="CZ6" i="45"/>
  <c r="DA6" i="45"/>
  <c r="DB6" i="45"/>
  <c r="DC6" i="45"/>
  <c r="DD6" i="45"/>
  <c r="CG6" i="48"/>
  <c r="CH6" i="48"/>
  <c r="CI6" i="48"/>
  <c r="CJ6" i="48"/>
  <c r="CK6" i="48"/>
  <c r="CL6" i="48"/>
  <c r="CM6" i="48"/>
  <c r="CN6" i="48"/>
  <c r="CO6" i="48"/>
  <c r="CP6" i="48"/>
  <c r="CQ6" i="48"/>
  <c r="CR6" i="48"/>
  <c r="CS6" i="48"/>
  <c r="CT6" i="48"/>
  <c r="CU6" i="48"/>
  <c r="CV6" i="48"/>
  <c r="CW6" i="48"/>
  <c r="CX6" i="48"/>
  <c r="CY6" i="48"/>
  <c r="CZ6" i="48"/>
  <c r="DA6" i="48"/>
  <c r="DB6" i="48"/>
  <c r="DC6" i="48"/>
  <c r="DD6" i="48"/>
  <c r="CG6" i="46"/>
  <c r="CH6" i="46"/>
  <c r="CI6" i="46"/>
  <c r="CJ6" i="46"/>
  <c r="CK6" i="46"/>
  <c r="CL6" i="46"/>
  <c r="CM6" i="46"/>
  <c r="CN6" i="46"/>
  <c r="CO6" i="46"/>
  <c r="CP6" i="46"/>
  <c r="CQ6" i="46"/>
  <c r="CR6" i="46"/>
  <c r="CS6" i="46"/>
  <c r="CT6" i="46"/>
  <c r="CU6" i="46"/>
  <c r="CV6" i="46"/>
  <c r="CW6" i="46"/>
  <c r="CX6" i="46"/>
  <c r="CY6" i="46"/>
  <c r="CZ6" i="46"/>
  <c r="DA6" i="46"/>
  <c r="DB6" i="46"/>
  <c r="DC6" i="46"/>
  <c r="DD6" i="46"/>
  <c r="CG6" i="56"/>
  <c r="CH6" i="56"/>
  <c r="CI6" i="56"/>
  <c r="CJ6" i="56"/>
  <c r="CK6" i="56"/>
  <c r="CL6" i="56"/>
  <c r="CM6" i="56"/>
  <c r="CN6" i="56"/>
  <c r="CO6" i="56"/>
  <c r="CP6" i="56"/>
  <c r="CQ6" i="56"/>
  <c r="CR6" i="56"/>
  <c r="CS6" i="56"/>
  <c r="CT6" i="56"/>
  <c r="CU6" i="56"/>
  <c r="CV6" i="56"/>
  <c r="CW6" i="56"/>
  <c r="CX6" i="56"/>
  <c r="CY6" i="56"/>
  <c r="CZ6" i="56"/>
  <c r="DA6" i="56"/>
  <c r="DB6" i="56"/>
  <c r="DC6" i="56"/>
  <c r="DD6" i="56"/>
  <c r="CG6" i="58"/>
  <c r="CH6" i="58"/>
  <c r="CI6" i="58"/>
  <c r="CJ6" i="58"/>
  <c r="CK6" i="58"/>
  <c r="CL6" i="58"/>
  <c r="CM6" i="58"/>
  <c r="CN6" i="58"/>
  <c r="CO6" i="58"/>
  <c r="CP6" i="58"/>
  <c r="CQ6" i="58"/>
  <c r="CR6" i="58"/>
  <c r="CS6" i="58"/>
  <c r="CT6" i="58"/>
  <c r="CU6" i="58"/>
  <c r="CV6" i="58"/>
  <c r="CW6" i="58"/>
  <c r="CX6" i="58"/>
  <c r="CY6" i="58"/>
  <c r="CZ6" i="58"/>
  <c r="DA6" i="58"/>
  <c r="DB6" i="58"/>
  <c r="DC6" i="58"/>
  <c r="DD6" i="58"/>
  <c r="CH6" i="57"/>
  <c r="CI6" i="57"/>
  <c r="CJ6" i="57"/>
  <c r="CK6" i="57"/>
  <c r="CL6" i="57"/>
  <c r="CM6" i="57"/>
  <c r="CN6" i="57"/>
  <c r="CO6" i="57"/>
  <c r="CP6" i="57"/>
  <c r="CQ6" i="57"/>
  <c r="CR6" i="57"/>
  <c r="CS6" i="57"/>
  <c r="CT6" i="57"/>
  <c r="CU6" i="57"/>
  <c r="CV6" i="57"/>
  <c r="CW6" i="57"/>
  <c r="CX6" i="57"/>
  <c r="CY6" i="57"/>
  <c r="CZ6" i="57"/>
  <c r="DA6" i="57"/>
  <c r="DB6" i="57"/>
  <c r="DC6" i="57"/>
  <c r="DD6" i="57"/>
  <c r="DE6" i="57"/>
  <c r="CG6" i="59"/>
  <c r="CH6" i="59"/>
  <c r="CI6" i="59"/>
  <c r="CJ6" i="59"/>
  <c r="CK6" i="59"/>
  <c r="CL6" i="59"/>
  <c r="CM6" i="59"/>
  <c r="CN6" i="59"/>
  <c r="CO6" i="59"/>
  <c r="CP6" i="59"/>
  <c r="CQ6" i="59"/>
  <c r="CR6" i="59"/>
  <c r="CS6" i="59"/>
  <c r="CT6" i="59"/>
  <c r="CU6" i="59"/>
  <c r="CV6" i="59"/>
  <c r="CW6" i="59"/>
  <c r="CX6" i="59"/>
  <c r="CY6" i="59"/>
  <c r="CZ6" i="59"/>
  <c r="DA6" i="59"/>
  <c r="DB6" i="59"/>
  <c r="DC6" i="59"/>
  <c r="DD6" i="59"/>
  <c r="CG6" i="60"/>
  <c r="CH6" i="60"/>
  <c r="CI6" i="60"/>
  <c r="CJ6" i="60"/>
  <c r="CK6" i="60"/>
  <c r="CL6" i="60"/>
  <c r="CM6" i="60"/>
  <c r="CN6" i="60"/>
  <c r="CO6" i="60"/>
  <c r="CP6" i="60"/>
  <c r="CQ6" i="60"/>
  <c r="CR6" i="60"/>
  <c r="CS6" i="60"/>
  <c r="CT6" i="60"/>
  <c r="CU6" i="60"/>
  <c r="CV6" i="60"/>
  <c r="CW6" i="60"/>
  <c r="CX6" i="60"/>
  <c r="CY6" i="60"/>
  <c r="CZ6" i="60"/>
  <c r="DA6" i="60"/>
  <c r="DB6" i="60"/>
  <c r="DC6" i="60"/>
  <c r="DD6" i="60"/>
  <c r="CG6" i="61"/>
  <c r="CH6" i="61"/>
  <c r="CI6" i="61"/>
  <c r="CJ6" i="61"/>
  <c r="CK6" i="61"/>
  <c r="CL6" i="61"/>
  <c r="CM6" i="61"/>
  <c r="CN6" i="61"/>
  <c r="CO6" i="61"/>
  <c r="CP6" i="61"/>
  <c r="CQ6" i="61"/>
  <c r="CR6" i="61"/>
  <c r="CS6" i="61"/>
  <c r="CT6" i="61"/>
  <c r="CU6" i="61"/>
  <c r="CV6" i="61"/>
  <c r="CW6" i="61"/>
  <c r="CX6" i="61"/>
  <c r="CY6" i="61"/>
  <c r="CZ6" i="61"/>
  <c r="DA6" i="61"/>
  <c r="DB6" i="61"/>
  <c r="DC6" i="61"/>
  <c r="DD6" i="61"/>
  <c r="CG6" i="31"/>
  <c r="CH6" i="31"/>
  <c r="CI6" i="31"/>
  <c r="CJ6" i="31"/>
  <c r="CK6" i="31"/>
  <c r="CL6" i="31"/>
  <c r="CM6" i="31"/>
  <c r="CN6" i="31"/>
  <c r="CO6" i="31"/>
  <c r="CP6" i="31"/>
  <c r="CQ6" i="31"/>
  <c r="CR6" i="31"/>
  <c r="CS6" i="31"/>
  <c r="CT6" i="31"/>
  <c r="CU6" i="31"/>
  <c r="CV6" i="31"/>
  <c r="CW6" i="31"/>
  <c r="CX6" i="31"/>
  <c r="CY6" i="31"/>
  <c r="CZ6" i="31"/>
  <c r="DA6" i="31"/>
  <c r="DB6" i="31"/>
  <c r="DC6" i="31"/>
  <c r="DD6" i="31"/>
  <c r="CD16" i="36"/>
  <c r="CD15" i="36"/>
  <c r="CD14" i="36"/>
  <c r="CD13" i="36"/>
  <c r="CD12" i="36"/>
  <c r="CD11" i="36"/>
  <c r="CD10" i="36"/>
  <c r="CD9" i="36"/>
  <c r="CD8" i="36"/>
  <c r="CD7" i="36"/>
  <c r="CD6" i="36"/>
  <c r="CD16" i="35"/>
  <c r="CD15" i="35"/>
  <c r="CD14" i="35"/>
  <c r="CD13" i="35"/>
  <c r="CD12" i="35"/>
  <c r="CD11" i="35"/>
  <c r="CD10" i="35"/>
  <c r="CD9" i="35"/>
  <c r="CD8" i="35"/>
  <c r="CD7" i="35"/>
  <c r="CD6" i="35"/>
  <c r="CD16" i="33"/>
  <c r="CD15" i="33"/>
  <c r="CD14" i="33"/>
  <c r="CD13" i="33"/>
  <c r="CD12" i="33"/>
  <c r="CD11" i="33"/>
  <c r="CD10" i="33"/>
  <c r="CD9" i="33"/>
  <c r="CD8" i="33"/>
  <c r="CD7" i="33"/>
  <c r="CD6" i="33"/>
  <c r="CD16" i="34"/>
  <c r="CD15" i="34"/>
  <c r="CD14" i="34"/>
  <c r="CD13" i="34"/>
  <c r="CD12" i="34"/>
  <c r="CD11" i="34"/>
  <c r="CD10" i="34"/>
  <c r="CD9" i="34"/>
  <c r="CD8" i="34"/>
  <c r="CD7" i="34"/>
  <c r="CD6" i="34"/>
  <c r="CD16" i="38"/>
  <c r="CD15" i="38"/>
  <c r="CD14" i="38"/>
  <c r="CD13" i="38"/>
  <c r="CD12" i="38"/>
  <c r="CD11" i="38"/>
  <c r="CD10" i="38"/>
  <c r="CD9" i="38"/>
  <c r="CD8" i="38"/>
  <c r="CD7" i="38"/>
  <c r="CD6" i="38"/>
  <c r="CD16" i="40"/>
  <c r="CD15" i="40"/>
  <c r="CD14" i="40"/>
  <c r="CD13" i="40"/>
  <c r="CD12" i="40"/>
  <c r="CD11" i="40"/>
  <c r="CD10" i="40"/>
  <c r="CD9" i="40"/>
  <c r="CD8" i="40"/>
  <c r="CD7" i="40"/>
  <c r="CD6" i="40"/>
  <c r="CD16" i="39"/>
  <c r="CD15" i="39"/>
  <c r="CD14" i="39"/>
  <c r="CD13" i="39"/>
  <c r="CD12" i="39"/>
  <c r="CD11" i="39"/>
  <c r="CD10" i="39"/>
  <c r="CD9" i="39"/>
  <c r="CD8" i="39"/>
  <c r="CD7" i="39"/>
  <c r="CD6" i="39"/>
  <c r="CD16" i="41"/>
  <c r="CD15" i="41"/>
  <c r="CD14" i="41"/>
  <c r="CD13" i="41"/>
  <c r="CD12" i="41"/>
  <c r="CD11" i="41"/>
  <c r="CD10" i="41"/>
  <c r="CD9" i="41"/>
  <c r="CD8" i="41"/>
  <c r="CD7" i="41"/>
  <c r="CD6" i="41"/>
  <c r="CD16" i="44"/>
  <c r="CD15" i="44"/>
  <c r="CD14" i="44"/>
  <c r="CD13" i="44"/>
  <c r="CD12" i="44"/>
  <c r="CD11" i="44"/>
  <c r="CD10" i="44"/>
  <c r="CD9" i="44"/>
  <c r="CD8" i="44"/>
  <c r="CD7" i="44"/>
  <c r="CD6" i="44"/>
  <c r="CD16" i="42"/>
  <c r="CD15" i="42"/>
  <c r="CD14" i="42"/>
  <c r="CD13" i="42"/>
  <c r="CD12" i="42"/>
  <c r="CD11" i="42"/>
  <c r="CD10" i="42"/>
  <c r="CD9" i="42"/>
  <c r="CD8" i="42"/>
  <c r="CD7" i="42"/>
  <c r="CD6" i="42"/>
  <c r="CD16" i="43"/>
  <c r="CD15" i="43"/>
  <c r="CD14" i="43"/>
  <c r="CD13" i="43"/>
  <c r="CD12" i="43"/>
  <c r="CD11" i="43"/>
  <c r="CD10" i="43"/>
  <c r="CD9" i="43"/>
  <c r="CD8" i="43"/>
  <c r="CD7" i="43"/>
  <c r="CD6" i="43"/>
  <c r="CD16" i="49"/>
  <c r="CD15" i="49"/>
  <c r="CD14" i="49"/>
  <c r="CD13" i="49"/>
  <c r="CD12" i="49"/>
  <c r="CD11" i="49"/>
  <c r="CD10" i="49"/>
  <c r="CD9" i="49"/>
  <c r="CD8" i="49"/>
  <c r="CD7" i="49"/>
  <c r="CD6" i="49"/>
  <c r="CD16" i="50"/>
  <c r="CD15" i="50"/>
  <c r="CD14" i="50"/>
  <c r="CD13" i="50"/>
  <c r="CD12" i="50"/>
  <c r="CD11" i="50"/>
  <c r="CD10" i="50"/>
  <c r="CD9" i="50"/>
  <c r="CD8" i="50"/>
  <c r="CD7" i="50"/>
  <c r="CD6" i="50"/>
  <c r="CD16" i="67"/>
  <c r="CD15" i="67"/>
  <c r="CD14" i="67"/>
  <c r="CD13" i="67"/>
  <c r="CD12" i="67"/>
  <c r="CD11" i="67"/>
  <c r="CD10" i="67"/>
  <c r="CD9" i="67"/>
  <c r="CD8" i="67"/>
  <c r="CD7" i="67"/>
  <c r="CD6" i="67"/>
  <c r="CD16" i="51"/>
  <c r="CD15" i="51"/>
  <c r="CD14" i="51"/>
  <c r="CD13" i="51"/>
  <c r="CD12" i="51"/>
  <c r="CD11" i="51"/>
  <c r="CD10" i="51"/>
  <c r="CD9" i="51"/>
  <c r="CD8" i="51"/>
  <c r="CD7" i="51"/>
  <c r="CD6" i="51"/>
  <c r="CD16" i="52"/>
  <c r="CD15" i="52"/>
  <c r="CD14" i="52"/>
  <c r="CD13" i="52"/>
  <c r="CD12" i="52"/>
  <c r="CD11" i="52"/>
  <c r="CD10" i="52"/>
  <c r="CD9" i="52"/>
  <c r="CD8" i="52"/>
  <c r="CD7" i="52"/>
  <c r="CD6" i="52"/>
  <c r="CD16" i="53"/>
  <c r="CD15" i="53"/>
  <c r="CD14" i="53"/>
  <c r="CD13" i="53"/>
  <c r="CD12" i="53"/>
  <c r="CD11" i="53"/>
  <c r="CD10" i="53"/>
  <c r="CD9" i="53"/>
  <c r="CD8" i="53"/>
  <c r="CD7" i="53"/>
  <c r="CD6" i="53"/>
  <c r="CD16" i="54"/>
  <c r="CD15" i="54"/>
  <c r="CD14" i="54"/>
  <c r="CD13" i="54"/>
  <c r="CD12" i="54"/>
  <c r="CD11" i="54"/>
  <c r="CD10" i="54"/>
  <c r="CD9" i="54"/>
  <c r="CD8" i="54"/>
  <c r="CD7" i="54"/>
  <c r="CD6" i="54"/>
  <c r="CD16" i="55"/>
  <c r="CD15" i="55"/>
  <c r="CD14" i="55"/>
  <c r="CD13" i="55"/>
  <c r="CD12" i="55"/>
  <c r="CD11" i="55"/>
  <c r="CD10" i="55"/>
  <c r="CD9" i="55"/>
  <c r="CD8" i="55"/>
  <c r="CD7" i="55"/>
  <c r="CD6" i="55"/>
  <c r="CF16" i="47"/>
  <c r="CF15" i="47"/>
  <c r="CF14" i="47"/>
  <c r="CF13" i="47"/>
  <c r="CF12" i="47"/>
  <c r="CF11" i="47"/>
  <c r="CF10" i="47"/>
  <c r="CF9" i="47"/>
  <c r="CF8" i="47"/>
  <c r="CF7" i="47"/>
  <c r="CF6" i="47"/>
  <c r="CD16" i="45"/>
  <c r="CD15" i="45"/>
  <c r="CD14" i="45"/>
  <c r="CD13" i="45"/>
  <c r="CD12" i="45"/>
  <c r="CD11" i="45"/>
  <c r="CD10" i="45"/>
  <c r="CD9" i="45"/>
  <c r="CD8" i="45"/>
  <c r="CD7" i="45"/>
  <c r="CD6" i="45"/>
  <c r="CD16" i="48"/>
  <c r="CD15" i="48"/>
  <c r="CD14" i="48"/>
  <c r="CD13" i="48"/>
  <c r="CD12" i="48"/>
  <c r="CD11" i="48"/>
  <c r="CD10" i="48"/>
  <c r="CD9" i="48"/>
  <c r="CD8" i="48"/>
  <c r="CD7" i="48"/>
  <c r="CD6" i="48"/>
  <c r="CD16" i="46"/>
  <c r="CD15" i="46"/>
  <c r="CD14" i="46"/>
  <c r="CD13" i="46"/>
  <c r="CD12" i="46"/>
  <c r="CD11" i="46"/>
  <c r="CD10" i="46"/>
  <c r="CD9" i="46"/>
  <c r="CD8" i="46"/>
  <c r="CD7" i="46"/>
  <c r="CD6" i="46"/>
  <c r="CD16" i="56"/>
  <c r="CD15" i="56"/>
  <c r="CD14" i="56"/>
  <c r="CD13" i="56"/>
  <c r="CD12" i="56"/>
  <c r="CD11" i="56"/>
  <c r="CD10" i="56"/>
  <c r="CD9" i="56"/>
  <c r="CD8" i="56"/>
  <c r="CD7" i="56"/>
  <c r="CD6" i="56"/>
  <c r="CD16" i="58"/>
  <c r="CD15" i="58"/>
  <c r="CD14" i="58"/>
  <c r="CD13" i="58"/>
  <c r="CD12" i="58"/>
  <c r="CD11" i="58"/>
  <c r="CD10" i="58"/>
  <c r="CD9" i="58"/>
  <c r="CD8" i="58"/>
  <c r="CD7" i="58"/>
  <c r="CD6" i="58"/>
  <c r="CE16" i="57"/>
  <c r="CE15" i="57"/>
  <c r="CE14" i="57"/>
  <c r="CE13" i="57"/>
  <c r="CE12" i="57"/>
  <c r="CE11" i="57"/>
  <c r="CE10" i="57"/>
  <c r="CE9" i="57"/>
  <c r="CE8" i="57"/>
  <c r="CE7" i="57"/>
  <c r="CE6" i="57"/>
  <c r="CD16" i="59"/>
  <c r="CD15" i="59"/>
  <c r="CD14" i="59"/>
  <c r="CD13" i="59"/>
  <c r="CD12" i="59"/>
  <c r="CD11" i="59"/>
  <c r="CD10" i="59"/>
  <c r="CD9" i="59"/>
  <c r="CD8" i="59"/>
  <c r="CD7" i="59"/>
  <c r="CD6" i="59"/>
  <c r="CD16" i="60"/>
  <c r="CD15" i="60"/>
  <c r="CD14" i="60"/>
  <c r="CD13" i="60"/>
  <c r="CD12" i="60"/>
  <c r="CD11" i="60"/>
  <c r="CD10" i="60"/>
  <c r="CD9" i="60"/>
  <c r="CD8" i="60"/>
  <c r="CD7" i="60"/>
  <c r="CD6" i="60"/>
  <c r="CD16" i="61"/>
  <c r="CD15" i="61"/>
  <c r="CD14" i="61"/>
  <c r="CD13" i="61"/>
  <c r="CD12" i="61"/>
  <c r="CD11" i="61"/>
  <c r="CD10" i="61"/>
  <c r="CD9" i="61"/>
  <c r="CD8" i="61"/>
  <c r="CD7" i="61"/>
  <c r="CD6" i="61"/>
  <c r="CD16" i="31"/>
  <c r="CD15" i="31"/>
  <c r="CD14" i="31"/>
  <c r="CD13" i="31"/>
  <c r="CD12" i="31"/>
  <c r="CD11" i="31"/>
  <c r="CD10" i="31"/>
  <c r="CD9" i="31"/>
  <c r="CD8" i="31"/>
  <c r="CD7" i="31"/>
  <c r="CD6" i="31"/>
  <c r="CF5" i="31"/>
  <c r="CF5" i="61"/>
  <c r="CF5" i="60"/>
  <c r="CF5" i="59"/>
  <c r="CG5" i="57"/>
  <c r="CF5" i="58"/>
  <c r="CF5" i="56"/>
  <c r="CF5" i="46"/>
  <c r="CF5" i="48"/>
  <c r="CF5" i="45"/>
  <c r="CH5" i="47"/>
  <c r="CF5" i="55"/>
  <c r="CF5" i="54"/>
  <c r="CF5" i="53"/>
  <c r="CF5" i="52"/>
  <c r="CF5" i="51"/>
  <c r="CF5" i="67"/>
  <c r="CF5" i="50"/>
  <c r="CF5" i="49"/>
  <c r="CF5" i="43"/>
  <c r="CF5" i="42"/>
  <c r="CF5" i="44"/>
  <c r="CF5" i="41"/>
  <c r="CF5" i="39"/>
  <c r="CF5" i="40"/>
  <c r="CF5" i="38"/>
  <c r="CF5" i="34"/>
  <c r="CF5" i="33"/>
  <c r="CF5" i="35"/>
  <c r="CF5" i="36"/>
  <c r="CC6" i="36"/>
  <c r="CC7" i="36"/>
  <c r="CC8" i="36"/>
  <c r="CC9" i="36"/>
  <c r="CC10" i="36"/>
  <c r="CC11" i="36"/>
  <c r="CC12" i="36"/>
  <c r="CC13" i="36"/>
  <c r="CC14" i="36"/>
  <c r="CC15" i="36"/>
  <c r="CC16" i="36"/>
  <c r="CC6" i="35"/>
  <c r="CC7" i="35"/>
  <c r="CC8" i="35"/>
  <c r="CC9" i="35"/>
  <c r="CC10" i="35"/>
  <c r="CC11" i="35"/>
  <c r="CC12" i="35"/>
  <c r="CC13" i="35"/>
  <c r="CC14" i="35"/>
  <c r="CC15" i="35"/>
  <c r="CC16" i="35"/>
  <c r="CC6" i="33"/>
  <c r="CC7" i="33"/>
  <c r="CC8" i="33"/>
  <c r="CC9" i="33"/>
  <c r="CC10" i="33"/>
  <c r="CC11" i="33"/>
  <c r="CC12" i="33"/>
  <c r="CC13" i="33"/>
  <c r="CC14" i="33"/>
  <c r="CC15" i="33"/>
  <c r="CC16" i="33"/>
  <c r="CC6" i="34"/>
  <c r="CC7" i="34"/>
  <c r="CC8" i="34"/>
  <c r="CC9" i="34"/>
  <c r="CC10" i="34"/>
  <c r="CC11" i="34"/>
  <c r="CC12" i="34"/>
  <c r="CC13" i="34"/>
  <c r="CC14" i="34"/>
  <c r="CC15" i="34"/>
  <c r="CC16" i="34"/>
  <c r="CC6" i="38"/>
  <c r="CC7" i="38"/>
  <c r="CC8" i="38"/>
  <c r="CC9" i="38"/>
  <c r="CC10" i="38"/>
  <c r="CC11" i="38"/>
  <c r="CC12" i="38"/>
  <c r="CC13" i="38"/>
  <c r="CC14" i="38"/>
  <c r="CC15" i="38"/>
  <c r="CC16" i="38"/>
  <c r="CC6" i="40"/>
  <c r="CC7" i="40"/>
  <c r="CC8" i="40"/>
  <c r="CC9" i="40"/>
  <c r="CC10" i="40"/>
  <c r="CC11" i="40"/>
  <c r="CC12" i="40"/>
  <c r="CC13" i="40"/>
  <c r="CC14" i="40"/>
  <c r="CC15" i="40"/>
  <c r="CC16" i="40"/>
  <c r="CC6" i="39"/>
  <c r="CC7" i="39"/>
  <c r="CC8" i="39"/>
  <c r="CC9" i="39"/>
  <c r="CC10" i="39"/>
  <c r="CC11" i="39"/>
  <c r="CC12" i="39"/>
  <c r="CC13" i="39"/>
  <c r="CC14" i="39"/>
  <c r="CC15" i="39"/>
  <c r="CC16" i="39"/>
  <c r="CC6" i="41"/>
  <c r="CC7" i="41"/>
  <c r="CC8" i="41"/>
  <c r="CC9" i="41"/>
  <c r="CC10" i="41"/>
  <c r="CC11" i="41"/>
  <c r="CC12" i="41"/>
  <c r="CC13" i="41"/>
  <c r="CC14" i="41"/>
  <c r="CC15" i="41"/>
  <c r="CC16" i="41"/>
  <c r="CC6" i="44"/>
  <c r="CC7" i="44"/>
  <c r="CC8" i="44"/>
  <c r="CC9" i="44"/>
  <c r="CC10" i="44"/>
  <c r="CC11" i="44"/>
  <c r="CC12" i="44"/>
  <c r="CC13" i="44"/>
  <c r="CC14" i="44"/>
  <c r="CC15" i="44"/>
  <c r="CC16" i="44"/>
  <c r="CC6" i="42"/>
  <c r="CC7" i="42"/>
  <c r="CC8" i="42"/>
  <c r="CC9" i="42"/>
  <c r="CC10" i="42"/>
  <c r="CC11" i="42"/>
  <c r="CC12" i="42"/>
  <c r="CC13" i="42"/>
  <c r="CC14" i="42"/>
  <c r="CC15" i="42"/>
  <c r="CC16" i="42"/>
  <c r="CC6" i="43"/>
  <c r="CC7" i="43"/>
  <c r="CC8" i="43"/>
  <c r="CC9" i="43"/>
  <c r="CC10" i="43"/>
  <c r="CC11" i="43"/>
  <c r="CC12" i="43"/>
  <c r="CC13" i="43"/>
  <c r="CC14" i="43"/>
  <c r="CC15" i="43"/>
  <c r="CC16" i="43"/>
  <c r="CC6" i="49"/>
  <c r="CC7" i="49"/>
  <c r="CC8" i="49"/>
  <c r="CC9" i="49"/>
  <c r="CC10" i="49"/>
  <c r="CC11" i="49"/>
  <c r="CC12" i="49"/>
  <c r="CC13" i="49"/>
  <c r="CC14" i="49"/>
  <c r="CC15" i="49"/>
  <c r="CC16" i="49"/>
  <c r="CC6" i="50"/>
  <c r="CC7" i="50"/>
  <c r="CC8" i="50"/>
  <c r="CC9" i="50"/>
  <c r="CC10" i="50"/>
  <c r="CC11" i="50"/>
  <c r="CC12" i="50"/>
  <c r="CC13" i="50"/>
  <c r="CC14" i="50"/>
  <c r="CC15" i="50"/>
  <c r="CC16" i="50"/>
  <c r="CC6" i="67"/>
  <c r="CC7" i="67"/>
  <c r="CC8" i="67"/>
  <c r="CC9" i="67"/>
  <c r="CC10" i="67"/>
  <c r="CC11" i="67"/>
  <c r="CC12" i="67"/>
  <c r="CC13" i="67"/>
  <c r="CC14" i="67"/>
  <c r="CC15" i="67"/>
  <c r="CC16" i="67"/>
  <c r="CC6" i="51"/>
  <c r="CC7" i="51"/>
  <c r="CC8" i="51"/>
  <c r="CC9" i="51"/>
  <c r="CC10" i="51"/>
  <c r="CC11" i="51"/>
  <c r="CC12" i="51"/>
  <c r="CC13" i="51"/>
  <c r="CC14" i="51"/>
  <c r="CC15" i="51"/>
  <c r="CC16" i="51"/>
  <c r="CC6" i="52"/>
  <c r="CC7" i="52"/>
  <c r="CC8" i="52"/>
  <c r="CC9" i="52"/>
  <c r="CC10" i="52"/>
  <c r="CC11" i="52"/>
  <c r="CC12" i="52"/>
  <c r="CC13" i="52"/>
  <c r="CC14" i="52"/>
  <c r="CC15" i="52"/>
  <c r="CC16" i="52"/>
  <c r="CC6" i="53"/>
  <c r="CC7" i="53"/>
  <c r="CC8" i="53"/>
  <c r="CC9" i="53"/>
  <c r="CC10" i="53"/>
  <c r="CC11" i="53"/>
  <c r="CC12" i="53"/>
  <c r="CC13" i="53"/>
  <c r="CC14" i="53"/>
  <c r="CC15" i="53"/>
  <c r="CC16" i="53"/>
  <c r="CC6" i="54"/>
  <c r="CC7" i="54"/>
  <c r="CC8" i="54"/>
  <c r="CC9" i="54"/>
  <c r="CC10" i="54"/>
  <c r="CC11" i="54"/>
  <c r="CC12" i="54"/>
  <c r="CC13" i="54"/>
  <c r="CC14" i="54"/>
  <c r="CC15" i="54"/>
  <c r="CC16" i="54"/>
  <c r="CC6" i="55"/>
  <c r="CC7" i="55"/>
  <c r="CC8" i="55"/>
  <c r="CC9" i="55"/>
  <c r="CC10" i="55"/>
  <c r="CC11" i="55"/>
  <c r="CC12" i="55"/>
  <c r="CC13" i="55"/>
  <c r="CC14" i="55"/>
  <c r="CC15" i="55"/>
  <c r="CC16" i="55"/>
  <c r="CE6" i="47"/>
  <c r="CE7" i="47"/>
  <c r="CE8" i="47"/>
  <c r="CE9" i="47"/>
  <c r="CE10" i="47"/>
  <c r="CE11" i="47"/>
  <c r="CE12" i="47"/>
  <c r="CE13" i="47"/>
  <c r="CE14" i="47"/>
  <c r="CE15" i="47"/>
  <c r="CE16" i="47"/>
  <c r="CC6" i="45"/>
  <c r="CC7" i="45"/>
  <c r="CC8" i="45"/>
  <c r="CC9" i="45"/>
  <c r="CC10" i="45"/>
  <c r="CC11" i="45"/>
  <c r="CC12" i="45"/>
  <c r="CC13" i="45"/>
  <c r="CC14" i="45"/>
  <c r="CC15" i="45"/>
  <c r="CC16" i="45"/>
  <c r="CC6" i="48"/>
  <c r="CC7" i="48"/>
  <c r="CC8" i="48"/>
  <c r="CC9" i="48"/>
  <c r="CC10" i="48"/>
  <c r="CC11" i="48"/>
  <c r="CC12" i="48"/>
  <c r="CC13" i="48"/>
  <c r="CC14" i="48"/>
  <c r="CC15" i="48"/>
  <c r="CC16" i="48"/>
  <c r="CC6" i="46"/>
  <c r="CC7" i="46"/>
  <c r="CC8" i="46"/>
  <c r="CC9" i="46"/>
  <c r="CC10" i="46"/>
  <c r="CC11" i="46"/>
  <c r="CC12" i="46"/>
  <c r="CC13" i="46"/>
  <c r="CC14" i="46"/>
  <c r="CC15" i="46"/>
  <c r="CC16" i="46"/>
  <c r="CC6" i="56"/>
  <c r="CC7" i="56"/>
  <c r="CC8" i="56"/>
  <c r="CC9" i="56"/>
  <c r="CC10" i="56"/>
  <c r="CC11" i="56"/>
  <c r="CC12" i="56"/>
  <c r="CC13" i="56"/>
  <c r="CC14" i="56"/>
  <c r="CC15" i="56"/>
  <c r="CC16" i="56"/>
  <c r="CC6" i="58"/>
  <c r="CC7" i="58"/>
  <c r="CC8" i="58"/>
  <c r="CC9" i="58"/>
  <c r="CC10" i="58"/>
  <c r="CC11" i="58"/>
  <c r="CC12" i="58"/>
  <c r="CC13" i="58"/>
  <c r="CC14" i="58"/>
  <c r="CC15" i="58"/>
  <c r="CC16" i="58"/>
  <c r="CD6" i="57"/>
  <c r="CD7" i="57"/>
  <c r="CD8" i="57"/>
  <c r="CD9" i="57"/>
  <c r="CD10" i="57"/>
  <c r="CD11" i="57"/>
  <c r="CD12" i="57"/>
  <c r="CD13" i="57"/>
  <c r="CD14" i="57"/>
  <c r="CD15" i="57"/>
  <c r="CD16" i="57"/>
  <c r="CC6" i="59"/>
  <c r="CC7" i="59"/>
  <c r="CC8" i="59"/>
  <c r="CC9" i="59"/>
  <c r="CC10" i="59"/>
  <c r="CC11" i="59"/>
  <c r="CC12" i="59"/>
  <c r="CC13" i="59"/>
  <c r="CC14" i="59"/>
  <c r="CC15" i="59"/>
  <c r="CC16" i="59"/>
  <c r="CC6" i="60"/>
  <c r="CC7" i="60"/>
  <c r="CC8" i="60"/>
  <c r="CC9" i="60"/>
  <c r="CC10" i="60"/>
  <c r="CC11" i="60"/>
  <c r="CC12" i="60"/>
  <c r="CC13" i="60"/>
  <c r="CC14" i="60"/>
  <c r="CC15" i="60"/>
  <c r="CC16" i="60"/>
  <c r="CC6" i="61"/>
  <c r="CC7" i="61"/>
  <c r="CC8" i="61"/>
  <c r="CC9" i="61"/>
  <c r="CC10" i="61"/>
  <c r="CC11" i="61"/>
  <c r="CC12" i="61"/>
  <c r="CC13" i="61"/>
  <c r="CC14" i="61"/>
  <c r="CC15" i="61"/>
  <c r="CC16" i="61"/>
  <c r="CC6" i="31"/>
  <c r="CC7" i="31"/>
  <c r="CC8" i="31"/>
  <c r="CC9" i="31"/>
  <c r="CC10" i="31"/>
  <c r="CC11" i="31"/>
  <c r="CC12" i="31"/>
  <c r="CC13" i="31"/>
  <c r="CC14" i="31"/>
  <c r="CC15" i="31"/>
  <c r="CC16" i="31"/>
  <c r="CB6" i="36"/>
  <c r="CB7" i="36"/>
  <c r="CB8" i="36"/>
  <c r="CB9" i="36"/>
  <c r="CB10" i="36"/>
  <c r="CB11" i="36"/>
  <c r="CB12" i="36"/>
  <c r="CB13" i="36"/>
  <c r="CB14" i="36"/>
  <c r="CB15" i="36"/>
  <c r="CB16" i="36"/>
  <c r="CB6" i="35"/>
  <c r="CB7" i="35"/>
  <c r="CB8" i="35"/>
  <c r="CB9" i="35"/>
  <c r="CB10" i="35"/>
  <c r="CB11" i="35"/>
  <c r="CB12" i="35"/>
  <c r="CB13" i="35"/>
  <c r="CB14" i="35"/>
  <c r="CB15" i="35"/>
  <c r="CB16" i="35"/>
  <c r="CB6" i="33"/>
  <c r="CB7" i="33"/>
  <c r="CB8" i="33"/>
  <c r="CB9" i="33"/>
  <c r="CB10" i="33"/>
  <c r="CB11" i="33"/>
  <c r="CB12" i="33"/>
  <c r="CB13" i="33"/>
  <c r="CB14" i="33"/>
  <c r="CB15" i="33"/>
  <c r="CB16" i="33"/>
  <c r="CB6" i="34"/>
  <c r="CB7" i="34"/>
  <c r="CB8" i="34"/>
  <c r="CB9" i="34"/>
  <c r="CB10" i="34"/>
  <c r="CB11" i="34"/>
  <c r="CB12" i="34"/>
  <c r="CB13" i="34"/>
  <c r="CB14" i="34"/>
  <c r="CB15" i="34"/>
  <c r="CB16" i="34"/>
  <c r="CB6" i="38"/>
  <c r="CB7" i="38"/>
  <c r="CB8" i="38"/>
  <c r="CB9" i="38"/>
  <c r="CB10" i="38"/>
  <c r="CB11" i="38"/>
  <c r="CB12" i="38"/>
  <c r="CB13" i="38"/>
  <c r="CB14" i="38"/>
  <c r="CB15" i="38"/>
  <c r="CB16" i="38"/>
  <c r="CB6" i="40"/>
  <c r="CB7" i="40"/>
  <c r="CB8" i="40"/>
  <c r="CB9" i="40"/>
  <c r="CB10" i="40"/>
  <c r="CB11" i="40"/>
  <c r="CB12" i="40"/>
  <c r="CB13" i="40"/>
  <c r="CB14" i="40"/>
  <c r="CB15" i="40"/>
  <c r="CB16" i="40"/>
  <c r="CB6" i="39"/>
  <c r="CB7" i="39"/>
  <c r="CB8" i="39"/>
  <c r="CB9" i="39"/>
  <c r="CB10" i="39"/>
  <c r="CB11" i="39"/>
  <c r="CB12" i="39"/>
  <c r="CB13" i="39"/>
  <c r="CB14" i="39"/>
  <c r="CB15" i="39"/>
  <c r="CB16" i="39"/>
  <c r="CB6" i="41"/>
  <c r="CB7" i="41"/>
  <c r="CB8" i="41"/>
  <c r="CB9" i="41"/>
  <c r="CB10" i="41"/>
  <c r="CB11" i="41"/>
  <c r="CB12" i="41"/>
  <c r="CB13" i="41"/>
  <c r="CB14" i="41"/>
  <c r="CB15" i="41"/>
  <c r="CB16" i="41"/>
  <c r="CB6" i="44"/>
  <c r="CB7" i="44"/>
  <c r="CB8" i="44"/>
  <c r="CB9" i="44"/>
  <c r="CB10" i="44"/>
  <c r="CB11" i="44"/>
  <c r="CB12" i="44"/>
  <c r="CB13" i="44"/>
  <c r="CB14" i="44"/>
  <c r="CB15" i="44"/>
  <c r="CB16" i="44"/>
  <c r="CB6" i="42"/>
  <c r="CB7" i="42"/>
  <c r="CB8" i="42"/>
  <c r="CB9" i="42"/>
  <c r="CB10" i="42"/>
  <c r="CB11" i="42"/>
  <c r="CB12" i="42"/>
  <c r="CB13" i="42"/>
  <c r="CB14" i="42"/>
  <c r="CB15" i="42"/>
  <c r="CB16" i="42"/>
  <c r="CB6" i="43"/>
  <c r="CB7" i="43"/>
  <c r="CB8" i="43"/>
  <c r="CB9" i="43"/>
  <c r="CB10" i="43"/>
  <c r="CB11" i="43"/>
  <c r="CB12" i="43"/>
  <c r="CB13" i="43"/>
  <c r="CB14" i="43"/>
  <c r="CB15" i="43"/>
  <c r="CB16" i="43"/>
  <c r="CB6" i="49"/>
  <c r="CB7" i="49"/>
  <c r="CB8" i="49"/>
  <c r="CB9" i="49"/>
  <c r="CB10" i="49"/>
  <c r="CB11" i="49"/>
  <c r="CB12" i="49"/>
  <c r="CB13" i="49"/>
  <c r="CB14" i="49"/>
  <c r="CB15" i="49"/>
  <c r="CB16" i="49"/>
  <c r="CB6" i="50"/>
  <c r="CB7" i="50"/>
  <c r="CB8" i="50"/>
  <c r="CB9" i="50"/>
  <c r="CB10" i="50"/>
  <c r="CB11" i="50"/>
  <c r="CB12" i="50"/>
  <c r="CB13" i="50"/>
  <c r="CB14" i="50"/>
  <c r="CB15" i="50"/>
  <c r="CB16" i="50"/>
  <c r="CB6" i="67"/>
  <c r="CB7" i="67"/>
  <c r="CB8" i="67"/>
  <c r="CB9" i="67"/>
  <c r="CB10" i="67"/>
  <c r="CB11" i="67"/>
  <c r="CB12" i="67"/>
  <c r="CB13" i="67"/>
  <c r="CB14" i="67"/>
  <c r="CB15" i="67"/>
  <c r="CB16" i="67"/>
  <c r="CB6" i="51"/>
  <c r="CB7" i="51"/>
  <c r="CB8" i="51"/>
  <c r="CB9" i="51"/>
  <c r="CB10" i="51"/>
  <c r="CB11" i="51"/>
  <c r="CB12" i="51"/>
  <c r="CB13" i="51"/>
  <c r="CB14" i="51"/>
  <c r="CB15" i="51"/>
  <c r="CB16" i="51"/>
  <c r="CB6" i="52"/>
  <c r="CB7" i="52"/>
  <c r="CB8" i="52"/>
  <c r="CB9" i="52"/>
  <c r="CB10" i="52"/>
  <c r="CB11" i="52"/>
  <c r="CB12" i="52"/>
  <c r="CB13" i="52"/>
  <c r="CB14" i="52"/>
  <c r="CB15" i="52"/>
  <c r="CB16" i="52"/>
  <c r="CB6" i="53"/>
  <c r="CB7" i="53"/>
  <c r="CB8" i="53"/>
  <c r="CB9" i="53"/>
  <c r="CB10" i="53"/>
  <c r="CB11" i="53"/>
  <c r="CB12" i="53"/>
  <c r="CB13" i="53"/>
  <c r="CB14" i="53"/>
  <c r="CB15" i="53"/>
  <c r="CB16" i="53"/>
  <c r="CB6" i="54"/>
  <c r="CB7" i="54"/>
  <c r="CB8" i="54"/>
  <c r="CB9" i="54"/>
  <c r="CB10" i="54"/>
  <c r="CB11" i="54"/>
  <c r="CB12" i="54"/>
  <c r="CB13" i="54"/>
  <c r="CB14" i="54"/>
  <c r="CB15" i="54"/>
  <c r="CB16" i="54"/>
  <c r="CB6" i="55"/>
  <c r="CB7" i="55"/>
  <c r="CB8" i="55"/>
  <c r="CB9" i="55"/>
  <c r="CB10" i="55"/>
  <c r="CB11" i="55"/>
  <c r="CB12" i="55"/>
  <c r="CB13" i="55"/>
  <c r="CB14" i="55"/>
  <c r="CB15" i="55"/>
  <c r="CB16" i="55"/>
  <c r="CD6" i="47"/>
  <c r="CD7" i="47"/>
  <c r="CD8" i="47"/>
  <c r="CD9" i="47"/>
  <c r="CD10" i="47"/>
  <c r="CD11" i="47"/>
  <c r="CD12" i="47"/>
  <c r="CD13" i="47"/>
  <c r="CD14" i="47"/>
  <c r="CD15" i="47"/>
  <c r="CD16" i="47"/>
  <c r="CB6" i="45"/>
  <c r="CB7" i="45"/>
  <c r="CB8" i="45"/>
  <c r="CB9" i="45"/>
  <c r="CB10" i="45"/>
  <c r="CB11" i="45"/>
  <c r="CB12" i="45"/>
  <c r="CB13" i="45"/>
  <c r="CB14" i="45"/>
  <c r="CB15" i="45"/>
  <c r="CB16" i="45"/>
  <c r="CB6" i="48"/>
  <c r="CB7" i="48"/>
  <c r="CB8" i="48"/>
  <c r="CB9" i="48"/>
  <c r="CB10" i="48"/>
  <c r="CB11" i="48"/>
  <c r="CB12" i="48"/>
  <c r="CB13" i="48"/>
  <c r="CB14" i="48"/>
  <c r="CB15" i="48"/>
  <c r="CB16" i="48"/>
  <c r="CB6" i="46"/>
  <c r="CB7" i="46"/>
  <c r="CB8" i="46"/>
  <c r="CB9" i="46"/>
  <c r="CB10" i="46"/>
  <c r="CB11" i="46"/>
  <c r="CB12" i="46"/>
  <c r="CB13" i="46"/>
  <c r="CB14" i="46"/>
  <c r="CB15" i="46"/>
  <c r="CB16" i="46"/>
  <c r="CB6" i="56"/>
  <c r="CB7" i="56"/>
  <c r="CB8" i="56"/>
  <c r="CB9" i="56"/>
  <c r="CB10" i="56"/>
  <c r="CB11" i="56"/>
  <c r="CB12" i="56"/>
  <c r="CB13" i="56"/>
  <c r="CB14" i="56"/>
  <c r="CB15" i="56"/>
  <c r="CB16" i="56"/>
  <c r="CB6" i="58"/>
  <c r="CB7" i="58"/>
  <c r="CB8" i="58"/>
  <c r="CB9" i="58"/>
  <c r="CB10" i="58"/>
  <c r="CB11" i="58"/>
  <c r="CB12" i="58"/>
  <c r="CB13" i="58"/>
  <c r="CB14" i="58"/>
  <c r="CB15" i="58"/>
  <c r="CB16" i="58"/>
  <c r="CC6" i="57"/>
  <c r="CC7" i="57"/>
  <c r="CC8" i="57"/>
  <c r="CC9" i="57"/>
  <c r="CC10" i="57"/>
  <c r="CC11" i="57"/>
  <c r="CC12" i="57"/>
  <c r="CC13" i="57"/>
  <c r="CC14" i="57"/>
  <c r="CC15" i="57"/>
  <c r="CC16" i="57"/>
  <c r="CB6" i="59"/>
  <c r="CB7" i="59"/>
  <c r="CB8" i="59"/>
  <c r="CB9" i="59"/>
  <c r="CB10" i="59"/>
  <c r="CB11" i="59"/>
  <c r="CB12" i="59"/>
  <c r="CB13" i="59"/>
  <c r="CB14" i="59"/>
  <c r="CB15" i="59"/>
  <c r="CB16" i="59"/>
  <c r="CB6" i="60"/>
  <c r="CB7" i="60"/>
  <c r="CB8" i="60"/>
  <c r="CB9" i="60"/>
  <c r="CB10" i="60"/>
  <c r="CB11" i="60"/>
  <c r="CB12" i="60"/>
  <c r="CB13" i="60"/>
  <c r="CB14" i="60"/>
  <c r="CB15" i="60"/>
  <c r="CB16" i="60"/>
  <c r="CB6" i="61"/>
  <c r="CB7" i="61"/>
  <c r="CB8" i="61"/>
  <c r="CB9" i="61"/>
  <c r="CB10" i="61"/>
  <c r="CB11" i="61"/>
  <c r="CB12" i="61"/>
  <c r="CB13" i="61"/>
  <c r="CB14" i="61"/>
  <c r="CB15" i="61"/>
  <c r="CB16" i="61"/>
  <c r="CB6" i="31"/>
  <c r="CB7" i="31"/>
  <c r="CB8" i="31"/>
  <c r="CB9" i="31"/>
  <c r="CB10" i="31"/>
  <c r="CB11" i="31"/>
  <c r="CB12" i="31"/>
  <c r="CB13" i="31"/>
  <c r="CB14" i="31"/>
  <c r="CB15" i="31"/>
  <c r="CB16" i="31"/>
  <c r="CA6" i="36"/>
  <c r="CA7" i="36"/>
  <c r="CA8" i="36"/>
  <c r="CA9" i="36"/>
  <c r="CA10" i="36"/>
  <c r="CA11" i="36"/>
  <c r="CA12" i="36"/>
  <c r="CA13" i="36"/>
  <c r="CA14" i="36"/>
  <c r="CA15" i="36"/>
  <c r="CA16" i="36"/>
  <c r="CA6" i="35"/>
  <c r="CA7" i="35"/>
  <c r="CA8" i="35"/>
  <c r="CA9" i="35"/>
  <c r="CA10" i="35"/>
  <c r="CA11" i="35"/>
  <c r="CA12" i="35"/>
  <c r="CA13" i="35"/>
  <c r="CA14" i="35"/>
  <c r="CA15" i="35"/>
  <c r="CA16" i="35"/>
  <c r="CA6" i="33"/>
  <c r="CA7" i="33"/>
  <c r="CA8" i="33"/>
  <c r="CA9" i="33"/>
  <c r="CA10" i="33"/>
  <c r="CA11" i="33"/>
  <c r="CA12" i="33"/>
  <c r="CA13" i="33"/>
  <c r="CA14" i="33"/>
  <c r="CA15" i="33"/>
  <c r="CA16" i="33"/>
  <c r="CA6" i="34"/>
  <c r="CA7" i="34"/>
  <c r="CA8" i="34"/>
  <c r="CA9" i="34"/>
  <c r="CA10" i="34"/>
  <c r="CA11" i="34"/>
  <c r="CA12" i="34"/>
  <c r="CA13" i="34"/>
  <c r="CA14" i="34"/>
  <c r="CA15" i="34"/>
  <c r="CA16" i="34"/>
  <c r="CA6" i="38"/>
  <c r="CA7" i="38"/>
  <c r="CA8" i="38"/>
  <c r="CA9" i="38"/>
  <c r="CA10" i="38"/>
  <c r="CA11" i="38"/>
  <c r="CA12" i="38"/>
  <c r="CA13" i="38"/>
  <c r="CA14" i="38"/>
  <c r="CA15" i="38"/>
  <c r="CA16" i="38"/>
  <c r="CA6" i="40"/>
  <c r="CA7" i="40"/>
  <c r="CA8" i="40"/>
  <c r="CA9" i="40"/>
  <c r="CA10" i="40"/>
  <c r="CA11" i="40"/>
  <c r="CA12" i="40"/>
  <c r="CA13" i="40"/>
  <c r="CA14" i="40"/>
  <c r="CA15" i="40"/>
  <c r="CA16" i="40"/>
  <c r="CA6" i="39"/>
  <c r="CA7" i="39"/>
  <c r="CA8" i="39"/>
  <c r="CA9" i="39"/>
  <c r="CA10" i="39"/>
  <c r="CA11" i="39"/>
  <c r="CA12" i="39"/>
  <c r="CA13" i="39"/>
  <c r="CA14" i="39"/>
  <c r="CA15" i="39"/>
  <c r="CA16" i="39"/>
  <c r="CA6" i="41"/>
  <c r="CA7" i="41"/>
  <c r="CA8" i="41"/>
  <c r="CA9" i="41"/>
  <c r="CA10" i="41"/>
  <c r="CA11" i="41"/>
  <c r="CA12" i="41"/>
  <c r="CA13" i="41"/>
  <c r="CA14" i="41"/>
  <c r="CA15" i="41"/>
  <c r="CA16" i="41"/>
  <c r="CA6" i="44"/>
  <c r="CA7" i="44"/>
  <c r="CA8" i="44"/>
  <c r="CA9" i="44"/>
  <c r="CA10" i="44"/>
  <c r="CA11" i="44"/>
  <c r="CA12" i="44"/>
  <c r="CA13" i="44"/>
  <c r="CA14" i="44"/>
  <c r="CA15" i="44"/>
  <c r="CA16" i="44"/>
  <c r="CA6" i="42"/>
  <c r="CA7" i="42"/>
  <c r="CA8" i="42"/>
  <c r="CA9" i="42"/>
  <c r="CA10" i="42"/>
  <c r="CA11" i="42"/>
  <c r="CA12" i="42"/>
  <c r="CA13" i="42"/>
  <c r="CA14" i="42"/>
  <c r="CA15" i="42"/>
  <c r="CA16" i="42"/>
  <c r="CA6" i="43"/>
  <c r="CA7" i="43"/>
  <c r="CA8" i="43"/>
  <c r="CA9" i="43"/>
  <c r="CA10" i="43"/>
  <c r="CA11" i="43"/>
  <c r="CA12" i="43"/>
  <c r="CA13" i="43"/>
  <c r="CA14" i="43"/>
  <c r="CA15" i="43"/>
  <c r="CA16" i="43"/>
  <c r="CA6" i="49"/>
  <c r="CA7" i="49"/>
  <c r="CA8" i="49"/>
  <c r="CA9" i="49"/>
  <c r="CA10" i="49"/>
  <c r="CA11" i="49"/>
  <c r="CA12" i="49"/>
  <c r="CA13" i="49"/>
  <c r="CA14" i="49"/>
  <c r="CA15" i="49"/>
  <c r="CA16" i="49"/>
  <c r="CA6" i="50"/>
  <c r="CA7" i="50"/>
  <c r="CA8" i="50"/>
  <c r="CA9" i="50"/>
  <c r="CA10" i="50"/>
  <c r="CA11" i="50"/>
  <c r="CA12" i="50"/>
  <c r="CA13" i="50"/>
  <c r="CA14" i="50"/>
  <c r="CA15" i="50"/>
  <c r="CA16" i="50"/>
  <c r="CA6" i="67"/>
  <c r="CA7" i="67"/>
  <c r="CA8" i="67"/>
  <c r="CA9" i="67"/>
  <c r="CA10" i="67"/>
  <c r="CA11" i="67"/>
  <c r="CA12" i="67"/>
  <c r="CA13" i="67"/>
  <c r="CA14" i="67"/>
  <c r="CA15" i="67"/>
  <c r="CA16" i="67"/>
  <c r="CA6" i="51"/>
  <c r="CA7" i="51"/>
  <c r="CA8" i="51"/>
  <c r="CA9" i="51"/>
  <c r="CA10" i="51"/>
  <c r="CA11" i="51"/>
  <c r="CA12" i="51"/>
  <c r="CA13" i="51"/>
  <c r="CA14" i="51"/>
  <c r="CA15" i="51"/>
  <c r="CA16" i="51"/>
  <c r="CA6" i="52"/>
  <c r="CA7" i="52"/>
  <c r="CA8" i="52"/>
  <c r="CA9" i="52"/>
  <c r="CA10" i="52"/>
  <c r="CA11" i="52"/>
  <c r="CA12" i="52"/>
  <c r="CA13" i="52"/>
  <c r="CA14" i="52"/>
  <c r="CA15" i="52"/>
  <c r="CA16" i="52"/>
  <c r="CA6" i="53"/>
  <c r="CA7" i="53"/>
  <c r="CA8" i="53"/>
  <c r="CA9" i="53"/>
  <c r="CA10" i="53"/>
  <c r="CA11" i="53"/>
  <c r="CA12" i="53"/>
  <c r="CA13" i="53"/>
  <c r="CA14" i="53"/>
  <c r="CA15" i="53"/>
  <c r="CA16" i="53"/>
  <c r="CA6" i="54"/>
  <c r="CA7" i="54"/>
  <c r="CA8" i="54"/>
  <c r="CA9" i="54"/>
  <c r="CA10" i="54"/>
  <c r="CA11" i="54"/>
  <c r="CA12" i="54"/>
  <c r="CA13" i="54"/>
  <c r="CA14" i="54"/>
  <c r="CA15" i="54"/>
  <c r="CA16" i="54"/>
  <c r="CA6" i="55"/>
  <c r="CA7" i="55"/>
  <c r="CA8" i="55"/>
  <c r="CA9" i="55"/>
  <c r="CA10" i="55"/>
  <c r="CA11" i="55"/>
  <c r="CA12" i="55"/>
  <c r="CA13" i="55"/>
  <c r="CA14" i="55"/>
  <c r="CA15" i="55"/>
  <c r="CA16" i="55"/>
  <c r="CC6" i="47"/>
  <c r="CC7" i="47"/>
  <c r="CC8" i="47"/>
  <c r="CC9" i="47"/>
  <c r="CC10" i="47"/>
  <c r="CC11" i="47"/>
  <c r="CC12" i="47"/>
  <c r="CC13" i="47"/>
  <c r="CC14" i="47"/>
  <c r="CC15" i="47"/>
  <c r="CC16" i="47"/>
  <c r="CA6" i="45"/>
  <c r="CA7" i="45"/>
  <c r="CA8" i="45"/>
  <c r="CA9" i="45"/>
  <c r="CA10" i="45"/>
  <c r="CA11" i="45"/>
  <c r="CA12" i="45"/>
  <c r="CA13" i="45"/>
  <c r="CA14" i="45"/>
  <c r="CA15" i="45"/>
  <c r="CA16" i="45"/>
  <c r="CA6" i="48"/>
  <c r="CA7" i="48"/>
  <c r="CA8" i="48"/>
  <c r="CA9" i="48"/>
  <c r="CA10" i="48"/>
  <c r="CA11" i="48"/>
  <c r="CA12" i="48"/>
  <c r="CA13" i="48"/>
  <c r="CA14" i="48"/>
  <c r="CA15" i="48"/>
  <c r="CA16" i="48"/>
  <c r="CA6" i="46"/>
  <c r="CA7" i="46"/>
  <c r="CA8" i="46"/>
  <c r="CA9" i="46"/>
  <c r="CA10" i="46"/>
  <c r="CA11" i="46"/>
  <c r="CA12" i="46"/>
  <c r="CA13" i="46"/>
  <c r="CA14" i="46"/>
  <c r="CA15" i="46"/>
  <c r="CA16" i="46"/>
  <c r="CA6" i="56"/>
  <c r="CA7" i="56"/>
  <c r="CA8" i="56"/>
  <c r="CA9" i="56"/>
  <c r="CA10" i="56"/>
  <c r="CA11" i="56"/>
  <c r="CA12" i="56"/>
  <c r="CA13" i="56"/>
  <c r="CA14" i="56"/>
  <c r="CA15" i="56"/>
  <c r="CA16" i="56"/>
  <c r="CA6" i="58"/>
  <c r="CA7" i="58"/>
  <c r="CA8" i="58"/>
  <c r="CA9" i="58"/>
  <c r="CA10" i="58"/>
  <c r="CA11" i="58"/>
  <c r="CA12" i="58"/>
  <c r="CA13" i="58"/>
  <c r="CA14" i="58"/>
  <c r="CA15" i="58"/>
  <c r="CA16" i="58"/>
  <c r="CB6" i="57"/>
  <c r="CB7" i="57"/>
  <c r="CB8" i="57"/>
  <c r="CB9" i="57"/>
  <c r="CB10" i="57"/>
  <c r="CB11" i="57"/>
  <c r="CB12" i="57"/>
  <c r="CB13" i="57"/>
  <c r="CB14" i="57"/>
  <c r="CB15" i="57"/>
  <c r="CB16" i="57"/>
  <c r="CA6" i="59"/>
  <c r="CA7" i="59"/>
  <c r="CA8" i="59"/>
  <c r="CA9" i="59"/>
  <c r="CA10" i="59"/>
  <c r="CA11" i="59"/>
  <c r="CA12" i="59"/>
  <c r="CA13" i="59"/>
  <c r="CA14" i="59"/>
  <c r="CA15" i="59"/>
  <c r="CA16" i="59"/>
  <c r="CA6" i="60"/>
  <c r="CA7" i="60"/>
  <c r="CA8" i="60"/>
  <c r="CA9" i="60"/>
  <c r="CA10" i="60"/>
  <c r="CA11" i="60"/>
  <c r="CA12" i="60"/>
  <c r="CA13" i="60"/>
  <c r="CA14" i="60"/>
  <c r="CA15" i="60"/>
  <c r="CA16" i="60"/>
  <c r="CA6" i="61"/>
  <c r="CA7" i="61"/>
  <c r="CA8" i="61"/>
  <c r="CA9" i="61"/>
  <c r="CA10" i="61"/>
  <c r="CA11" i="61"/>
  <c r="CA12" i="61"/>
  <c r="CA13" i="61"/>
  <c r="CA14" i="61"/>
  <c r="CA15" i="61"/>
  <c r="CA16" i="61"/>
  <c r="CA6" i="31"/>
  <c r="CA7" i="31"/>
  <c r="CA8" i="31"/>
  <c r="CA9" i="31"/>
  <c r="CA10" i="31"/>
  <c r="CA11" i="31"/>
  <c r="CA12" i="31"/>
  <c r="CA13" i="31"/>
  <c r="CA14" i="31"/>
  <c r="CA15" i="31"/>
  <c r="CA16" i="31"/>
  <c r="BZ6" i="36"/>
  <c r="BZ7" i="36"/>
  <c r="BZ8" i="36"/>
  <c r="BZ9" i="36"/>
  <c r="BZ10" i="36"/>
  <c r="BZ11" i="36"/>
  <c r="BZ12" i="36"/>
  <c r="BZ13" i="36"/>
  <c r="BZ14" i="36"/>
  <c r="BZ15" i="36"/>
  <c r="BZ16" i="36"/>
  <c r="BZ6" i="35"/>
  <c r="BZ7" i="35"/>
  <c r="BZ8" i="35"/>
  <c r="BZ9" i="35"/>
  <c r="BZ10" i="35"/>
  <c r="BZ11" i="35"/>
  <c r="BZ12" i="35"/>
  <c r="BZ13" i="35"/>
  <c r="BZ14" i="35"/>
  <c r="BZ15" i="35"/>
  <c r="BZ16" i="35"/>
  <c r="BZ6" i="33"/>
  <c r="BZ7" i="33"/>
  <c r="BZ8" i="33"/>
  <c r="BZ9" i="33"/>
  <c r="BZ10" i="33"/>
  <c r="BZ11" i="33"/>
  <c r="BZ12" i="33"/>
  <c r="BZ13" i="33"/>
  <c r="BZ14" i="33"/>
  <c r="BZ15" i="33"/>
  <c r="BZ16" i="33"/>
  <c r="BZ6" i="34"/>
  <c r="BZ7" i="34"/>
  <c r="BZ8" i="34"/>
  <c r="BZ9" i="34"/>
  <c r="BZ10" i="34"/>
  <c r="BZ11" i="34"/>
  <c r="BZ12" i="34"/>
  <c r="BZ13" i="34"/>
  <c r="BZ14" i="34"/>
  <c r="BZ15" i="34"/>
  <c r="BZ16" i="34"/>
  <c r="BZ6" i="38"/>
  <c r="BZ7" i="38"/>
  <c r="BZ8" i="38"/>
  <c r="BZ9" i="38"/>
  <c r="BZ10" i="38"/>
  <c r="BZ11" i="38"/>
  <c r="BZ12" i="38"/>
  <c r="BZ13" i="38"/>
  <c r="BZ14" i="38"/>
  <c r="BZ15" i="38"/>
  <c r="BZ16" i="38"/>
  <c r="BZ6" i="40"/>
  <c r="BZ7" i="40"/>
  <c r="BZ8" i="40"/>
  <c r="BZ9" i="40"/>
  <c r="BZ10" i="40"/>
  <c r="BZ11" i="40"/>
  <c r="BZ12" i="40"/>
  <c r="BZ13" i="40"/>
  <c r="BZ14" i="40"/>
  <c r="BZ15" i="40"/>
  <c r="BZ16" i="40"/>
  <c r="BZ6" i="39"/>
  <c r="BZ7" i="39"/>
  <c r="BZ8" i="39"/>
  <c r="BZ9" i="39"/>
  <c r="BZ10" i="39"/>
  <c r="BZ11" i="39"/>
  <c r="BZ12" i="39"/>
  <c r="BZ13" i="39"/>
  <c r="BZ14" i="39"/>
  <c r="BZ15" i="39"/>
  <c r="BZ16" i="39"/>
  <c r="BZ6" i="41"/>
  <c r="BZ7" i="41"/>
  <c r="BZ8" i="41"/>
  <c r="BZ9" i="41"/>
  <c r="BZ10" i="41"/>
  <c r="BZ11" i="41"/>
  <c r="BZ12" i="41"/>
  <c r="BZ13" i="41"/>
  <c r="BZ14" i="41"/>
  <c r="BZ15" i="41"/>
  <c r="BZ16" i="41"/>
  <c r="BZ6" i="44"/>
  <c r="BZ7" i="44"/>
  <c r="BZ8" i="44"/>
  <c r="BZ9" i="44"/>
  <c r="BZ10" i="44"/>
  <c r="BZ11" i="44"/>
  <c r="BZ12" i="44"/>
  <c r="BZ13" i="44"/>
  <c r="BZ14" i="44"/>
  <c r="BZ15" i="44"/>
  <c r="BZ16" i="44"/>
  <c r="BZ6" i="42"/>
  <c r="BZ7" i="42"/>
  <c r="BZ8" i="42"/>
  <c r="BZ9" i="42"/>
  <c r="BZ10" i="42"/>
  <c r="BZ11" i="42"/>
  <c r="BZ12" i="42"/>
  <c r="BZ13" i="42"/>
  <c r="BZ14" i="42"/>
  <c r="BZ15" i="42"/>
  <c r="BZ16" i="42"/>
  <c r="BZ6" i="43"/>
  <c r="BZ7" i="43"/>
  <c r="BZ8" i="43"/>
  <c r="BZ9" i="43"/>
  <c r="BZ10" i="43"/>
  <c r="BZ11" i="43"/>
  <c r="BZ12" i="43"/>
  <c r="BZ13" i="43"/>
  <c r="BZ14" i="43"/>
  <c r="BZ15" i="43"/>
  <c r="BZ16" i="43"/>
  <c r="BZ6" i="49"/>
  <c r="BZ7" i="49"/>
  <c r="BZ8" i="49"/>
  <c r="BZ9" i="49"/>
  <c r="BZ10" i="49"/>
  <c r="BZ11" i="49"/>
  <c r="BZ12" i="49"/>
  <c r="BZ13" i="49"/>
  <c r="BZ14" i="49"/>
  <c r="BZ15" i="49"/>
  <c r="BZ16" i="49"/>
  <c r="BZ6" i="50"/>
  <c r="BZ7" i="50"/>
  <c r="BZ8" i="50"/>
  <c r="BZ9" i="50"/>
  <c r="BZ10" i="50"/>
  <c r="BZ11" i="50"/>
  <c r="BZ12" i="50"/>
  <c r="BZ13" i="50"/>
  <c r="BZ14" i="50"/>
  <c r="BZ15" i="50"/>
  <c r="BZ16" i="50"/>
  <c r="BZ6" i="67"/>
  <c r="BZ7" i="67"/>
  <c r="BZ8" i="67"/>
  <c r="BZ9" i="67"/>
  <c r="BZ10" i="67"/>
  <c r="BZ11" i="67"/>
  <c r="BZ12" i="67"/>
  <c r="BZ13" i="67"/>
  <c r="BZ14" i="67"/>
  <c r="BZ15" i="67"/>
  <c r="BZ16" i="67"/>
  <c r="BZ6" i="51"/>
  <c r="BZ7" i="51"/>
  <c r="BZ8" i="51"/>
  <c r="BZ9" i="51"/>
  <c r="BZ10" i="51"/>
  <c r="BZ11" i="51"/>
  <c r="BZ12" i="51"/>
  <c r="BZ13" i="51"/>
  <c r="BZ14" i="51"/>
  <c r="BZ15" i="51"/>
  <c r="BZ16" i="51"/>
  <c r="BZ6" i="52"/>
  <c r="BZ7" i="52"/>
  <c r="BZ8" i="52"/>
  <c r="BZ9" i="52"/>
  <c r="BZ10" i="52"/>
  <c r="BZ11" i="52"/>
  <c r="BZ12" i="52"/>
  <c r="BZ13" i="52"/>
  <c r="BZ14" i="52"/>
  <c r="BZ15" i="52"/>
  <c r="BZ16" i="52"/>
  <c r="BZ6" i="53"/>
  <c r="BZ7" i="53"/>
  <c r="BZ8" i="53"/>
  <c r="BZ9" i="53"/>
  <c r="BZ10" i="53"/>
  <c r="BZ11" i="53"/>
  <c r="BZ12" i="53"/>
  <c r="BZ13" i="53"/>
  <c r="BZ14" i="53"/>
  <c r="BZ15" i="53"/>
  <c r="BZ16" i="53"/>
  <c r="BZ6" i="54"/>
  <c r="BZ7" i="54"/>
  <c r="BZ8" i="54"/>
  <c r="BZ9" i="54"/>
  <c r="BZ10" i="54"/>
  <c r="BZ11" i="54"/>
  <c r="BZ12" i="54"/>
  <c r="BZ13" i="54"/>
  <c r="BZ14" i="54"/>
  <c r="BZ15" i="54"/>
  <c r="BZ16" i="54"/>
  <c r="BZ6" i="55"/>
  <c r="BZ7" i="55"/>
  <c r="BZ8" i="55"/>
  <c r="BZ9" i="55"/>
  <c r="BZ10" i="55"/>
  <c r="BZ11" i="55"/>
  <c r="BZ12" i="55"/>
  <c r="BZ13" i="55"/>
  <c r="BZ14" i="55"/>
  <c r="BZ15" i="55"/>
  <c r="BZ16" i="55"/>
  <c r="CB6" i="47"/>
  <c r="CB7" i="47"/>
  <c r="CB8" i="47"/>
  <c r="CB9" i="47"/>
  <c r="CB10" i="47"/>
  <c r="CB11" i="47"/>
  <c r="CB12" i="47"/>
  <c r="CB13" i="47"/>
  <c r="CB14" i="47"/>
  <c r="CB15" i="47"/>
  <c r="CB16" i="47"/>
  <c r="BZ6" i="45"/>
  <c r="BZ7" i="45"/>
  <c r="BZ8" i="45"/>
  <c r="BZ9" i="45"/>
  <c r="BZ10" i="45"/>
  <c r="BZ11" i="45"/>
  <c r="BZ12" i="45"/>
  <c r="BZ13" i="45"/>
  <c r="BZ14" i="45"/>
  <c r="BZ15" i="45"/>
  <c r="BZ16" i="45"/>
  <c r="BZ6" i="48"/>
  <c r="BZ7" i="48"/>
  <c r="BZ8" i="48"/>
  <c r="BZ9" i="48"/>
  <c r="BZ10" i="48"/>
  <c r="BZ11" i="48"/>
  <c r="BZ12" i="48"/>
  <c r="BZ13" i="48"/>
  <c r="BZ14" i="48"/>
  <c r="BZ15" i="48"/>
  <c r="BZ16" i="48"/>
  <c r="BZ6" i="46"/>
  <c r="BZ7" i="46"/>
  <c r="BZ8" i="46"/>
  <c r="BZ9" i="46"/>
  <c r="BZ10" i="46"/>
  <c r="BZ11" i="46"/>
  <c r="BZ12" i="46"/>
  <c r="BZ13" i="46"/>
  <c r="BZ14" i="46"/>
  <c r="BZ15" i="46"/>
  <c r="BZ16" i="46"/>
  <c r="BZ6" i="56"/>
  <c r="BZ7" i="56"/>
  <c r="BZ8" i="56"/>
  <c r="BZ9" i="56"/>
  <c r="BZ10" i="56"/>
  <c r="BZ11" i="56"/>
  <c r="BZ12" i="56"/>
  <c r="BZ13" i="56"/>
  <c r="BZ14" i="56"/>
  <c r="BZ15" i="56"/>
  <c r="BZ16" i="56"/>
  <c r="BZ6" i="58"/>
  <c r="BZ7" i="58"/>
  <c r="BZ8" i="58"/>
  <c r="BZ9" i="58"/>
  <c r="BZ10" i="58"/>
  <c r="BZ11" i="58"/>
  <c r="BZ12" i="58"/>
  <c r="BZ13" i="58"/>
  <c r="BZ14" i="58"/>
  <c r="BZ15" i="58"/>
  <c r="BZ16" i="58"/>
  <c r="CA6" i="57"/>
  <c r="CA7" i="57"/>
  <c r="CA8" i="57"/>
  <c r="CA9" i="57"/>
  <c r="CA10" i="57"/>
  <c r="CA11" i="57"/>
  <c r="CA12" i="57"/>
  <c r="CA13" i="57"/>
  <c r="CA14" i="57"/>
  <c r="CA15" i="57"/>
  <c r="CA16" i="57"/>
  <c r="BZ6" i="59"/>
  <c r="BZ7" i="59"/>
  <c r="BZ8" i="59"/>
  <c r="BZ9" i="59"/>
  <c r="BZ10" i="59"/>
  <c r="BZ11" i="59"/>
  <c r="BZ12" i="59"/>
  <c r="BZ13" i="59"/>
  <c r="BZ14" i="59"/>
  <c r="BZ15" i="59"/>
  <c r="BZ16" i="59"/>
  <c r="BZ6" i="60"/>
  <c r="BZ7" i="60"/>
  <c r="BZ8" i="60"/>
  <c r="BZ9" i="60"/>
  <c r="BZ10" i="60"/>
  <c r="BZ11" i="60"/>
  <c r="BZ12" i="60"/>
  <c r="BZ13" i="60"/>
  <c r="BZ14" i="60"/>
  <c r="BZ15" i="60"/>
  <c r="BZ16" i="60"/>
  <c r="BZ6" i="61"/>
  <c r="BZ7" i="61"/>
  <c r="BZ8" i="61"/>
  <c r="BZ9" i="61"/>
  <c r="BZ10" i="61"/>
  <c r="BZ11" i="61"/>
  <c r="BZ12" i="61"/>
  <c r="BZ13" i="61"/>
  <c r="BZ14" i="61"/>
  <c r="BZ15" i="61"/>
  <c r="BZ16" i="61"/>
  <c r="BZ6" i="31"/>
  <c r="BZ7" i="31"/>
  <c r="BZ8" i="31"/>
  <c r="BZ9" i="31"/>
  <c r="BZ10" i="31"/>
  <c r="BZ11" i="31"/>
  <c r="BZ12" i="31"/>
  <c r="BZ13" i="31"/>
  <c r="BZ14" i="31"/>
  <c r="BZ15" i="31"/>
  <c r="BZ16" i="31"/>
  <c r="BY6" i="36"/>
  <c r="BY7" i="36"/>
  <c r="BY8" i="36"/>
  <c r="BY9" i="36"/>
  <c r="BY10" i="36"/>
  <c r="BY11" i="36"/>
  <c r="BY12" i="36"/>
  <c r="BY13" i="36"/>
  <c r="BY14" i="36"/>
  <c r="BY15" i="36"/>
  <c r="BY16" i="36"/>
  <c r="BY6" i="35"/>
  <c r="BY7" i="35"/>
  <c r="BY8" i="35"/>
  <c r="BY9" i="35"/>
  <c r="BY10" i="35"/>
  <c r="BY11" i="35"/>
  <c r="BY12" i="35"/>
  <c r="BY13" i="35"/>
  <c r="BY14" i="35"/>
  <c r="BY15" i="35"/>
  <c r="BY16" i="35"/>
  <c r="BY6" i="33"/>
  <c r="BY7" i="33"/>
  <c r="BY8" i="33"/>
  <c r="BY9" i="33"/>
  <c r="BY10" i="33"/>
  <c r="BY11" i="33"/>
  <c r="BY12" i="33"/>
  <c r="BY13" i="33"/>
  <c r="BY14" i="33"/>
  <c r="BY15" i="33"/>
  <c r="BY16" i="33"/>
  <c r="BY6" i="34"/>
  <c r="BY7" i="34"/>
  <c r="BY8" i="34"/>
  <c r="BY9" i="34"/>
  <c r="BY10" i="34"/>
  <c r="BY11" i="34"/>
  <c r="BY12" i="34"/>
  <c r="BY13" i="34"/>
  <c r="BY14" i="34"/>
  <c r="BY15" i="34"/>
  <c r="BY16" i="34"/>
  <c r="BY6" i="38"/>
  <c r="BY7" i="38"/>
  <c r="BY8" i="38"/>
  <c r="BY9" i="38"/>
  <c r="BY10" i="38"/>
  <c r="BY11" i="38"/>
  <c r="BY12" i="38"/>
  <c r="BY13" i="38"/>
  <c r="BY14" i="38"/>
  <c r="BY15" i="38"/>
  <c r="BY16" i="38"/>
  <c r="BY6" i="40"/>
  <c r="BY7" i="40"/>
  <c r="BY8" i="40"/>
  <c r="BY9" i="40"/>
  <c r="BY10" i="40"/>
  <c r="BY11" i="40"/>
  <c r="BY12" i="40"/>
  <c r="BY13" i="40"/>
  <c r="BY14" i="40"/>
  <c r="BY15" i="40"/>
  <c r="BY16" i="40"/>
  <c r="BY6" i="39"/>
  <c r="BY7" i="39"/>
  <c r="BY8" i="39"/>
  <c r="BY9" i="39"/>
  <c r="BY10" i="39"/>
  <c r="BY11" i="39"/>
  <c r="BY12" i="39"/>
  <c r="BY13" i="39"/>
  <c r="BY14" i="39"/>
  <c r="BY15" i="39"/>
  <c r="BY16" i="39"/>
  <c r="BY6" i="41"/>
  <c r="BY7" i="41"/>
  <c r="BY8" i="41"/>
  <c r="BY9" i="41"/>
  <c r="BY10" i="41"/>
  <c r="BY11" i="41"/>
  <c r="BY12" i="41"/>
  <c r="BY13" i="41"/>
  <c r="BY14" i="41"/>
  <c r="BY15" i="41"/>
  <c r="BY16" i="41"/>
  <c r="BY6" i="44"/>
  <c r="BY7" i="44"/>
  <c r="BY8" i="44"/>
  <c r="BY9" i="44"/>
  <c r="BY10" i="44"/>
  <c r="BY11" i="44"/>
  <c r="BY12" i="44"/>
  <c r="BY13" i="44"/>
  <c r="BY14" i="44"/>
  <c r="BY15" i="44"/>
  <c r="BY16" i="44"/>
  <c r="BY6" i="42"/>
  <c r="BY7" i="42"/>
  <c r="BY8" i="42"/>
  <c r="BY9" i="42"/>
  <c r="BY10" i="42"/>
  <c r="BY11" i="42"/>
  <c r="BY12" i="42"/>
  <c r="BY13" i="42"/>
  <c r="BY14" i="42"/>
  <c r="BY15" i="42"/>
  <c r="BY16" i="42"/>
  <c r="BY6" i="43"/>
  <c r="BY7" i="43"/>
  <c r="BY8" i="43"/>
  <c r="BY9" i="43"/>
  <c r="BY10" i="43"/>
  <c r="BY11" i="43"/>
  <c r="BY12" i="43"/>
  <c r="BY13" i="43"/>
  <c r="BY14" i="43"/>
  <c r="BY15" i="43"/>
  <c r="BY16" i="43"/>
  <c r="BY6" i="49"/>
  <c r="BY7" i="49"/>
  <c r="BY8" i="49"/>
  <c r="BY9" i="49"/>
  <c r="BY10" i="49"/>
  <c r="BY11" i="49"/>
  <c r="BY12" i="49"/>
  <c r="BY13" i="49"/>
  <c r="BY14" i="49"/>
  <c r="BY15" i="49"/>
  <c r="BY16" i="49"/>
  <c r="BY6" i="50"/>
  <c r="BY7" i="50"/>
  <c r="BY8" i="50"/>
  <c r="BY9" i="50"/>
  <c r="BY10" i="50"/>
  <c r="BY11" i="50"/>
  <c r="BY12" i="50"/>
  <c r="BY13" i="50"/>
  <c r="BY14" i="50"/>
  <c r="BY15" i="50"/>
  <c r="BY16" i="50"/>
  <c r="BY6" i="67"/>
  <c r="BY7" i="67"/>
  <c r="BY8" i="67"/>
  <c r="BY9" i="67"/>
  <c r="BY10" i="67"/>
  <c r="BY11" i="67"/>
  <c r="BY12" i="67"/>
  <c r="BY13" i="67"/>
  <c r="BY14" i="67"/>
  <c r="BY15" i="67"/>
  <c r="BY16" i="67"/>
  <c r="BY6" i="51"/>
  <c r="BY7" i="51"/>
  <c r="BY8" i="51"/>
  <c r="BY9" i="51"/>
  <c r="BY10" i="51"/>
  <c r="BY11" i="51"/>
  <c r="BY12" i="51"/>
  <c r="BY13" i="51"/>
  <c r="BY14" i="51"/>
  <c r="BY15" i="51"/>
  <c r="BY16" i="51"/>
  <c r="BY6" i="52"/>
  <c r="BY7" i="52"/>
  <c r="BY8" i="52"/>
  <c r="BY9" i="52"/>
  <c r="BY10" i="52"/>
  <c r="BY11" i="52"/>
  <c r="BY12" i="52"/>
  <c r="BY13" i="52"/>
  <c r="BY14" i="52"/>
  <c r="BY15" i="52"/>
  <c r="BY16" i="52"/>
  <c r="BY6" i="53"/>
  <c r="BY7" i="53"/>
  <c r="BY8" i="53"/>
  <c r="BY9" i="53"/>
  <c r="BY10" i="53"/>
  <c r="BY11" i="53"/>
  <c r="BY12" i="53"/>
  <c r="BY13" i="53"/>
  <c r="BY14" i="53"/>
  <c r="BY15" i="53"/>
  <c r="BY16" i="53"/>
  <c r="BY6" i="54"/>
  <c r="BY7" i="54"/>
  <c r="BY8" i="54"/>
  <c r="BY9" i="54"/>
  <c r="BY10" i="54"/>
  <c r="BY11" i="54"/>
  <c r="BY12" i="54"/>
  <c r="BY13" i="54"/>
  <c r="BY14" i="54"/>
  <c r="BY15" i="54"/>
  <c r="BY16" i="54"/>
  <c r="BY6" i="55"/>
  <c r="BY7" i="55"/>
  <c r="BY8" i="55"/>
  <c r="BY9" i="55"/>
  <c r="BY10" i="55"/>
  <c r="BY11" i="55"/>
  <c r="BY12" i="55"/>
  <c r="BY13" i="55"/>
  <c r="BY14" i="55"/>
  <c r="BY15" i="55"/>
  <c r="BY16" i="55"/>
  <c r="CA6" i="47"/>
  <c r="CA7" i="47"/>
  <c r="CA8" i="47"/>
  <c r="CA9" i="47"/>
  <c r="CA10" i="47"/>
  <c r="CA11" i="47"/>
  <c r="CA12" i="47"/>
  <c r="CA13" i="47"/>
  <c r="CA14" i="47"/>
  <c r="CA15" i="47"/>
  <c r="CA16" i="47"/>
  <c r="BY6" i="45"/>
  <c r="BY7" i="45"/>
  <c r="BY8" i="45"/>
  <c r="BY9" i="45"/>
  <c r="BY10" i="45"/>
  <c r="BY11" i="45"/>
  <c r="BY12" i="45"/>
  <c r="BY13" i="45"/>
  <c r="BY14" i="45"/>
  <c r="BY15" i="45"/>
  <c r="BY16" i="45"/>
  <c r="BY6" i="48"/>
  <c r="BY7" i="48"/>
  <c r="BY8" i="48"/>
  <c r="BY9" i="48"/>
  <c r="BY10" i="48"/>
  <c r="BY11" i="48"/>
  <c r="BY12" i="48"/>
  <c r="BY13" i="48"/>
  <c r="BY14" i="48"/>
  <c r="BY15" i="48"/>
  <c r="BY16" i="48"/>
  <c r="BY6" i="46"/>
  <c r="BY7" i="46"/>
  <c r="BY8" i="46"/>
  <c r="BY9" i="46"/>
  <c r="BY10" i="46"/>
  <c r="BY11" i="46"/>
  <c r="BY12" i="46"/>
  <c r="BY13" i="46"/>
  <c r="BY14" i="46"/>
  <c r="BY15" i="46"/>
  <c r="BY16" i="46"/>
  <c r="BY6" i="56"/>
  <c r="BY7" i="56"/>
  <c r="BY8" i="56"/>
  <c r="BY9" i="56"/>
  <c r="BY10" i="56"/>
  <c r="BY11" i="56"/>
  <c r="BY12" i="56"/>
  <c r="BY13" i="56"/>
  <c r="BY14" i="56"/>
  <c r="BY15" i="56"/>
  <c r="BY16" i="56"/>
  <c r="BY6" i="58"/>
  <c r="BY7" i="58"/>
  <c r="BY8" i="58"/>
  <c r="BY9" i="58"/>
  <c r="BY10" i="58"/>
  <c r="BY11" i="58"/>
  <c r="BY12" i="58"/>
  <c r="BY13" i="58"/>
  <c r="BY14" i="58"/>
  <c r="BY15" i="58"/>
  <c r="BY16" i="58"/>
  <c r="BY6" i="59"/>
  <c r="BY7" i="59"/>
  <c r="BY8" i="59"/>
  <c r="BY9" i="59"/>
  <c r="BY10" i="59"/>
  <c r="BY11" i="59"/>
  <c r="BY12" i="59"/>
  <c r="BY13" i="59"/>
  <c r="BY14" i="59"/>
  <c r="BY15" i="59"/>
  <c r="BY16" i="59"/>
  <c r="BY6" i="60"/>
  <c r="BY7" i="60"/>
  <c r="BY8" i="60"/>
  <c r="BY9" i="60"/>
  <c r="BY10" i="60"/>
  <c r="BY11" i="60"/>
  <c r="BY12" i="60"/>
  <c r="BY13" i="60"/>
  <c r="BY14" i="60"/>
  <c r="BY15" i="60"/>
  <c r="BY16" i="60"/>
  <c r="BY6" i="61"/>
  <c r="BY7" i="61"/>
  <c r="BY8" i="61"/>
  <c r="BY9" i="61"/>
  <c r="BY10" i="61"/>
  <c r="BY11" i="61"/>
  <c r="BY12" i="61"/>
  <c r="BY13" i="61"/>
  <c r="BY14" i="61"/>
  <c r="BY15" i="61"/>
  <c r="BY16" i="61"/>
  <c r="BY6" i="31"/>
  <c r="BY7" i="31"/>
  <c r="BY8" i="31"/>
  <c r="BY9" i="31"/>
  <c r="BY10" i="31"/>
  <c r="BY11" i="31"/>
  <c r="BY12" i="31"/>
  <c r="BY13" i="31"/>
  <c r="BY14" i="31"/>
  <c r="BY15" i="31"/>
  <c r="BY16" i="31"/>
  <c r="BX6" i="36"/>
  <c r="BX8" i="36"/>
  <c r="BX9" i="36"/>
  <c r="BX10" i="36"/>
  <c r="BX11" i="36"/>
  <c r="BX12" i="36"/>
  <c r="BX13" i="36"/>
  <c r="BX14" i="36"/>
  <c r="BX15" i="36"/>
  <c r="BX16" i="36"/>
  <c r="BX6" i="35"/>
  <c r="BX8" i="35"/>
  <c r="BX9" i="35"/>
  <c r="BX10" i="35"/>
  <c r="BX11" i="35"/>
  <c r="BX12" i="35"/>
  <c r="BX13" i="35"/>
  <c r="BX14" i="35"/>
  <c r="BX15" i="35"/>
  <c r="BX16" i="35"/>
  <c r="BX6" i="33"/>
  <c r="BX8" i="33"/>
  <c r="BX9" i="33"/>
  <c r="BX10" i="33"/>
  <c r="BX11" i="33"/>
  <c r="BX12" i="33"/>
  <c r="BX13" i="33"/>
  <c r="BX14" i="33"/>
  <c r="BX15" i="33"/>
  <c r="BX16" i="33"/>
  <c r="BX6" i="34"/>
  <c r="BX8" i="34"/>
  <c r="BX9" i="34"/>
  <c r="BX10" i="34"/>
  <c r="BX11" i="34"/>
  <c r="BX12" i="34"/>
  <c r="BX13" i="34"/>
  <c r="BX14" i="34"/>
  <c r="BX15" i="34"/>
  <c r="BX16" i="34"/>
  <c r="BX6" i="38"/>
  <c r="BX8" i="38"/>
  <c r="BX9" i="38"/>
  <c r="BX10" i="38"/>
  <c r="BX11" i="38"/>
  <c r="BX12" i="38"/>
  <c r="BX13" i="38"/>
  <c r="BX14" i="38"/>
  <c r="BX15" i="38"/>
  <c r="BX16" i="38"/>
  <c r="BX6" i="40"/>
  <c r="BX8" i="40"/>
  <c r="BX9" i="40"/>
  <c r="BX10" i="40"/>
  <c r="BX11" i="40"/>
  <c r="BX12" i="40"/>
  <c r="BX13" i="40"/>
  <c r="BX14" i="40"/>
  <c r="BX15" i="40"/>
  <c r="BX16" i="40"/>
  <c r="BX6" i="39"/>
  <c r="BX8" i="39"/>
  <c r="BX9" i="39"/>
  <c r="BX10" i="39"/>
  <c r="BX11" i="39"/>
  <c r="BX12" i="39"/>
  <c r="BX13" i="39"/>
  <c r="BX14" i="39"/>
  <c r="BX15" i="39"/>
  <c r="BX16" i="39"/>
  <c r="BX6" i="41"/>
  <c r="BX8" i="41"/>
  <c r="BX9" i="41"/>
  <c r="BX10" i="41"/>
  <c r="BX11" i="41"/>
  <c r="BX12" i="41"/>
  <c r="BX13" i="41"/>
  <c r="BX14" i="41"/>
  <c r="BX15" i="41"/>
  <c r="BX16" i="41"/>
  <c r="BX6" i="44"/>
  <c r="BX8" i="44"/>
  <c r="BX9" i="44"/>
  <c r="BX10" i="44"/>
  <c r="BX11" i="44"/>
  <c r="BX12" i="44"/>
  <c r="BX13" i="44"/>
  <c r="BX14" i="44"/>
  <c r="BX15" i="44"/>
  <c r="BX16" i="44"/>
  <c r="BX6" i="42"/>
  <c r="BX8" i="42"/>
  <c r="BX9" i="42"/>
  <c r="BX10" i="42"/>
  <c r="BX11" i="42"/>
  <c r="BX12" i="42"/>
  <c r="BX13" i="42"/>
  <c r="BX14" i="42"/>
  <c r="BX15" i="42"/>
  <c r="BX16" i="42"/>
  <c r="BX6" i="43"/>
  <c r="BX8" i="43"/>
  <c r="BX9" i="43"/>
  <c r="BX10" i="43"/>
  <c r="BX11" i="43"/>
  <c r="BX12" i="43"/>
  <c r="BX13" i="43"/>
  <c r="BX14" i="43"/>
  <c r="BX15" i="43"/>
  <c r="BX16" i="43"/>
  <c r="BX6" i="49"/>
  <c r="BX8" i="49"/>
  <c r="BX9" i="49"/>
  <c r="BX10" i="49"/>
  <c r="BX11" i="49"/>
  <c r="BX12" i="49"/>
  <c r="BX13" i="49"/>
  <c r="BX14" i="49"/>
  <c r="BX15" i="49"/>
  <c r="BX16" i="49"/>
  <c r="BX6" i="50"/>
  <c r="BX8" i="50"/>
  <c r="BX9" i="50"/>
  <c r="BX10" i="50"/>
  <c r="BX11" i="50"/>
  <c r="BX12" i="50"/>
  <c r="BX13" i="50"/>
  <c r="BX14" i="50"/>
  <c r="BX15" i="50"/>
  <c r="BX16" i="50"/>
  <c r="BX6" i="67"/>
  <c r="BX8" i="67"/>
  <c r="BX9" i="67"/>
  <c r="BX10" i="67"/>
  <c r="BX11" i="67"/>
  <c r="BX12" i="67"/>
  <c r="BX13" i="67"/>
  <c r="BX14" i="67"/>
  <c r="BX15" i="67"/>
  <c r="BX16" i="67"/>
  <c r="BX6" i="51"/>
  <c r="BX8" i="51"/>
  <c r="BX9" i="51"/>
  <c r="BX10" i="51"/>
  <c r="BX11" i="51"/>
  <c r="BX12" i="51"/>
  <c r="BX13" i="51"/>
  <c r="BX14" i="51"/>
  <c r="BX15" i="51"/>
  <c r="BX16" i="51"/>
  <c r="BX6" i="52"/>
  <c r="BX8" i="52"/>
  <c r="BX9" i="52"/>
  <c r="BX10" i="52"/>
  <c r="BX11" i="52"/>
  <c r="BX12" i="52"/>
  <c r="BX13" i="52"/>
  <c r="BX14" i="52"/>
  <c r="BX15" i="52"/>
  <c r="BX16" i="52"/>
  <c r="BX6" i="53"/>
  <c r="BX8" i="53"/>
  <c r="BX9" i="53"/>
  <c r="BX10" i="53"/>
  <c r="BX11" i="53"/>
  <c r="BX12" i="53"/>
  <c r="BX13" i="53"/>
  <c r="BX14" i="53"/>
  <c r="BX15" i="53"/>
  <c r="BX16" i="53"/>
  <c r="BX6" i="54"/>
  <c r="BX8" i="54"/>
  <c r="BX9" i="54"/>
  <c r="BX10" i="54"/>
  <c r="BX11" i="54"/>
  <c r="BX12" i="54"/>
  <c r="BX13" i="54"/>
  <c r="BX14" i="54"/>
  <c r="BX15" i="54"/>
  <c r="BX16" i="54"/>
  <c r="BX6" i="55"/>
  <c r="BX8" i="55"/>
  <c r="BX9" i="55"/>
  <c r="BX10" i="55"/>
  <c r="BX11" i="55"/>
  <c r="BX12" i="55"/>
  <c r="BX13" i="55"/>
  <c r="BX14" i="55"/>
  <c r="BX15" i="55"/>
  <c r="BX16" i="55"/>
  <c r="BY6" i="47"/>
  <c r="BY8" i="47"/>
  <c r="BY9" i="47"/>
  <c r="BY10" i="47"/>
  <c r="BY11" i="47"/>
  <c r="BY12" i="47"/>
  <c r="BY13" i="47"/>
  <c r="BY14" i="47"/>
  <c r="BY15" i="47"/>
  <c r="BY16" i="47"/>
  <c r="BX6" i="45"/>
  <c r="BX8" i="45"/>
  <c r="BX9" i="45"/>
  <c r="BX10" i="45"/>
  <c r="BX11" i="45"/>
  <c r="BX12" i="45"/>
  <c r="BX13" i="45"/>
  <c r="BX14" i="45"/>
  <c r="BX15" i="45"/>
  <c r="BX16" i="45"/>
  <c r="BX6" i="48"/>
  <c r="BX8" i="48"/>
  <c r="BX9" i="48"/>
  <c r="BX10" i="48"/>
  <c r="BX11" i="48"/>
  <c r="BX12" i="48"/>
  <c r="BX13" i="48"/>
  <c r="BX14" i="48"/>
  <c r="BX15" i="48"/>
  <c r="BX16" i="48"/>
  <c r="BX6" i="46"/>
  <c r="BX8" i="46"/>
  <c r="BX9" i="46"/>
  <c r="BX10" i="46"/>
  <c r="BX11" i="46"/>
  <c r="BX12" i="46"/>
  <c r="BX13" i="46"/>
  <c r="BX14" i="46"/>
  <c r="BX15" i="46"/>
  <c r="BX16" i="46"/>
  <c r="BX6" i="56"/>
  <c r="BX8" i="56"/>
  <c r="BX9" i="56"/>
  <c r="BX10" i="56"/>
  <c r="BX11" i="56"/>
  <c r="BX12" i="56"/>
  <c r="BX13" i="56"/>
  <c r="BX14" i="56"/>
  <c r="BX15" i="56"/>
  <c r="BX16" i="56"/>
  <c r="BX6" i="58"/>
  <c r="BX8" i="58"/>
  <c r="BX9" i="58"/>
  <c r="BX10" i="58"/>
  <c r="BX11" i="58"/>
  <c r="BX12" i="58"/>
  <c r="BX13" i="58"/>
  <c r="BX14" i="58"/>
  <c r="BX15" i="58"/>
  <c r="BX16" i="58"/>
  <c r="BX6" i="59"/>
  <c r="BX8" i="59"/>
  <c r="BX9" i="59"/>
  <c r="BX10" i="59"/>
  <c r="BX11" i="59"/>
  <c r="BX12" i="59"/>
  <c r="BX13" i="59"/>
  <c r="BX14" i="59"/>
  <c r="BX15" i="59"/>
  <c r="BX16" i="59"/>
  <c r="BX6" i="60"/>
  <c r="BX8" i="60"/>
  <c r="BX9" i="60"/>
  <c r="BX10" i="60"/>
  <c r="BX11" i="60"/>
  <c r="BX12" i="60"/>
  <c r="BX13" i="60"/>
  <c r="BX14" i="60"/>
  <c r="BX15" i="60"/>
  <c r="BX16" i="60"/>
  <c r="BX6" i="61"/>
  <c r="BX8" i="61"/>
  <c r="BX9" i="61"/>
  <c r="BX10" i="61"/>
  <c r="BX11" i="61"/>
  <c r="BX12" i="61"/>
  <c r="BX13" i="61"/>
  <c r="BX14" i="61"/>
  <c r="BX15" i="61"/>
  <c r="BX16" i="61"/>
  <c r="BX6" i="31"/>
  <c r="BX8" i="31"/>
  <c r="BX9" i="31"/>
  <c r="BX10" i="31"/>
  <c r="BX11" i="31"/>
  <c r="BX12" i="31"/>
  <c r="BX13" i="31"/>
  <c r="BX14" i="31"/>
  <c r="BX15" i="31"/>
  <c r="BX16" i="31"/>
  <c r="BW6" i="36"/>
  <c r="BW7" i="36"/>
  <c r="BW8" i="36"/>
  <c r="BW9" i="36"/>
  <c r="BW10" i="36"/>
  <c r="BW11" i="36"/>
  <c r="BW12" i="36"/>
  <c r="BW13" i="36"/>
  <c r="BW14" i="36"/>
  <c r="BW15" i="36"/>
  <c r="BW16" i="36"/>
  <c r="BW6" i="35"/>
  <c r="BW7" i="35"/>
  <c r="BW8" i="35"/>
  <c r="BW9" i="35"/>
  <c r="BW10" i="35"/>
  <c r="BW11" i="35"/>
  <c r="BW12" i="35"/>
  <c r="BW13" i="35"/>
  <c r="BW14" i="35"/>
  <c r="BW15" i="35"/>
  <c r="BW16" i="35"/>
  <c r="BW6" i="33"/>
  <c r="BW7" i="33"/>
  <c r="BW8" i="33"/>
  <c r="BW9" i="33"/>
  <c r="BW10" i="33"/>
  <c r="BW11" i="33"/>
  <c r="BW12" i="33"/>
  <c r="BW13" i="33"/>
  <c r="BW14" i="33"/>
  <c r="BW15" i="33"/>
  <c r="BW16" i="33"/>
  <c r="BW6" i="34"/>
  <c r="BW7" i="34"/>
  <c r="BW8" i="34"/>
  <c r="BW9" i="34"/>
  <c r="BW10" i="34"/>
  <c r="BW11" i="34"/>
  <c r="BW12" i="34"/>
  <c r="BW13" i="34"/>
  <c r="BW14" i="34"/>
  <c r="BW15" i="34"/>
  <c r="BW16" i="34"/>
  <c r="BW6" i="38"/>
  <c r="BW7" i="38"/>
  <c r="BW8" i="38"/>
  <c r="BW9" i="38"/>
  <c r="BW10" i="38"/>
  <c r="BW11" i="38"/>
  <c r="BW12" i="38"/>
  <c r="BW13" i="38"/>
  <c r="BW14" i="38"/>
  <c r="BW15" i="38"/>
  <c r="BW16" i="38"/>
  <c r="BW6" i="40"/>
  <c r="BW7" i="40"/>
  <c r="BW8" i="40"/>
  <c r="BW9" i="40"/>
  <c r="BW10" i="40"/>
  <c r="BW11" i="40"/>
  <c r="BW12" i="40"/>
  <c r="BW13" i="40"/>
  <c r="BW14" i="40"/>
  <c r="BW15" i="40"/>
  <c r="BW16" i="40"/>
  <c r="BW6" i="39"/>
  <c r="BW7" i="39"/>
  <c r="BW8" i="39"/>
  <c r="BW9" i="39"/>
  <c r="BW10" i="39"/>
  <c r="BW11" i="39"/>
  <c r="BW12" i="39"/>
  <c r="BW13" i="39"/>
  <c r="BW14" i="39"/>
  <c r="BW15" i="39"/>
  <c r="BW16" i="39"/>
  <c r="BW6" i="41"/>
  <c r="BW7" i="41"/>
  <c r="BW8" i="41"/>
  <c r="BW9" i="41"/>
  <c r="BW10" i="41"/>
  <c r="BW11" i="41"/>
  <c r="BW12" i="41"/>
  <c r="BW13" i="41"/>
  <c r="BW14" i="41"/>
  <c r="BW15" i="41"/>
  <c r="BW16" i="41"/>
  <c r="BW6" i="44"/>
  <c r="BW7" i="44"/>
  <c r="BW8" i="44"/>
  <c r="BW9" i="44"/>
  <c r="BW10" i="44"/>
  <c r="BW11" i="44"/>
  <c r="BW12" i="44"/>
  <c r="BW13" i="44"/>
  <c r="BW14" i="44"/>
  <c r="BW15" i="44"/>
  <c r="BW16" i="44"/>
  <c r="BW6" i="42"/>
  <c r="BW7" i="42"/>
  <c r="BW8" i="42"/>
  <c r="BW9" i="42"/>
  <c r="BW10" i="42"/>
  <c r="BW11" i="42"/>
  <c r="BW12" i="42"/>
  <c r="BW13" i="42"/>
  <c r="BW14" i="42"/>
  <c r="BW15" i="42"/>
  <c r="BW16" i="42"/>
  <c r="BW6" i="43"/>
  <c r="BW7" i="43"/>
  <c r="BW8" i="43"/>
  <c r="BW9" i="43"/>
  <c r="BW10" i="43"/>
  <c r="BW11" i="43"/>
  <c r="BW12" i="43"/>
  <c r="BW13" i="43"/>
  <c r="BW14" i="43"/>
  <c r="BW15" i="43"/>
  <c r="BW16" i="43"/>
  <c r="BW6" i="49"/>
  <c r="BW7" i="49"/>
  <c r="BW8" i="49"/>
  <c r="BW9" i="49"/>
  <c r="BW10" i="49"/>
  <c r="BW11" i="49"/>
  <c r="BW12" i="49"/>
  <c r="BW13" i="49"/>
  <c r="BW14" i="49"/>
  <c r="BW15" i="49"/>
  <c r="BW16" i="49"/>
  <c r="BW6" i="50"/>
  <c r="BW7" i="50"/>
  <c r="BW8" i="50"/>
  <c r="BW9" i="50"/>
  <c r="BW10" i="50"/>
  <c r="BW11" i="50"/>
  <c r="BW12" i="50"/>
  <c r="BW13" i="50"/>
  <c r="BW14" i="50"/>
  <c r="BW15" i="50"/>
  <c r="BW16" i="50"/>
  <c r="BW6" i="67"/>
  <c r="BW7" i="67"/>
  <c r="BW8" i="67"/>
  <c r="BW9" i="67"/>
  <c r="BW10" i="67"/>
  <c r="BW11" i="67"/>
  <c r="BW12" i="67"/>
  <c r="BW13" i="67"/>
  <c r="BW14" i="67"/>
  <c r="BW15" i="67"/>
  <c r="BW16" i="67"/>
  <c r="BW6" i="51"/>
  <c r="BW7" i="51"/>
  <c r="BW8" i="51"/>
  <c r="BW9" i="51"/>
  <c r="BW10" i="51"/>
  <c r="BW11" i="51"/>
  <c r="BW12" i="51"/>
  <c r="BW13" i="51"/>
  <c r="BW14" i="51"/>
  <c r="BW15" i="51"/>
  <c r="BW16" i="51"/>
  <c r="BW6" i="52"/>
  <c r="BW7" i="52"/>
  <c r="BW8" i="52"/>
  <c r="BW9" i="52"/>
  <c r="BW10" i="52"/>
  <c r="BW11" i="52"/>
  <c r="BW12" i="52"/>
  <c r="BW13" i="52"/>
  <c r="BW14" i="52"/>
  <c r="BW15" i="52"/>
  <c r="BW16" i="52"/>
  <c r="BW6" i="53"/>
  <c r="BW7" i="53"/>
  <c r="BW8" i="53"/>
  <c r="BW9" i="53"/>
  <c r="BW10" i="53"/>
  <c r="BW11" i="53"/>
  <c r="BW12" i="53"/>
  <c r="BW13" i="53"/>
  <c r="BW14" i="53"/>
  <c r="BW15" i="53"/>
  <c r="BW16" i="53"/>
  <c r="BW6" i="54"/>
  <c r="BW7" i="54"/>
  <c r="BW8" i="54"/>
  <c r="BW9" i="54"/>
  <c r="BW10" i="54"/>
  <c r="BW11" i="54"/>
  <c r="BW12" i="54"/>
  <c r="BW13" i="54"/>
  <c r="BW14" i="54"/>
  <c r="BW15" i="54"/>
  <c r="BW16" i="54"/>
  <c r="BW6" i="55"/>
  <c r="BW7" i="55"/>
  <c r="BW8" i="55"/>
  <c r="BW9" i="55"/>
  <c r="BW10" i="55"/>
  <c r="BW11" i="55"/>
  <c r="BW12" i="55"/>
  <c r="BW13" i="55"/>
  <c r="BW14" i="55"/>
  <c r="BW15" i="55"/>
  <c r="BW16" i="55"/>
  <c r="BX6" i="47"/>
  <c r="BX7" i="47"/>
  <c r="BX8" i="47"/>
  <c r="BX9" i="47"/>
  <c r="BX10" i="47"/>
  <c r="BX11" i="47"/>
  <c r="BX12" i="47"/>
  <c r="BX13" i="47"/>
  <c r="BX14" i="47"/>
  <c r="BX15" i="47"/>
  <c r="BX16" i="47"/>
  <c r="BW6" i="45"/>
  <c r="BW7" i="45"/>
  <c r="BW8" i="45"/>
  <c r="BW9" i="45"/>
  <c r="BW10" i="45"/>
  <c r="BW11" i="45"/>
  <c r="BW12" i="45"/>
  <c r="BW13" i="45"/>
  <c r="BW14" i="45"/>
  <c r="BW15" i="45"/>
  <c r="BW16" i="45"/>
  <c r="BW6" i="48"/>
  <c r="BW7" i="48"/>
  <c r="BW8" i="48"/>
  <c r="BW9" i="48"/>
  <c r="BW10" i="48"/>
  <c r="BW11" i="48"/>
  <c r="BW12" i="48"/>
  <c r="BW13" i="48"/>
  <c r="BW14" i="48"/>
  <c r="BW15" i="48"/>
  <c r="BW16" i="48"/>
  <c r="BW6" i="46"/>
  <c r="BW7" i="46"/>
  <c r="BW8" i="46"/>
  <c r="BW9" i="46"/>
  <c r="BW10" i="46"/>
  <c r="BW11" i="46"/>
  <c r="BW12" i="46"/>
  <c r="BW13" i="46"/>
  <c r="BW14" i="46"/>
  <c r="BW15" i="46"/>
  <c r="BW16" i="46"/>
  <c r="BW6" i="56"/>
  <c r="BW7" i="56"/>
  <c r="BW8" i="56"/>
  <c r="BW9" i="56"/>
  <c r="BW10" i="56"/>
  <c r="BW11" i="56"/>
  <c r="BW12" i="56"/>
  <c r="BW13" i="56"/>
  <c r="BW14" i="56"/>
  <c r="BW15" i="56"/>
  <c r="BW16" i="56"/>
  <c r="BW6" i="58"/>
  <c r="BW7" i="58"/>
  <c r="BW8" i="58"/>
  <c r="BW9" i="58"/>
  <c r="BW10" i="58"/>
  <c r="BW11" i="58"/>
  <c r="BW12" i="58"/>
  <c r="BW13" i="58"/>
  <c r="BW14" i="58"/>
  <c r="BW15" i="58"/>
  <c r="BW16" i="58"/>
  <c r="BW6" i="59"/>
  <c r="BW7" i="59"/>
  <c r="BW8" i="59"/>
  <c r="BW9" i="59"/>
  <c r="BW10" i="59"/>
  <c r="BW11" i="59"/>
  <c r="BW12" i="59"/>
  <c r="BW13" i="59"/>
  <c r="BW14" i="59"/>
  <c r="BW15" i="59"/>
  <c r="BW16" i="59"/>
  <c r="BW6" i="60"/>
  <c r="BW7" i="60"/>
  <c r="BW8" i="60"/>
  <c r="BW9" i="60"/>
  <c r="BW10" i="60"/>
  <c r="BW11" i="60"/>
  <c r="BW12" i="60"/>
  <c r="BW13" i="60"/>
  <c r="BW14" i="60"/>
  <c r="BW15" i="60"/>
  <c r="BW16" i="60"/>
  <c r="BW6" i="61"/>
  <c r="BW7" i="61"/>
  <c r="BW8" i="61"/>
  <c r="BW9" i="61"/>
  <c r="BW10" i="61"/>
  <c r="BW11" i="61"/>
  <c r="BW12" i="61"/>
  <c r="BW13" i="61"/>
  <c r="BW14" i="61"/>
  <c r="BW15" i="61"/>
  <c r="BW16" i="61"/>
  <c r="BW6" i="31"/>
  <c r="BW7" i="31"/>
  <c r="BW8" i="31"/>
  <c r="BW9" i="31"/>
  <c r="BW10" i="31"/>
  <c r="BW11" i="31"/>
  <c r="BW12" i="31"/>
  <c r="BW13" i="31"/>
  <c r="BW14" i="31"/>
  <c r="BW15" i="31"/>
  <c r="BW16" i="31"/>
  <c r="BV6" i="36"/>
  <c r="BV7" i="36"/>
  <c r="BV8" i="36"/>
  <c r="BV9" i="36"/>
  <c r="BV10" i="36"/>
  <c r="BV11" i="36"/>
  <c r="BV12" i="36"/>
  <c r="BV13" i="36"/>
  <c r="BV14" i="36"/>
  <c r="BV15" i="36"/>
  <c r="BV16" i="36"/>
  <c r="BV6" i="35"/>
  <c r="BV7" i="35"/>
  <c r="BV8" i="35"/>
  <c r="BV9" i="35"/>
  <c r="BV10" i="35"/>
  <c r="BV11" i="35"/>
  <c r="BV12" i="35"/>
  <c r="BV13" i="35"/>
  <c r="BV14" i="35"/>
  <c r="BV15" i="35"/>
  <c r="BV16" i="35"/>
  <c r="BV6" i="33"/>
  <c r="BV7" i="33"/>
  <c r="BV8" i="33"/>
  <c r="BV9" i="33"/>
  <c r="BV10" i="33"/>
  <c r="BV11" i="33"/>
  <c r="BV12" i="33"/>
  <c r="BV13" i="33"/>
  <c r="BV14" i="33"/>
  <c r="BV15" i="33"/>
  <c r="BV16" i="33"/>
  <c r="BV6" i="34"/>
  <c r="BV7" i="34"/>
  <c r="BV8" i="34"/>
  <c r="BV9" i="34"/>
  <c r="BV10" i="34"/>
  <c r="BV11" i="34"/>
  <c r="BV12" i="34"/>
  <c r="BV13" i="34"/>
  <c r="BV14" i="34"/>
  <c r="BV15" i="34"/>
  <c r="BV16" i="34"/>
  <c r="BV6" i="38"/>
  <c r="BV7" i="38"/>
  <c r="BV8" i="38"/>
  <c r="BV9" i="38"/>
  <c r="BV10" i="38"/>
  <c r="BV11" i="38"/>
  <c r="BV12" i="38"/>
  <c r="BV13" i="38"/>
  <c r="BV14" i="38"/>
  <c r="BV15" i="38"/>
  <c r="BV16" i="38"/>
  <c r="BV6" i="40"/>
  <c r="BV7" i="40"/>
  <c r="BV8" i="40"/>
  <c r="BV9" i="40"/>
  <c r="BV10" i="40"/>
  <c r="BV11" i="40"/>
  <c r="BV12" i="40"/>
  <c r="BV13" i="40"/>
  <c r="BV14" i="40"/>
  <c r="BV15" i="40"/>
  <c r="BV16" i="40"/>
  <c r="BV6" i="39"/>
  <c r="BV7" i="39"/>
  <c r="BV8" i="39"/>
  <c r="BV9" i="39"/>
  <c r="BV10" i="39"/>
  <c r="BV11" i="39"/>
  <c r="BV12" i="39"/>
  <c r="BV13" i="39"/>
  <c r="BV14" i="39"/>
  <c r="BV15" i="39"/>
  <c r="BV16" i="39"/>
  <c r="BV6" i="41"/>
  <c r="BV7" i="41"/>
  <c r="BV8" i="41"/>
  <c r="BV9" i="41"/>
  <c r="BV10" i="41"/>
  <c r="BV11" i="41"/>
  <c r="BV12" i="41"/>
  <c r="BV13" i="41"/>
  <c r="BV14" i="41"/>
  <c r="BV15" i="41"/>
  <c r="BV16" i="41"/>
  <c r="BV6" i="44"/>
  <c r="BV7" i="44"/>
  <c r="BV8" i="44"/>
  <c r="BV9" i="44"/>
  <c r="BV10" i="44"/>
  <c r="BV11" i="44"/>
  <c r="BV12" i="44"/>
  <c r="BV13" i="44"/>
  <c r="BV14" i="44"/>
  <c r="BV15" i="44"/>
  <c r="BV16" i="44"/>
  <c r="BV6" i="42"/>
  <c r="BV7" i="42"/>
  <c r="BV8" i="42"/>
  <c r="BV9" i="42"/>
  <c r="BV10" i="42"/>
  <c r="BV11" i="42"/>
  <c r="BV12" i="42"/>
  <c r="BV13" i="42"/>
  <c r="BV14" i="42"/>
  <c r="BV15" i="42"/>
  <c r="BV16" i="42"/>
  <c r="BV6" i="43"/>
  <c r="BV7" i="43"/>
  <c r="BV8" i="43"/>
  <c r="BV9" i="43"/>
  <c r="BV10" i="43"/>
  <c r="BV11" i="43"/>
  <c r="BV12" i="43"/>
  <c r="BV13" i="43"/>
  <c r="BV14" i="43"/>
  <c r="BV15" i="43"/>
  <c r="BV16" i="43"/>
  <c r="BV6" i="49"/>
  <c r="BV7" i="49"/>
  <c r="BV8" i="49"/>
  <c r="BV9" i="49"/>
  <c r="BV10" i="49"/>
  <c r="BV11" i="49"/>
  <c r="BV12" i="49"/>
  <c r="BV13" i="49"/>
  <c r="BV14" i="49"/>
  <c r="BV15" i="49"/>
  <c r="BV16" i="49"/>
  <c r="BV6" i="50"/>
  <c r="BV7" i="50"/>
  <c r="BV8" i="50"/>
  <c r="BV9" i="50"/>
  <c r="BV10" i="50"/>
  <c r="BV11" i="50"/>
  <c r="BV12" i="50"/>
  <c r="BV13" i="50"/>
  <c r="BV14" i="50"/>
  <c r="BV15" i="50"/>
  <c r="BV16" i="50"/>
  <c r="BV6" i="67"/>
  <c r="BV7" i="67"/>
  <c r="BV8" i="67"/>
  <c r="BV9" i="67"/>
  <c r="BV10" i="67"/>
  <c r="BV11" i="67"/>
  <c r="BV12" i="67"/>
  <c r="BV13" i="67"/>
  <c r="BV14" i="67"/>
  <c r="BV15" i="67"/>
  <c r="BV16" i="67"/>
  <c r="BV6" i="51"/>
  <c r="BV7" i="51"/>
  <c r="BV8" i="51"/>
  <c r="BV9" i="51"/>
  <c r="BV10" i="51"/>
  <c r="BV11" i="51"/>
  <c r="BV12" i="51"/>
  <c r="BV13" i="51"/>
  <c r="BV14" i="51"/>
  <c r="BV15" i="51"/>
  <c r="BV16" i="51"/>
  <c r="BV6" i="52"/>
  <c r="BV7" i="52"/>
  <c r="BV8" i="52"/>
  <c r="BV9" i="52"/>
  <c r="BV10" i="52"/>
  <c r="BV11" i="52"/>
  <c r="BV12" i="52"/>
  <c r="BV13" i="52"/>
  <c r="BV14" i="52"/>
  <c r="BV15" i="52"/>
  <c r="BV16" i="52"/>
  <c r="BV6" i="53"/>
  <c r="BV7" i="53"/>
  <c r="BV8" i="53"/>
  <c r="BV9" i="53"/>
  <c r="BV10" i="53"/>
  <c r="BV11" i="53"/>
  <c r="BV12" i="53"/>
  <c r="BV13" i="53"/>
  <c r="BV14" i="53"/>
  <c r="BV15" i="53"/>
  <c r="BV16" i="53"/>
  <c r="BV6" i="54"/>
  <c r="BV7" i="54"/>
  <c r="BV8" i="54"/>
  <c r="BV9" i="54"/>
  <c r="BV10" i="54"/>
  <c r="BV11" i="54"/>
  <c r="BV12" i="54"/>
  <c r="BV13" i="54"/>
  <c r="BV14" i="54"/>
  <c r="BV15" i="54"/>
  <c r="BV16" i="54"/>
  <c r="BV6" i="55"/>
  <c r="BV7" i="55"/>
  <c r="BV8" i="55"/>
  <c r="BV9" i="55"/>
  <c r="BV10" i="55"/>
  <c r="BV11" i="55"/>
  <c r="BV12" i="55"/>
  <c r="BV13" i="55"/>
  <c r="BV14" i="55"/>
  <c r="BV15" i="55"/>
  <c r="BV16" i="55"/>
  <c r="BW6" i="47"/>
  <c r="BW7" i="47"/>
  <c r="BW8" i="47"/>
  <c r="BW9" i="47"/>
  <c r="BW10" i="47"/>
  <c r="BW11" i="47"/>
  <c r="BW12" i="47"/>
  <c r="BW13" i="47"/>
  <c r="BW14" i="47"/>
  <c r="BW15" i="47"/>
  <c r="BW16" i="47"/>
  <c r="BV6" i="45"/>
  <c r="BV7" i="45"/>
  <c r="BV8" i="45"/>
  <c r="BV9" i="45"/>
  <c r="BV10" i="45"/>
  <c r="BV11" i="45"/>
  <c r="BV12" i="45"/>
  <c r="BV13" i="45"/>
  <c r="BV14" i="45"/>
  <c r="BV15" i="45"/>
  <c r="BV16" i="45"/>
  <c r="BV6" i="48"/>
  <c r="BV7" i="48"/>
  <c r="BV8" i="48"/>
  <c r="BV9" i="48"/>
  <c r="BV10" i="48"/>
  <c r="BV11" i="48"/>
  <c r="BV12" i="48"/>
  <c r="BV13" i="48"/>
  <c r="BV14" i="48"/>
  <c r="BV15" i="48"/>
  <c r="BV16" i="48"/>
  <c r="BV6" i="46"/>
  <c r="BV7" i="46"/>
  <c r="BV8" i="46"/>
  <c r="BV9" i="46"/>
  <c r="BV10" i="46"/>
  <c r="BV11" i="46"/>
  <c r="BV12" i="46"/>
  <c r="BV13" i="46"/>
  <c r="BV14" i="46"/>
  <c r="BV15" i="46"/>
  <c r="BV16" i="46"/>
  <c r="BV6" i="56"/>
  <c r="BV7" i="56"/>
  <c r="BV8" i="56"/>
  <c r="BV9" i="56"/>
  <c r="BV10" i="56"/>
  <c r="BV11" i="56"/>
  <c r="BV12" i="56"/>
  <c r="BV13" i="56"/>
  <c r="BV14" i="56"/>
  <c r="BV15" i="56"/>
  <c r="BV16" i="56"/>
  <c r="BV6" i="58"/>
  <c r="BV7" i="58"/>
  <c r="BV8" i="58"/>
  <c r="BV9" i="58"/>
  <c r="BV10" i="58"/>
  <c r="BV11" i="58"/>
  <c r="BV12" i="58"/>
  <c r="BV13" i="58"/>
  <c r="BV14" i="58"/>
  <c r="BV15" i="58"/>
  <c r="BV16" i="58"/>
  <c r="BV6" i="59"/>
  <c r="BV7" i="59"/>
  <c r="BV8" i="59"/>
  <c r="BV9" i="59"/>
  <c r="BV10" i="59"/>
  <c r="BV11" i="59"/>
  <c r="BV12" i="59"/>
  <c r="BV13" i="59"/>
  <c r="BV14" i="59"/>
  <c r="BV15" i="59"/>
  <c r="BV16" i="59"/>
  <c r="BV6" i="60"/>
  <c r="BV7" i="60"/>
  <c r="BV8" i="60"/>
  <c r="BV9" i="60"/>
  <c r="BV10" i="60"/>
  <c r="BV11" i="60"/>
  <c r="BV12" i="60"/>
  <c r="BV13" i="60"/>
  <c r="BV14" i="60"/>
  <c r="BV15" i="60"/>
  <c r="BV16" i="60"/>
  <c r="BV6" i="61"/>
  <c r="BV7" i="61"/>
  <c r="BV8" i="61"/>
  <c r="BV9" i="61"/>
  <c r="BV10" i="61"/>
  <c r="BV11" i="61"/>
  <c r="BV12" i="61"/>
  <c r="BV13" i="61"/>
  <c r="BV14" i="61"/>
  <c r="BV15" i="61"/>
  <c r="BV16" i="61"/>
  <c r="BV6" i="31"/>
  <c r="BV7" i="31"/>
  <c r="BV8" i="31"/>
  <c r="BV9" i="31"/>
  <c r="BV10" i="31"/>
  <c r="BV11" i="31"/>
  <c r="BV12" i="31"/>
  <c r="BV13" i="31"/>
  <c r="BV14" i="31"/>
  <c r="BV15" i="31"/>
  <c r="BV16" i="31"/>
  <c r="BU6" i="36"/>
  <c r="BU7" i="36"/>
  <c r="BU8" i="36"/>
  <c r="BU9" i="36"/>
  <c r="BU10" i="36"/>
  <c r="BU11" i="36"/>
  <c r="BU12" i="36"/>
  <c r="BU13" i="36"/>
  <c r="BU14" i="36"/>
  <c r="BU15" i="36"/>
  <c r="BU16" i="36"/>
  <c r="BU6" i="35"/>
  <c r="BU7" i="35"/>
  <c r="BU8" i="35"/>
  <c r="BU9" i="35"/>
  <c r="BU10" i="35"/>
  <c r="BU11" i="35"/>
  <c r="BU12" i="35"/>
  <c r="BU13" i="35"/>
  <c r="BU14" i="35"/>
  <c r="BU15" i="35"/>
  <c r="BU16" i="35"/>
  <c r="BU6" i="33"/>
  <c r="BU7" i="33"/>
  <c r="BU8" i="33"/>
  <c r="BU9" i="33"/>
  <c r="BU10" i="33"/>
  <c r="BU11" i="33"/>
  <c r="BU12" i="33"/>
  <c r="BU13" i="33"/>
  <c r="BU14" i="33"/>
  <c r="BU15" i="33"/>
  <c r="BU16" i="33"/>
  <c r="BU6" i="34"/>
  <c r="BU7" i="34"/>
  <c r="BU8" i="34"/>
  <c r="BU9" i="34"/>
  <c r="BU10" i="34"/>
  <c r="BU11" i="34"/>
  <c r="BU12" i="34"/>
  <c r="BU13" i="34"/>
  <c r="BU14" i="34"/>
  <c r="BU15" i="34"/>
  <c r="BU16" i="34"/>
  <c r="BU6" i="38"/>
  <c r="BU7" i="38"/>
  <c r="BU8" i="38"/>
  <c r="BU9" i="38"/>
  <c r="BU10" i="38"/>
  <c r="BU11" i="38"/>
  <c r="BU12" i="38"/>
  <c r="BU13" i="38"/>
  <c r="BU14" i="38"/>
  <c r="BU15" i="38"/>
  <c r="BU16" i="38"/>
  <c r="BU6" i="40"/>
  <c r="BU7" i="40"/>
  <c r="BU8" i="40"/>
  <c r="BU9" i="40"/>
  <c r="BU10" i="40"/>
  <c r="BU11" i="40"/>
  <c r="BU12" i="40"/>
  <c r="BU13" i="40"/>
  <c r="BU14" i="40"/>
  <c r="BU15" i="40"/>
  <c r="BU16" i="40"/>
  <c r="BU6" i="39"/>
  <c r="BU7" i="39"/>
  <c r="BU8" i="39"/>
  <c r="BU9" i="39"/>
  <c r="BU10" i="39"/>
  <c r="BU11" i="39"/>
  <c r="BU12" i="39"/>
  <c r="BU13" i="39"/>
  <c r="BU14" i="39"/>
  <c r="BU15" i="39"/>
  <c r="BU16" i="39"/>
  <c r="BU6" i="41"/>
  <c r="BU7" i="41"/>
  <c r="BU8" i="41"/>
  <c r="BU9" i="41"/>
  <c r="BU10" i="41"/>
  <c r="BU11" i="41"/>
  <c r="BU12" i="41"/>
  <c r="BU13" i="41"/>
  <c r="BU14" i="41"/>
  <c r="BU15" i="41"/>
  <c r="BU16" i="41"/>
  <c r="BU6" i="44"/>
  <c r="BU7" i="44"/>
  <c r="BU8" i="44"/>
  <c r="BU9" i="44"/>
  <c r="BU10" i="44"/>
  <c r="BU11" i="44"/>
  <c r="BU12" i="44"/>
  <c r="BU13" i="44"/>
  <c r="BU14" i="44"/>
  <c r="BU15" i="44"/>
  <c r="BU16" i="44"/>
  <c r="BU6" i="42"/>
  <c r="BU7" i="42"/>
  <c r="BU8" i="42"/>
  <c r="BU9" i="42"/>
  <c r="BU10" i="42"/>
  <c r="BU11" i="42"/>
  <c r="BU12" i="42"/>
  <c r="BU13" i="42"/>
  <c r="BU14" i="42"/>
  <c r="BU15" i="42"/>
  <c r="BU16" i="42"/>
  <c r="BU6" i="43"/>
  <c r="BU7" i="43"/>
  <c r="BU8" i="43"/>
  <c r="BU9" i="43"/>
  <c r="BU10" i="43"/>
  <c r="BU11" i="43"/>
  <c r="BU12" i="43"/>
  <c r="BU13" i="43"/>
  <c r="BU14" i="43"/>
  <c r="BU15" i="43"/>
  <c r="BU16" i="43"/>
  <c r="BU6" i="49"/>
  <c r="BU7" i="49"/>
  <c r="BU8" i="49"/>
  <c r="BU9" i="49"/>
  <c r="BU10" i="49"/>
  <c r="BU11" i="49"/>
  <c r="BU12" i="49"/>
  <c r="BU13" i="49"/>
  <c r="BU14" i="49"/>
  <c r="BU15" i="49"/>
  <c r="BU16" i="49"/>
  <c r="BU6" i="50"/>
  <c r="BU7" i="50"/>
  <c r="BU8" i="50"/>
  <c r="BU9" i="50"/>
  <c r="BU10" i="50"/>
  <c r="BU11" i="50"/>
  <c r="BU12" i="50"/>
  <c r="BU13" i="50"/>
  <c r="BU14" i="50"/>
  <c r="BU15" i="50"/>
  <c r="BU16" i="50"/>
  <c r="BU6" i="67"/>
  <c r="BU7" i="67"/>
  <c r="BU8" i="67"/>
  <c r="BU9" i="67"/>
  <c r="BU10" i="67"/>
  <c r="BU11" i="67"/>
  <c r="BU12" i="67"/>
  <c r="BU13" i="67"/>
  <c r="BU14" i="67"/>
  <c r="BU15" i="67"/>
  <c r="BU16" i="67"/>
  <c r="BU6" i="51"/>
  <c r="BU7" i="51"/>
  <c r="BU8" i="51"/>
  <c r="BU9" i="51"/>
  <c r="BU10" i="51"/>
  <c r="BU11" i="51"/>
  <c r="BU12" i="51"/>
  <c r="BU13" i="51"/>
  <c r="BU14" i="51"/>
  <c r="BU15" i="51"/>
  <c r="BU16" i="51"/>
  <c r="BU6" i="52"/>
  <c r="BU7" i="52"/>
  <c r="BU8" i="52"/>
  <c r="BU9" i="52"/>
  <c r="BU10" i="52"/>
  <c r="BU11" i="52"/>
  <c r="BU12" i="52"/>
  <c r="BU13" i="52"/>
  <c r="BU14" i="52"/>
  <c r="BU15" i="52"/>
  <c r="BU16" i="52"/>
  <c r="BU6" i="53"/>
  <c r="BU7" i="53"/>
  <c r="BU8" i="53"/>
  <c r="BU9" i="53"/>
  <c r="BU10" i="53"/>
  <c r="BU11" i="53"/>
  <c r="BU12" i="53"/>
  <c r="BU13" i="53"/>
  <c r="BU14" i="53"/>
  <c r="BU15" i="53"/>
  <c r="BU16" i="53"/>
  <c r="BU6" i="54"/>
  <c r="BU7" i="54"/>
  <c r="BU8" i="54"/>
  <c r="BU9" i="54"/>
  <c r="BU10" i="54"/>
  <c r="BU11" i="54"/>
  <c r="BU12" i="54"/>
  <c r="BU13" i="54"/>
  <c r="BU14" i="54"/>
  <c r="BU15" i="54"/>
  <c r="BU16" i="54"/>
  <c r="BU6" i="55"/>
  <c r="BU7" i="55"/>
  <c r="BU8" i="55"/>
  <c r="BU9" i="55"/>
  <c r="BU10" i="55"/>
  <c r="BU11" i="55"/>
  <c r="BU12" i="55"/>
  <c r="BU13" i="55"/>
  <c r="BU14" i="55"/>
  <c r="BU15" i="55"/>
  <c r="BU16" i="55"/>
  <c r="BV6" i="47"/>
  <c r="BV7" i="47"/>
  <c r="BV8" i="47"/>
  <c r="BV9" i="47"/>
  <c r="BV10" i="47"/>
  <c r="BV11" i="47"/>
  <c r="BV12" i="47"/>
  <c r="BV13" i="47"/>
  <c r="BV14" i="47"/>
  <c r="BV15" i="47"/>
  <c r="BV16" i="47"/>
  <c r="BU6" i="45"/>
  <c r="BU7" i="45"/>
  <c r="BU8" i="45"/>
  <c r="BU9" i="45"/>
  <c r="BU10" i="45"/>
  <c r="BU11" i="45"/>
  <c r="BU12" i="45"/>
  <c r="BU13" i="45"/>
  <c r="BU14" i="45"/>
  <c r="BU15" i="45"/>
  <c r="BU16" i="45"/>
  <c r="BU6" i="48"/>
  <c r="BU7" i="48"/>
  <c r="BU8" i="48"/>
  <c r="BU9" i="48"/>
  <c r="BU10" i="48"/>
  <c r="BU11" i="48"/>
  <c r="BU12" i="48"/>
  <c r="BU13" i="48"/>
  <c r="BU14" i="48"/>
  <c r="BU15" i="48"/>
  <c r="BU16" i="48"/>
  <c r="BU6" i="46"/>
  <c r="BU7" i="46"/>
  <c r="BU8" i="46"/>
  <c r="BU9" i="46"/>
  <c r="BU10" i="46"/>
  <c r="BU11" i="46"/>
  <c r="BU12" i="46"/>
  <c r="BU13" i="46"/>
  <c r="BU14" i="46"/>
  <c r="BU15" i="46"/>
  <c r="BU16" i="46"/>
  <c r="BU6" i="56"/>
  <c r="BU7" i="56"/>
  <c r="BU8" i="56"/>
  <c r="BU9" i="56"/>
  <c r="BU10" i="56"/>
  <c r="BU11" i="56"/>
  <c r="BU12" i="56"/>
  <c r="BU13" i="56"/>
  <c r="BU14" i="56"/>
  <c r="BU15" i="56"/>
  <c r="BU16" i="56"/>
  <c r="BU6" i="58"/>
  <c r="BU7" i="58"/>
  <c r="BU8" i="58"/>
  <c r="BU9" i="58"/>
  <c r="BU10" i="58"/>
  <c r="BU11" i="58"/>
  <c r="BU12" i="58"/>
  <c r="BU13" i="58"/>
  <c r="BU14" i="58"/>
  <c r="BU15" i="58"/>
  <c r="BU16" i="58"/>
  <c r="BU6" i="59"/>
  <c r="BU7" i="59"/>
  <c r="BU8" i="59"/>
  <c r="BU9" i="59"/>
  <c r="BU10" i="59"/>
  <c r="BU11" i="59"/>
  <c r="BU12" i="59"/>
  <c r="BU13" i="59"/>
  <c r="BU14" i="59"/>
  <c r="BU15" i="59"/>
  <c r="BU16" i="59"/>
  <c r="BU6" i="60"/>
  <c r="BU7" i="60"/>
  <c r="BU8" i="60"/>
  <c r="BU9" i="60"/>
  <c r="BU10" i="60"/>
  <c r="BU11" i="60"/>
  <c r="BU12" i="60"/>
  <c r="BU13" i="60"/>
  <c r="BU14" i="60"/>
  <c r="BU15" i="60"/>
  <c r="BU16" i="60"/>
  <c r="BU6" i="61"/>
  <c r="BU7" i="61"/>
  <c r="BU8" i="61"/>
  <c r="BU9" i="61"/>
  <c r="BU10" i="61"/>
  <c r="BU11" i="61"/>
  <c r="BU12" i="61"/>
  <c r="BU13" i="61"/>
  <c r="BU14" i="61"/>
  <c r="BU15" i="61"/>
  <c r="BU16" i="61"/>
  <c r="BU6" i="31"/>
  <c r="BU7" i="31"/>
  <c r="BU8" i="31"/>
  <c r="BU9" i="31"/>
  <c r="BU10" i="31"/>
  <c r="BU11" i="31"/>
  <c r="BU12" i="31"/>
  <c r="BU13" i="31"/>
  <c r="BU14" i="31"/>
  <c r="BU15" i="31"/>
  <c r="BU16" i="31"/>
  <c r="BT6" i="36"/>
  <c r="BT7" i="36"/>
  <c r="BT9" i="36"/>
  <c r="BT10" i="36"/>
  <c r="BT11" i="36"/>
  <c r="BT12" i="36"/>
  <c r="BT13" i="36"/>
  <c r="BT14" i="36"/>
  <c r="BT15" i="36"/>
  <c r="BT16" i="36"/>
  <c r="BT6" i="35"/>
  <c r="BT7" i="35"/>
  <c r="BT9" i="35"/>
  <c r="BT10" i="35"/>
  <c r="BT11" i="35"/>
  <c r="BT12" i="35"/>
  <c r="BT13" i="35"/>
  <c r="BT14" i="35"/>
  <c r="BT15" i="35"/>
  <c r="BT16" i="35"/>
  <c r="BT6" i="33"/>
  <c r="BT7" i="33"/>
  <c r="BT9" i="33"/>
  <c r="BT10" i="33"/>
  <c r="BT11" i="33"/>
  <c r="BT12" i="33"/>
  <c r="BT13" i="33"/>
  <c r="BT14" i="33"/>
  <c r="BT15" i="33"/>
  <c r="BT16" i="33"/>
  <c r="BT6" i="34"/>
  <c r="BT7" i="34"/>
  <c r="BT9" i="34"/>
  <c r="BT10" i="34"/>
  <c r="BT11" i="34"/>
  <c r="BT12" i="34"/>
  <c r="BT13" i="34"/>
  <c r="BT14" i="34"/>
  <c r="BT15" i="34"/>
  <c r="BT16" i="34"/>
  <c r="BT6" i="38"/>
  <c r="BT7" i="38"/>
  <c r="BT9" i="38"/>
  <c r="BT10" i="38"/>
  <c r="BT11" i="38"/>
  <c r="BT12" i="38"/>
  <c r="BT13" i="38"/>
  <c r="BT14" i="38"/>
  <c r="BT15" i="38"/>
  <c r="BT16" i="38"/>
  <c r="BT6" i="40"/>
  <c r="BT7" i="40"/>
  <c r="BT9" i="40"/>
  <c r="BT10" i="40"/>
  <c r="BT11" i="40"/>
  <c r="BT12" i="40"/>
  <c r="BT13" i="40"/>
  <c r="BT14" i="40"/>
  <c r="BT15" i="40"/>
  <c r="BT16" i="40"/>
  <c r="BT6" i="39"/>
  <c r="BT7" i="39"/>
  <c r="BT9" i="39"/>
  <c r="BT10" i="39"/>
  <c r="BT11" i="39"/>
  <c r="BT12" i="39"/>
  <c r="BT13" i="39"/>
  <c r="BT14" i="39"/>
  <c r="BT15" i="39"/>
  <c r="BT16" i="39"/>
  <c r="BT6" i="41"/>
  <c r="BT7" i="41"/>
  <c r="BT9" i="41"/>
  <c r="BT10" i="41"/>
  <c r="BT11" i="41"/>
  <c r="BT12" i="41"/>
  <c r="BT13" i="41"/>
  <c r="BT14" i="41"/>
  <c r="BT15" i="41"/>
  <c r="BT16" i="41"/>
  <c r="BT6" i="44"/>
  <c r="BT7" i="44"/>
  <c r="BT9" i="44"/>
  <c r="BT10" i="44"/>
  <c r="BT11" i="44"/>
  <c r="BT12" i="44"/>
  <c r="BT13" i="44"/>
  <c r="BT14" i="44"/>
  <c r="BT15" i="44"/>
  <c r="BT16" i="44"/>
  <c r="BT6" i="42"/>
  <c r="BT7" i="42"/>
  <c r="BT9" i="42"/>
  <c r="BT10" i="42"/>
  <c r="BT11" i="42"/>
  <c r="BT12" i="42"/>
  <c r="BT13" i="42"/>
  <c r="BT14" i="42"/>
  <c r="BT15" i="42"/>
  <c r="BT16" i="42"/>
  <c r="BT6" i="43"/>
  <c r="BT7" i="43"/>
  <c r="BT9" i="43"/>
  <c r="BT10" i="43"/>
  <c r="BT11" i="43"/>
  <c r="BT12" i="43"/>
  <c r="BT13" i="43"/>
  <c r="BT14" i="43"/>
  <c r="BT15" i="43"/>
  <c r="BT16" i="43"/>
  <c r="BT6" i="49"/>
  <c r="BT7" i="49"/>
  <c r="BT9" i="49"/>
  <c r="BT10" i="49"/>
  <c r="BT11" i="49"/>
  <c r="BT12" i="49"/>
  <c r="BT13" i="49"/>
  <c r="BT14" i="49"/>
  <c r="BT15" i="49"/>
  <c r="BT16" i="49"/>
  <c r="BT6" i="50"/>
  <c r="BT7" i="50"/>
  <c r="BT9" i="50"/>
  <c r="BT10" i="50"/>
  <c r="BT11" i="50"/>
  <c r="BT12" i="50"/>
  <c r="BT13" i="50"/>
  <c r="BT14" i="50"/>
  <c r="BT15" i="50"/>
  <c r="BT16" i="50"/>
  <c r="BT6" i="67"/>
  <c r="BT7" i="67"/>
  <c r="BT9" i="67"/>
  <c r="BT10" i="67"/>
  <c r="BT11" i="67"/>
  <c r="BT12" i="67"/>
  <c r="BT13" i="67"/>
  <c r="BT14" i="67"/>
  <c r="BT15" i="67"/>
  <c r="BT16" i="67"/>
  <c r="BT6" i="51"/>
  <c r="BT7" i="51"/>
  <c r="BT9" i="51"/>
  <c r="BT10" i="51"/>
  <c r="BT11" i="51"/>
  <c r="BT12" i="51"/>
  <c r="BT13" i="51"/>
  <c r="BT14" i="51"/>
  <c r="BT15" i="51"/>
  <c r="BT16" i="51"/>
  <c r="BT6" i="52"/>
  <c r="BT7" i="52"/>
  <c r="BT9" i="52"/>
  <c r="BT10" i="52"/>
  <c r="BT11" i="52"/>
  <c r="BT12" i="52"/>
  <c r="BT13" i="52"/>
  <c r="BT14" i="52"/>
  <c r="BT15" i="52"/>
  <c r="BT16" i="52"/>
  <c r="BT6" i="53"/>
  <c r="BT7" i="53"/>
  <c r="BT9" i="53"/>
  <c r="BT10" i="53"/>
  <c r="BT11" i="53"/>
  <c r="BT12" i="53"/>
  <c r="BT13" i="53"/>
  <c r="BT14" i="53"/>
  <c r="BT15" i="53"/>
  <c r="BT16" i="53"/>
  <c r="BT6" i="54"/>
  <c r="BT7" i="54"/>
  <c r="BT9" i="54"/>
  <c r="BT10" i="54"/>
  <c r="BT11" i="54"/>
  <c r="BT12" i="54"/>
  <c r="BT13" i="54"/>
  <c r="BT14" i="54"/>
  <c r="BT15" i="54"/>
  <c r="BT16" i="54"/>
  <c r="BT6" i="55"/>
  <c r="BT7" i="55"/>
  <c r="BT9" i="55"/>
  <c r="BT10" i="55"/>
  <c r="BT11" i="55"/>
  <c r="BT12" i="55"/>
  <c r="BT13" i="55"/>
  <c r="BT14" i="55"/>
  <c r="BT15" i="55"/>
  <c r="BT16" i="55"/>
  <c r="BU6" i="47"/>
  <c r="BU7" i="47"/>
  <c r="BU9" i="47"/>
  <c r="BU10" i="47"/>
  <c r="BU11" i="47"/>
  <c r="BU12" i="47"/>
  <c r="BU13" i="47"/>
  <c r="BU14" i="47"/>
  <c r="BU15" i="47"/>
  <c r="BU16" i="47"/>
  <c r="BT6" i="45"/>
  <c r="BT7" i="45"/>
  <c r="BT9" i="45"/>
  <c r="BT10" i="45"/>
  <c r="BT11" i="45"/>
  <c r="BT12" i="45"/>
  <c r="BT13" i="45"/>
  <c r="BT14" i="45"/>
  <c r="BT15" i="45"/>
  <c r="BT16" i="45"/>
  <c r="BT6" i="48"/>
  <c r="BT7" i="48"/>
  <c r="BT9" i="48"/>
  <c r="BT10" i="48"/>
  <c r="BT11" i="48"/>
  <c r="BT12" i="48"/>
  <c r="BT13" i="48"/>
  <c r="BT14" i="48"/>
  <c r="BT15" i="48"/>
  <c r="BT16" i="48"/>
  <c r="BT6" i="46"/>
  <c r="BT7" i="46"/>
  <c r="BT9" i="46"/>
  <c r="BT10" i="46"/>
  <c r="BT11" i="46"/>
  <c r="BT12" i="46"/>
  <c r="BT13" i="46"/>
  <c r="BT14" i="46"/>
  <c r="BT15" i="46"/>
  <c r="BT16" i="46"/>
  <c r="BT6" i="56"/>
  <c r="BT7" i="56"/>
  <c r="BT9" i="56"/>
  <c r="BT10" i="56"/>
  <c r="BT11" i="56"/>
  <c r="BT12" i="56"/>
  <c r="BT13" i="56"/>
  <c r="BT14" i="56"/>
  <c r="BT15" i="56"/>
  <c r="BT16" i="56"/>
  <c r="BT6" i="58"/>
  <c r="BT7" i="58"/>
  <c r="BT9" i="58"/>
  <c r="BT10" i="58"/>
  <c r="BT11" i="58"/>
  <c r="BT12" i="58"/>
  <c r="BT13" i="58"/>
  <c r="BT14" i="58"/>
  <c r="BT15" i="58"/>
  <c r="BT16" i="58"/>
  <c r="BT6" i="59"/>
  <c r="BT7" i="59"/>
  <c r="BT9" i="59"/>
  <c r="BT10" i="59"/>
  <c r="BT11" i="59"/>
  <c r="BT12" i="59"/>
  <c r="BT13" i="59"/>
  <c r="BT14" i="59"/>
  <c r="BT15" i="59"/>
  <c r="BT16" i="59"/>
  <c r="BT6" i="60"/>
  <c r="BT7" i="60"/>
  <c r="BT9" i="60"/>
  <c r="BT10" i="60"/>
  <c r="BT11" i="60"/>
  <c r="BT12" i="60"/>
  <c r="BT13" i="60"/>
  <c r="BT14" i="60"/>
  <c r="BT15" i="60"/>
  <c r="BT16" i="60"/>
  <c r="BT6" i="61"/>
  <c r="BT7" i="61"/>
  <c r="BT9" i="61"/>
  <c r="BT10" i="61"/>
  <c r="BT11" i="61"/>
  <c r="BT12" i="61"/>
  <c r="BT13" i="61"/>
  <c r="BT14" i="61"/>
  <c r="BT15" i="61"/>
  <c r="BT16" i="61"/>
  <c r="BT6" i="31"/>
  <c r="BT7" i="31"/>
  <c r="BT9" i="31"/>
  <c r="BT10" i="31"/>
  <c r="BT11" i="31"/>
  <c r="BT12" i="31"/>
  <c r="BT13" i="31"/>
  <c r="BT14" i="31"/>
  <c r="BT15" i="31"/>
  <c r="BT16" i="31"/>
  <c r="CE7" i="36"/>
  <c r="CE7" i="35"/>
  <c r="CE7" i="33"/>
  <c r="CE7" i="34"/>
  <c r="CE7" i="38"/>
  <c r="CE7" i="40"/>
  <c r="CE7" i="39"/>
  <c r="CE7" i="41"/>
  <c r="CE7" i="44"/>
  <c r="CE7" i="42"/>
  <c r="CE7" i="43"/>
  <c r="CE7" i="49"/>
  <c r="CE7" i="50"/>
  <c r="CE7" i="67"/>
  <c r="CE7" i="51"/>
  <c r="CE7" i="52"/>
  <c r="CE7" i="53"/>
  <c r="CE7" i="54"/>
  <c r="CE7" i="55"/>
  <c r="CG7" i="47"/>
  <c r="CE7" i="45"/>
  <c r="CE7" i="48"/>
  <c r="CE7" i="46"/>
  <c r="CE7" i="56"/>
  <c r="CE7" i="58"/>
  <c r="CF7" i="57"/>
  <c r="CE7" i="59"/>
  <c r="CE7" i="60"/>
  <c r="CE7" i="61"/>
  <c r="CE7" i="31"/>
  <c r="CE6" i="36"/>
  <c r="CE8" i="36"/>
  <c r="CE9" i="36"/>
  <c r="CE10" i="36"/>
  <c r="CE11" i="36"/>
  <c r="CE12" i="36"/>
  <c r="CE13" i="36"/>
  <c r="CE14" i="36"/>
  <c r="CE15" i="36"/>
  <c r="CE16" i="36"/>
  <c r="CE6" i="35"/>
  <c r="CE8" i="35"/>
  <c r="CE9" i="35"/>
  <c r="CE10" i="35"/>
  <c r="CE11" i="35"/>
  <c r="CE12" i="35"/>
  <c r="CE13" i="35"/>
  <c r="CE14" i="35"/>
  <c r="CE15" i="35"/>
  <c r="CE16" i="35"/>
  <c r="CE6" i="33"/>
  <c r="CE8" i="33"/>
  <c r="CE9" i="33"/>
  <c r="CE10" i="33"/>
  <c r="CE11" i="33"/>
  <c r="CE12" i="33"/>
  <c r="CE13" i="33"/>
  <c r="CE14" i="33"/>
  <c r="CE15" i="33"/>
  <c r="CE16" i="33"/>
  <c r="CE6" i="34"/>
  <c r="CE8" i="34"/>
  <c r="CE9" i="34"/>
  <c r="CE10" i="34"/>
  <c r="CE11" i="34"/>
  <c r="CE12" i="34"/>
  <c r="CE13" i="34"/>
  <c r="CE14" i="34"/>
  <c r="CE15" i="34"/>
  <c r="CE16" i="34"/>
  <c r="CE6" i="38"/>
  <c r="CE8" i="38"/>
  <c r="CE9" i="38"/>
  <c r="CE10" i="38"/>
  <c r="CE11" i="38"/>
  <c r="CE12" i="38"/>
  <c r="CE13" i="38"/>
  <c r="CE14" i="38"/>
  <c r="CE15" i="38"/>
  <c r="CE16" i="38"/>
  <c r="CE6" i="40"/>
  <c r="CE8" i="40"/>
  <c r="CE9" i="40"/>
  <c r="CE10" i="40"/>
  <c r="CE11" i="40"/>
  <c r="CE12" i="40"/>
  <c r="CE13" i="40"/>
  <c r="CE14" i="40"/>
  <c r="CE15" i="40"/>
  <c r="CE16" i="40"/>
  <c r="CE6" i="39"/>
  <c r="CE8" i="39"/>
  <c r="CE9" i="39"/>
  <c r="CE10" i="39"/>
  <c r="CE11" i="39"/>
  <c r="CE12" i="39"/>
  <c r="CE13" i="39"/>
  <c r="CE14" i="39"/>
  <c r="CE15" i="39"/>
  <c r="CE16" i="39"/>
  <c r="CE6" i="41"/>
  <c r="CE8" i="41"/>
  <c r="CE9" i="41"/>
  <c r="CE10" i="41"/>
  <c r="CE11" i="41"/>
  <c r="CE12" i="41"/>
  <c r="CE13" i="41"/>
  <c r="CE14" i="41"/>
  <c r="CE15" i="41"/>
  <c r="CE16" i="41"/>
  <c r="CE6" i="44"/>
  <c r="CE8" i="44"/>
  <c r="CE9" i="44"/>
  <c r="CE10" i="44"/>
  <c r="CE11" i="44"/>
  <c r="CE12" i="44"/>
  <c r="CE13" i="44"/>
  <c r="CE14" i="44"/>
  <c r="CE15" i="44"/>
  <c r="CE16" i="44"/>
  <c r="CE6" i="42"/>
  <c r="CE8" i="42"/>
  <c r="CE9" i="42"/>
  <c r="CE10" i="42"/>
  <c r="CE11" i="42"/>
  <c r="CE12" i="42"/>
  <c r="CE13" i="42"/>
  <c r="CE14" i="42"/>
  <c r="CE15" i="42"/>
  <c r="CE16" i="42"/>
  <c r="CE6" i="43"/>
  <c r="CE8" i="43"/>
  <c r="CE9" i="43"/>
  <c r="CE10" i="43"/>
  <c r="CE11" i="43"/>
  <c r="CE12" i="43"/>
  <c r="CE13" i="43"/>
  <c r="CE14" i="43"/>
  <c r="CE15" i="43"/>
  <c r="CE16" i="43"/>
  <c r="CE6" i="49"/>
  <c r="CE8" i="49"/>
  <c r="CE9" i="49"/>
  <c r="CE10" i="49"/>
  <c r="CE11" i="49"/>
  <c r="CE12" i="49"/>
  <c r="CE13" i="49"/>
  <c r="CE14" i="49"/>
  <c r="CE15" i="49"/>
  <c r="CE16" i="49"/>
  <c r="CE6" i="50"/>
  <c r="CE8" i="50"/>
  <c r="CE9" i="50"/>
  <c r="CE10" i="50"/>
  <c r="CE11" i="50"/>
  <c r="CE12" i="50"/>
  <c r="CE13" i="50"/>
  <c r="CE14" i="50"/>
  <c r="CE15" i="50"/>
  <c r="CE16" i="50"/>
  <c r="CE6" i="67"/>
  <c r="CE8" i="67"/>
  <c r="CE9" i="67"/>
  <c r="CE10" i="67"/>
  <c r="CE11" i="67"/>
  <c r="CE12" i="67"/>
  <c r="CE13" i="67"/>
  <c r="CE14" i="67"/>
  <c r="CE15" i="67"/>
  <c r="CE16" i="67"/>
  <c r="CE6" i="51"/>
  <c r="CE8" i="51"/>
  <c r="CE9" i="51"/>
  <c r="CE10" i="51"/>
  <c r="CE11" i="51"/>
  <c r="CE12" i="51"/>
  <c r="CE13" i="51"/>
  <c r="CE14" i="51"/>
  <c r="CE15" i="51"/>
  <c r="CE16" i="51"/>
  <c r="CE6" i="52"/>
  <c r="CE8" i="52"/>
  <c r="CE9" i="52"/>
  <c r="CE10" i="52"/>
  <c r="CE11" i="52"/>
  <c r="CE12" i="52"/>
  <c r="CE13" i="52"/>
  <c r="CE14" i="52"/>
  <c r="CE15" i="52"/>
  <c r="CE16" i="52"/>
  <c r="CE6" i="53"/>
  <c r="CE8" i="53"/>
  <c r="CE9" i="53"/>
  <c r="CE10" i="53"/>
  <c r="CE11" i="53"/>
  <c r="CE12" i="53"/>
  <c r="CE13" i="53"/>
  <c r="CE14" i="53"/>
  <c r="CE15" i="53"/>
  <c r="CE16" i="53"/>
  <c r="CE6" i="54"/>
  <c r="CE8" i="54"/>
  <c r="CE9" i="54"/>
  <c r="CE10" i="54"/>
  <c r="CE11" i="54"/>
  <c r="CE12" i="54"/>
  <c r="CE13" i="54"/>
  <c r="CE14" i="54"/>
  <c r="CE15" i="54"/>
  <c r="CE16" i="54"/>
  <c r="CE6" i="55"/>
  <c r="CE8" i="55"/>
  <c r="CE9" i="55"/>
  <c r="CE10" i="55"/>
  <c r="CE11" i="55"/>
  <c r="CE12" i="55"/>
  <c r="CE13" i="55"/>
  <c r="CE14" i="55"/>
  <c r="CE15" i="55"/>
  <c r="CE16" i="55"/>
  <c r="CG6" i="47"/>
  <c r="CG8" i="47"/>
  <c r="CG9" i="47"/>
  <c r="CG10" i="47"/>
  <c r="CG11" i="47"/>
  <c r="CG12" i="47"/>
  <c r="CG13" i="47"/>
  <c r="CG14" i="47"/>
  <c r="CG15" i="47"/>
  <c r="CG16" i="47"/>
  <c r="CE6" i="45"/>
  <c r="CE8" i="45"/>
  <c r="CE9" i="45"/>
  <c r="CE10" i="45"/>
  <c r="CE11" i="45"/>
  <c r="CE12" i="45"/>
  <c r="CE13" i="45"/>
  <c r="CE14" i="45"/>
  <c r="CE15" i="45"/>
  <c r="CE16" i="45"/>
  <c r="CE6" i="48"/>
  <c r="CE8" i="48"/>
  <c r="CE9" i="48"/>
  <c r="CE10" i="48"/>
  <c r="CE11" i="48"/>
  <c r="CE12" i="48"/>
  <c r="CE13" i="48"/>
  <c r="CE14" i="48"/>
  <c r="CE15" i="48"/>
  <c r="CE16" i="48"/>
  <c r="CE6" i="46"/>
  <c r="CE8" i="46"/>
  <c r="CE9" i="46"/>
  <c r="CE10" i="46"/>
  <c r="CE11" i="46"/>
  <c r="CE12" i="46"/>
  <c r="CE13" i="46"/>
  <c r="CE14" i="46"/>
  <c r="CE15" i="46"/>
  <c r="CE16" i="46"/>
  <c r="CE6" i="56"/>
  <c r="CE8" i="56"/>
  <c r="CE9" i="56"/>
  <c r="CE10" i="56"/>
  <c r="CE11" i="56"/>
  <c r="CE12" i="56"/>
  <c r="CE13" i="56"/>
  <c r="CE14" i="56"/>
  <c r="CE15" i="56"/>
  <c r="CE16" i="56"/>
  <c r="CE6" i="58"/>
  <c r="CE8" i="58"/>
  <c r="CE9" i="58"/>
  <c r="CE10" i="58"/>
  <c r="CE11" i="58"/>
  <c r="CE12" i="58"/>
  <c r="CE13" i="58"/>
  <c r="CE14" i="58"/>
  <c r="CE15" i="58"/>
  <c r="CE16" i="58"/>
  <c r="CF6" i="57"/>
  <c r="CF8" i="57"/>
  <c r="CF9" i="57"/>
  <c r="CF10" i="57"/>
  <c r="CF11" i="57"/>
  <c r="CF12" i="57"/>
  <c r="CF13" i="57"/>
  <c r="CF14" i="57"/>
  <c r="CF15" i="57"/>
  <c r="CF16" i="57"/>
  <c r="CE6" i="59"/>
  <c r="CE8" i="59"/>
  <c r="CE9" i="59"/>
  <c r="CE10" i="59"/>
  <c r="CE11" i="59"/>
  <c r="CE12" i="59"/>
  <c r="CE13" i="59"/>
  <c r="CE14" i="59"/>
  <c r="CE15" i="59"/>
  <c r="CE16" i="59"/>
  <c r="CE6" i="60"/>
  <c r="CE8" i="60"/>
  <c r="CE9" i="60"/>
  <c r="CE10" i="60"/>
  <c r="CE11" i="60"/>
  <c r="CE12" i="60"/>
  <c r="CE13" i="60"/>
  <c r="CE14" i="60"/>
  <c r="CE15" i="60"/>
  <c r="CE16" i="60"/>
  <c r="CE6" i="61"/>
  <c r="CE8" i="61"/>
  <c r="CE9" i="61"/>
  <c r="CE10" i="61"/>
  <c r="CE11" i="61"/>
  <c r="CE12" i="61"/>
  <c r="CE13" i="61"/>
  <c r="CE14" i="61"/>
  <c r="CE15" i="61"/>
  <c r="CE16" i="61"/>
  <c r="CE6" i="31"/>
  <c r="CE8" i="31"/>
  <c r="CE9" i="31"/>
  <c r="CE10" i="31"/>
  <c r="CE11" i="31"/>
  <c r="CE12" i="31"/>
  <c r="CE13" i="31"/>
  <c r="CE14" i="31"/>
  <c r="CE15" i="31"/>
  <c r="CE16" i="31"/>
  <c r="BJ5" i="31"/>
  <c r="BJ5" i="35"/>
  <c r="BJ5" i="33"/>
  <c r="BJ5" i="34"/>
  <c r="BJ5" i="38"/>
  <c r="BJ5" i="40"/>
  <c r="BJ5" i="39"/>
  <c r="BJ5" i="41"/>
  <c r="BJ5" i="44"/>
  <c r="BJ5" i="42"/>
  <c r="BJ5" i="43"/>
  <c r="BJ5" i="49"/>
  <c r="BJ5" i="50"/>
  <c r="BJ5" i="67"/>
  <c r="BJ5" i="51"/>
  <c r="BJ5" i="52"/>
  <c r="BJ5" i="53"/>
  <c r="BJ5" i="54"/>
  <c r="BJ5" i="55"/>
  <c r="BK5" i="47"/>
  <c r="BJ5" i="45"/>
  <c r="BJ5" i="48"/>
  <c r="BJ5" i="46"/>
  <c r="BJ5" i="56"/>
  <c r="BJ5" i="58"/>
  <c r="BJ5" i="59"/>
  <c r="BJ5" i="60"/>
  <c r="BJ5" i="61"/>
  <c r="BJ5" i="36"/>
  <c r="BK5" i="31"/>
  <c r="BM5" i="31"/>
  <c r="BN5" i="31"/>
  <c r="BO5" i="31"/>
  <c r="BP5" i="31"/>
  <c r="BQ5" i="31"/>
  <c r="BR5" i="31"/>
  <c r="BS5" i="31"/>
  <c r="BT5" i="31"/>
  <c r="BU5" i="31"/>
  <c r="BV5" i="31"/>
  <c r="BW5" i="31"/>
  <c r="BX5" i="31"/>
  <c r="BY5" i="31"/>
  <c r="BZ5" i="31"/>
  <c r="CA5" i="31"/>
  <c r="CB5" i="31"/>
  <c r="CC5" i="31"/>
  <c r="CD5" i="31"/>
  <c r="CE5" i="31"/>
  <c r="CG5" i="31"/>
  <c r="CH5" i="31"/>
  <c r="CI5" i="31"/>
  <c r="CJ5" i="31"/>
  <c r="CK5" i="31"/>
  <c r="CL5" i="31"/>
  <c r="CM5" i="31"/>
  <c r="CN5" i="31"/>
  <c r="CO5" i="31"/>
  <c r="CP5" i="31"/>
  <c r="CQ5" i="31"/>
  <c r="CR5" i="31"/>
  <c r="CS5" i="31"/>
  <c r="CT5" i="31"/>
  <c r="CU5" i="31"/>
  <c r="CV5" i="31"/>
  <c r="CW5" i="31"/>
  <c r="CX5" i="31"/>
  <c r="CY5" i="31"/>
  <c r="CZ5" i="31"/>
  <c r="DA5" i="31"/>
  <c r="DB5" i="31"/>
  <c r="DC5" i="31"/>
  <c r="DD5" i="31"/>
  <c r="BK5" i="35"/>
  <c r="BM5" i="35"/>
  <c r="BN5" i="35"/>
  <c r="BO5" i="35"/>
  <c r="BP5" i="35"/>
  <c r="BQ5" i="35"/>
  <c r="BR5" i="35"/>
  <c r="BS5" i="35"/>
  <c r="BT5" i="35"/>
  <c r="BU5" i="35"/>
  <c r="BV5" i="35"/>
  <c r="BW5" i="35"/>
  <c r="BX5" i="35"/>
  <c r="BY5" i="35"/>
  <c r="BZ5" i="35"/>
  <c r="CA5" i="35"/>
  <c r="CB5" i="35"/>
  <c r="CC5" i="35"/>
  <c r="CD5" i="35"/>
  <c r="CE5" i="35"/>
  <c r="CG5" i="35"/>
  <c r="CH5" i="35"/>
  <c r="CI5" i="35"/>
  <c r="CJ5" i="35"/>
  <c r="CK5" i="35"/>
  <c r="CL5" i="35"/>
  <c r="CM5" i="35"/>
  <c r="CN5" i="35"/>
  <c r="CO5" i="35"/>
  <c r="CP5" i="35"/>
  <c r="CQ5" i="35"/>
  <c r="CR5" i="35"/>
  <c r="CS5" i="35"/>
  <c r="CT5" i="35"/>
  <c r="CU5" i="35"/>
  <c r="CV5" i="35"/>
  <c r="CW5" i="35"/>
  <c r="CX5" i="35"/>
  <c r="CY5" i="35"/>
  <c r="CZ5" i="35"/>
  <c r="DA5" i="35"/>
  <c r="DB5" i="35"/>
  <c r="DC5" i="35"/>
  <c r="DD5" i="35"/>
  <c r="BK5" i="33"/>
  <c r="BM5" i="33"/>
  <c r="BN5" i="33"/>
  <c r="BO5" i="33"/>
  <c r="BP5" i="33"/>
  <c r="BQ5" i="33"/>
  <c r="BR5" i="33"/>
  <c r="BS5" i="33"/>
  <c r="BT5" i="33"/>
  <c r="BU5" i="33"/>
  <c r="BV5" i="33"/>
  <c r="BW5" i="33"/>
  <c r="BX5" i="33"/>
  <c r="BY5" i="33"/>
  <c r="BZ5" i="33"/>
  <c r="CA5" i="33"/>
  <c r="CB5" i="33"/>
  <c r="CC5" i="33"/>
  <c r="CD5" i="33"/>
  <c r="CE5" i="33"/>
  <c r="CG5" i="33"/>
  <c r="CH5" i="33"/>
  <c r="CI5" i="33"/>
  <c r="CJ5" i="33"/>
  <c r="CK5" i="33"/>
  <c r="CL5" i="33"/>
  <c r="CM5" i="33"/>
  <c r="CN5" i="33"/>
  <c r="CO5" i="33"/>
  <c r="CP5" i="33"/>
  <c r="CQ5" i="33"/>
  <c r="CR5" i="33"/>
  <c r="CS5" i="33"/>
  <c r="CT5" i="33"/>
  <c r="CU5" i="33"/>
  <c r="CV5" i="33"/>
  <c r="CW5" i="33"/>
  <c r="CX5" i="33"/>
  <c r="CY5" i="33"/>
  <c r="CZ5" i="33"/>
  <c r="DA5" i="33"/>
  <c r="DB5" i="33"/>
  <c r="DC5" i="33"/>
  <c r="DD5" i="33"/>
  <c r="BK5" i="34"/>
  <c r="BM5" i="34"/>
  <c r="BN5" i="34"/>
  <c r="BO5" i="34"/>
  <c r="BP5" i="34"/>
  <c r="BQ5" i="34"/>
  <c r="BR5" i="34"/>
  <c r="BS5" i="34"/>
  <c r="BT5" i="34"/>
  <c r="BU5" i="34"/>
  <c r="BV5" i="34"/>
  <c r="BW5" i="34"/>
  <c r="BX5" i="34"/>
  <c r="BY5" i="34"/>
  <c r="BZ5" i="34"/>
  <c r="CA5" i="34"/>
  <c r="CB5" i="34"/>
  <c r="CC5" i="34"/>
  <c r="CD5" i="34"/>
  <c r="CE5" i="34"/>
  <c r="CG5" i="34"/>
  <c r="CH5" i="34"/>
  <c r="CI5" i="34"/>
  <c r="CJ5" i="34"/>
  <c r="CK5" i="34"/>
  <c r="CL5" i="34"/>
  <c r="CM5" i="34"/>
  <c r="CN5" i="34"/>
  <c r="CO5" i="34"/>
  <c r="CP5" i="34"/>
  <c r="CQ5" i="34"/>
  <c r="CR5" i="34"/>
  <c r="CS5" i="34"/>
  <c r="CT5" i="34"/>
  <c r="CU5" i="34"/>
  <c r="CV5" i="34"/>
  <c r="CW5" i="34"/>
  <c r="CX5" i="34"/>
  <c r="CY5" i="34"/>
  <c r="CZ5" i="34"/>
  <c r="DA5" i="34"/>
  <c r="DB5" i="34"/>
  <c r="DC5" i="34"/>
  <c r="DD5" i="34"/>
  <c r="BK5" i="38"/>
  <c r="BM5" i="38"/>
  <c r="BN5" i="38"/>
  <c r="BO5" i="38"/>
  <c r="BP5" i="38"/>
  <c r="BQ5" i="38"/>
  <c r="BR5" i="38"/>
  <c r="BS5" i="38"/>
  <c r="BT5" i="38"/>
  <c r="BU5" i="38"/>
  <c r="BV5" i="38"/>
  <c r="BW5" i="38"/>
  <c r="BX5" i="38"/>
  <c r="BY5" i="38"/>
  <c r="BZ5" i="38"/>
  <c r="CA5" i="38"/>
  <c r="CB5" i="38"/>
  <c r="CC5" i="38"/>
  <c r="CD5" i="38"/>
  <c r="CE5" i="38"/>
  <c r="CG5" i="38"/>
  <c r="CH5" i="38"/>
  <c r="CI5" i="38"/>
  <c r="CJ5" i="38"/>
  <c r="CK5" i="38"/>
  <c r="CL5" i="38"/>
  <c r="CM5" i="38"/>
  <c r="CN5" i="38"/>
  <c r="CO5" i="38"/>
  <c r="CP5" i="38"/>
  <c r="CQ5" i="38"/>
  <c r="CR5" i="38"/>
  <c r="CS5" i="38"/>
  <c r="CT5" i="38"/>
  <c r="CU5" i="38"/>
  <c r="CV5" i="38"/>
  <c r="CW5" i="38"/>
  <c r="CX5" i="38"/>
  <c r="CY5" i="38"/>
  <c r="CZ5" i="38"/>
  <c r="DA5" i="38"/>
  <c r="DB5" i="38"/>
  <c r="DC5" i="38"/>
  <c r="DD5" i="38"/>
  <c r="BK5" i="40"/>
  <c r="BM5" i="40"/>
  <c r="BN5" i="40"/>
  <c r="BO5" i="40"/>
  <c r="BP5" i="40"/>
  <c r="BQ5" i="40"/>
  <c r="BR5" i="40"/>
  <c r="BS5" i="40"/>
  <c r="BT5" i="40"/>
  <c r="BU5" i="40"/>
  <c r="BV5" i="40"/>
  <c r="BW5" i="40"/>
  <c r="BX5" i="40"/>
  <c r="BY5" i="40"/>
  <c r="BZ5" i="40"/>
  <c r="CA5" i="40"/>
  <c r="CB5" i="40"/>
  <c r="CC5" i="40"/>
  <c r="CD5" i="40"/>
  <c r="CE5" i="40"/>
  <c r="CG5" i="40"/>
  <c r="CH5" i="40"/>
  <c r="CI5" i="40"/>
  <c r="CJ5" i="40"/>
  <c r="CK5" i="40"/>
  <c r="CL5" i="40"/>
  <c r="CM5" i="40"/>
  <c r="CN5" i="40"/>
  <c r="CO5" i="40"/>
  <c r="CP5" i="40"/>
  <c r="CQ5" i="40"/>
  <c r="CR5" i="40"/>
  <c r="CS5" i="40"/>
  <c r="CT5" i="40"/>
  <c r="CU5" i="40"/>
  <c r="CV5" i="40"/>
  <c r="CW5" i="40"/>
  <c r="CX5" i="40"/>
  <c r="CY5" i="40"/>
  <c r="CZ5" i="40"/>
  <c r="DA5" i="40"/>
  <c r="DB5" i="40"/>
  <c r="DC5" i="40"/>
  <c r="DD5" i="40"/>
  <c r="BK5" i="39"/>
  <c r="BM5" i="39"/>
  <c r="BN5" i="39"/>
  <c r="BO5" i="39"/>
  <c r="BP5" i="39"/>
  <c r="BQ5" i="39"/>
  <c r="BR5" i="39"/>
  <c r="BS5" i="39"/>
  <c r="BT5" i="39"/>
  <c r="BU5" i="39"/>
  <c r="BV5" i="39"/>
  <c r="BW5" i="39"/>
  <c r="BX5" i="39"/>
  <c r="BY5" i="39"/>
  <c r="BZ5" i="39"/>
  <c r="CA5" i="39"/>
  <c r="CB5" i="39"/>
  <c r="CC5" i="39"/>
  <c r="CD5" i="39"/>
  <c r="CE5" i="39"/>
  <c r="CG5" i="39"/>
  <c r="CH5" i="39"/>
  <c r="CI5" i="39"/>
  <c r="CJ5" i="39"/>
  <c r="CK5" i="39"/>
  <c r="CL5" i="39"/>
  <c r="CM5" i="39"/>
  <c r="CN5" i="39"/>
  <c r="CO5" i="39"/>
  <c r="CP5" i="39"/>
  <c r="CQ5" i="39"/>
  <c r="CR5" i="39"/>
  <c r="CS5" i="39"/>
  <c r="CT5" i="39"/>
  <c r="CU5" i="39"/>
  <c r="CV5" i="39"/>
  <c r="CW5" i="39"/>
  <c r="CX5" i="39"/>
  <c r="CY5" i="39"/>
  <c r="CZ5" i="39"/>
  <c r="DA5" i="39"/>
  <c r="DB5" i="39"/>
  <c r="DC5" i="39"/>
  <c r="DD5" i="39"/>
  <c r="BK5" i="41"/>
  <c r="BM5" i="41"/>
  <c r="BN5" i="41"/>
  <c r="BO5" i="41"/>
  <c r="BP5" i="41"/>
  <c r="BQ5" i="41"/>
  <c r="BR5" i="41"/>
  <c r="BS5" i="41"/>
  <c r="BT5" i="41"/>
  <c r="BU5" i="41"/>
  <c r="BV5" i="41"/>
  <c r="BW5" i="41"/>
  <c r="BX5" i="41"/>
  <c r="BY5" i="41"/>
  <c r="BZ5" i="41"/>
  <c r="CA5" i="41"/>
  <c r="CB5" i="41"/>
  <c r="CC5" i="41"/>
  <c r="CD5" i="41"/>
  <c r="CE5" i="41"/>
  <c r="CG5" i="41"/>
  <c r="CH5" i="41"/>
  <c r="CI5" i="41"/>
  <c r="CJ5" i="41"/>
  <c r="CK5" i="41"/>
  <c r="CL5" i="41"/>
  <c r="CM5" i="41"/>
  <c r="CN5" i="41"/>
  <c r="CO5" i="41"/>
  <c r="CP5" i="41"/>
  <c r="CQ5" i="41"/>
  <c r="CR5" i="41"/>
  <c r="CS5" i="41"/>
  <c r="CT5" i="41"/>
  <c r="CU5" i="41"/>
  <c r="CV5" i="41"/>
  <c r="CW5" i="41"/>
  <c r="CX5" i="41"/>
  <c r="CY5" i="41"/>
  <c r="CZ5" i="41"/>
  <c r="DA5" i="41"/>
  <c r="DB5" i="41"/>
  <c r="DC5" i="41"/>
  <c r="DD5" i="41"/>
  <c r="BK5" i="44"/>
  <c r="BM5" i="44"/>
  <c r="BN5" i="44"/>
  <c r="BO5" i="44"/>
  <c r="BP5" i="44"/>
  <c r="BQ5" i="44"/>
  <c r="BR5" i="44"/>
  <c r="BS5" i="44"/>
  <c r="BT5" i="44"/>
  <c r="BU5" i="44"/>
  <c r="BV5" i="44"/>
  <c r="BW5" i="44"/>
  <c r="BX5" i="44"/>
  <c r="BY5" i="44"/>
  <c r="BZ5" i="44"/>
  <c r="CA5" i="44"/>
  <c r="CB5" i="44"/>
  <c r="CC5" i="44"/>
  <c r="CD5" i="44"/>
  <c r="CE5" i="44"/>
  <c r="CG5" i="44"/>
  <c r="CH5" i="44"/>
  <c r="CI5" i="44"/>
  <c r="CJ5" i="44"/>
  <c r="CK5" i="44"/>
  <c r="CL5" i="44"/>
  <c r="CM5" i="44"/>
  <c r="CN5" i="44"/>
  <c r="CO5" i="44"/>
  <c r="CP5" i="44"/>
  <c r="CQ5" i="44"/>
  <c r="CR5" i="44"/>
  <c r="CS5" i="44"/>
  <c r="CT5" i="44"/>
  <c r="CU5" i="44"/>
  <c r="CV5" i="44"/>
  <c r="CW5" i="44"/>
  <c r="CX5" i="44"/>
  <c r="CY5" i="44"/>
  <c r="CZ5" i="44"/>
  <c r="DA5" i="44"/>
  <c r="DB5" i="44"/>
  <c r="DC5" i="44"/>
  <c r="DD5" i="44"/>
  <c r="BK5" i="42"/>
  <c r="BM5" i="42"/>
  <c r="BN5" i="42"/>
  <c r="BO5" i="42"/>
  <c r="BP5" i="42"/>
  <c r="BQ5" i="42"/>
  <c r="BR5" i="42"/>
  <c r="BS5" i="42"/>
  <c r="BT5" i="42"/>
  <c r="BU5" i="42"/>
  <c r="BV5" i="42"/>
  <c r="BW5" i="42"/>
  <c r="BX5" i="42"/>
  <c r="BY5" i="42"/>
  <c r="BZ5" i="42"/>
  <c r="CA5" i="42"/>
  <c r="CB5" i="42"/>
  <c r="CC5" i="42"/>
  <c r="CD5" i="42"/>
  <c r="CE5" i="42"/>
  <c r="CG5" i="42"/>
  <c r="CH5" i="42"/>
  <c r="CI5" i="42"/>
  <c r="CJ5" i="42"/>
  <c r="CK5" i="42"/>
  <c r="CL5" i="42"/>
  <c r="CM5" i="42"/>
  <c r="CN5" i="42"/>
  <c r="CO5" i="42"/>
  <c r="CP5" i="42"/>
  <c r="CQ5" i="42"/>
  <c r="CR5" i="42"/>
  <c r="CS5" i="42"/>
  <c r="CT5" i="42"/>
  <c r="CU5" i="42"/>
  <c r="CV5" i="42"/>
  <c r="CW5" i="42"/>
  <c r="CX5" i="42"/>
  <c r="CY5" i="42"/>
  <c r="CZ5" i="42"/>
  <c r="DA5" i="42"/>
  <c r="DB5" i="42"/>
  <c r="DC5" i="42"/>
  <c r="DD5" i="42"/>
  <c r="BK5" i="43"/>
  <c r="BM5" i="43"/>
  <c r="BN5" i="43"/>
  <c r="BO5" i="43"/>
  <c r="BP5" i="43"/>
  <c r="BQ5" i="43"/>
  <c r="BR5" i="43"/>
  <c r="BS5" i="43"/>
  <c r="BT5" i="43"/>
  <c r="BU5" i="43"/>
  <c r="BV5" i="43"/>
  <c r="BW5" i="43"/>
  <c r="BX5" i="43"/>
  <c r="BY5" i="43"/>
  <c r="BZ5" i="43"/>
  <c r="CA5" i="43"/>
  <c r="CB5" i="43"/>
  <c r="CC5" i="43"/>
  <c r="CD5" i="43"/>
  <c r="CE5" i="43"/>
  <c r="CG5" i="43"/>
  <c r="CH5" i="43"/>
  <c r="CI5" i="43"/>
  <c r="CJ5" i="43"/>
  <c r="CK5" i="43"/>
  <c r="CL5" i="43"/>
  <c r="CM5" i="43"/>
  <c r="CN5" i="43"/>
  <c r="CO5" i="43"/>
  <c r="CP5" i="43"/>
  <c r="CQ5" i="43"/>
  <c r="CR5" i="43"/>
  <c r="CS5" i="43"/>
  <c r="CT5" i="43"/>
  <c r="CU5" i="43"/>
  <c r="CV5" i="43"/>
  <c r="CW5" i="43"/>
  <c r="CX5" i="43"/>
  <c r="CY5" i="43"/>
  <c r="CZ5" i="43"/>
  <c r="DA5" i="43"/>
  <c r="DB5" i="43"/>
  <c r="DC5" i="43"/>
  <c r="DD5" i="43"/>
  <c r="BK5" i="49"/>
  <c r="BM5" i="49"/>
  <c r="BN5" i="49"/>
  <c r="BO5" i="49"/>
  <c r="BP5" i="49"/>
  <c r="BQ5" i="49"/>
  <c r="BR5" i="49"/>
  <c r="BS5" i="49"/>
  <c r="BT5" i="49"/>
  <c r="BU5" i="49"/>
  <c r="BV5" i="49"/>
  <c r="BW5" i="49"/>
  <c r="BX5" i="49"/>
  <c r="BY5" i="49"/>
  <c r="BZ5" i="49"/>
  <c r="CA5" i="49"/>
  <c r="CB5" i="49"/>
  <c r="CC5" i="49"/>
  <c r="CD5" i="49"/>
  <c r="CE5" i="49"/>
  <c r="CG5" i="49"/>
  <c r="CH5" i="49"/>
  <c r="CI5" i="49"/>
  <c r="CJ5" i="49"/>
  <c r="CK5" i="49"/>
  <c r="CL5" i="49"/>
  <c r="CM5" i="49"/>
  <c r="CN5" i="49"/>
  <c r="CO5" i="49"/>
  <c r="CP5" i="49"/>
  <c r="CQ5" i="49"/>
  <c r="CR5" i="49"/>
  <c r="CS5" i="49"/>
  <c r="CT5" i="49"/>
  <c r="CU5" i="49"/>
  <c r="CV5" i="49"/>
  <c r="CW5" i="49"/>
  <c r="CX5" i="49"/>
  <c r="CY5" i="49"/>
  <c r="CZ5" i="49"/>
  <c r="DA5" i="49"/>
  <c r="DB5" i="49"/>
  <c r="DC5" i="49"/>
  <c r="DD5" i="49"/>
  <c r="BK5" i="50"/>
  <c r="BM5" i="50"/>
  <c r="BN5" i="50"/>
  <c r="BO5" i="50"/>
  <c r="BP5" i="50"/>
  <c r="BQ5" i="50"/>
  <c r="BR5" i="50"/>
  <c r="BS5" i="50"/>
  <c r="BT5" i="50"/>
  <c r="BU5" i="50"/>
  <c r="BV5" i="50"/>
  <c r="BW5" i="50"/>
  <c r="BX5" i="50"/>
  <c r="BY5" i="50"/>
  <c r="BZ5" i="50"/>
  <c r="CA5" i="50"/>
  <c r="CB5" i="50"/>
  <c r="CC5" i="50"/>
  <c r="CD5" i="50"/>
  <c r="CE5" i="50"/>
  <c r="CG5" i="50"/>
  <c r="CH5" i="50"/>
  <c r="CI5" i="50"/>
  <c r="CJ5" i="50"/>
  <c r="CK5" i="50"/>
  <c r="CL5" i="50"/>
  <c r="CM5" i="50"/>
  <c r="CN5" i="50"/>
  <c r="CO5" i="50"/>
  <c r="CP5" i="50"/>
  <c r="CQ5" i="50"/>
  <c r="CR5" i="50"/>
  <c r="CS5" i="50"/>
  <c r="CT5" i="50"/>
  <c r="CU5" i="50"/>
  <c r="CV5" i="50"/>
  <c r="CW5" i="50"/>
  <c r="CX5" i="50"/>
  <c r="CY5" i="50"/>
  <c r="CZ5" i="50"/>
  <c r="DA5" i="50"/>
  <c r="DB5" i="50"/>
  <c r="DC5" i="50"/>
  <c r="DD5" i="50"/>
  <c r="BK5" i="67"/>
  <c r="BM5" i="67"/>
  <c r="BN5" i="67"/>
  <c r="BO5" i="67"/>
  <c r="BP5" i="67"/>
  <c r="BQ5" i="67"/>
  <c r="BR5" i="67"/>
  <c r="BS5" i="67"/>
  <c r="BT5" i="67"/>
  <c r="BU5" i="67"/>
  <c r="BV5" i="67"/>
  <c r="BW5" i="67"/>
  <c r="BX5" i="67"/>
  <c r="BY5" i="67"/>
  <c r="BZ5" i="67"/>
  <c r="CA5" i="67"/>
  <c r="CB5" i="67"/>
  <c r="CC5" i="67"/>
  <c r="CD5" i="67"/>
  <c r="CE5" i="67"/>
  <c r="CG5" i="67"/>
  <c r="CH5" i="67"/>
  <c r="CI5" i="67"/>
  <c r="CJ5" i="67"/>
  <c r="CK5" i="67"/>
  <c r="CL5" i="67"/>
  <c r="CM5" i="67"/>
  <c r="CN5" i="67"/>
  <c r="CO5" i="67"/>
  <c r="CP5" i="67"/>
  <c r="CQ5" i="67"/>
  <c r="CR5" i="67"/>
  <c r="CS5" i="67"/>
  <c r="CT5" i="67"/>
  <c r="CU5" i="67"/>
  <c r="CV5" i="67"/>
  <c r="CW5" i="67"/>
  <c r="CX5" i="67"/>
  <c r="CY5" i="67"/>
  <c r="CZ5" i="67"/>
  <c r="DA5" i="67"/>
  <c r="DB5" i="67"/>
  <c r="DC5" i="67"/>
  <c r="DD5" i="67"/>
  <c r="BK5" i="51"/>
  <c r="BM5" i="51"/>
  <c r="BN5" i="51"/>
  <c r="BO5" i="51"/>
  <c r="BP5" i="51"/>
  <c r="BQ5" i="51"/>
  <c r="BR5" i="51"/>
  <c r="BS5" i="51"/>
  <c r="BT5" i="51"/>
  <c r="BU5" i="51"/>
  <c r="BV5" i="51"/>
  <c r="BW5" i="51"/>
  <c r="BX5" i="51"/>
  <c r="BY5" i="51"/>
  <c r="BZ5" i="51"/>
  <c r="CA5" i="51"/>
  <c r="CB5" i="51"/>
  <c r="CC5" i="51"/>
  <c r="CD5" i="51"/>
  <c r="CE5" i="51"/>
  <c r="CG5" i="51"/>
  <c r="CH5" i="51"/>
  <c r="CI5" i="51"/>
  <c r="CJ5" i="51"/>
  <c r="CK5" i="51"/>
  <c r="CL5" i="51"/>
  <c r="CM5" i="51"/>
  <c r="CN5" i="51"/>
  <c r="CO5" i="51"/>
  <c r="CP5" i="51"/>
  <c r="CQ5" i="51"/>
  <c r="CR5" i="51"/>
  <c r="CS5" i="51"/>
  <c r="CT5" i="51"/>
  <c r="CU5" i="51"/>
  <c r="CV5" i="51"/>
  <c r="CW5" i="51"/>
  <c r="CX5" i="51"/>
  <c r="CY5" i="51"/>
  <c r="CZ5" i="51"/>
  <c r="DA5" i="51"/>
  <c r="DB5" i="51"/>
  <c r="DC5" i="51"/>
  <c r="DD5" i="51"/>
  <c r="BK5" i="52"/>
  <c r="BM5" i="52"/>
  <c r="BN5" i="52"/>
  <c r="BO5" i="52"/>
  <c r="BP5" i="52"/>
  <c r="BQ5" i="52"/>
  <c r="BR5" i="52"/>
  <c r="BS5" i="52"/>
  <c r="BT5" i="52"/>
  <c r="BU5" i="52"/>
  <c r="BV5" i="52"/>
  <c r="BW5" i="52"/>
  <c r="BX5" i="52"/>
  <c r="BY5" i="52"/>
  <c r="BZ5" i="52"/>
  <c r="CA5" i="52"/>
  <c r="CB5" i="52"/>
  <c r="CC5" i="52"/>
  <c r="CD5" i="52"/>
  <c r="CE5" i="52"/>
  <c r="CG5" i="52"/>
  <c r="CH5" i="52"/>
  <c r="CI5" i="52"/>
  <c r="CJ5" i="52"/>
  <c r="CK5" i="52"/>
  <c r="CL5" i="52"/>
  <c r="CM5" i="52"/>
  <c r="CN5" i="52"/>
  <c r="CO5" i="52"/>
  <c r="CP5" i="52"/>
  <c r="CQ5" i="52"/>
  <c r="CR5" i="52"/>
  <c r="CS5" i="52"/>
  <c r="CT5" i="52"/>
  <c r="CU5" i="52"/>
  <c r="CV5" i="52"/>
  <c r="CW5" i="52"/>
  <c r="CX5" i="52"/>
  <c r="CY5" i="52"/>
  <c r="CZ5" i="52"/>
  <c r="DA5" i="52"/>
  <c r="DB5" i="52"/>
  <c r="DC5" i="52"/>
  <c r="DD5" i="52"/>
  <c r="BK5" i="53"/>
  <c r="BM5" i="53"/>
  <c r="BN5" i="53"/>
  <c r="BO5" i="53"/>
  <c r="BP5" i="53"/>
  <c r="BQ5" i="53"/>
  <c r="BR5" i="53"/>
  <c r="BS5" i="53"/>
  <c r="BT5" i="53"/>
  <c r="BU5" i="53"/>
  <c r="BV5" i="53"/>
  <c r="BW5" i="53"/>
  <c r="BX5" i="53"/>
  <c r="BY5" i="53"/>
  <c r="BZ5" i="53"/>
  <c r="CA5" i="53"/>
  <c r="CB5" i="53"/>
  <c r="CC5" i="53"/>
  <c r="CD5" i="53"/>
  <c r="CE5" i="53"/>
  <c r="CG5" i="53"/>
  <c r="CH5" i="53"/>
  <c r="CI5" i="53"/>
  <c r="CJ5" i="53"/>
  <c r="CK5" i="53"/>
  <c r="CL5" i="53"/>
  <c r="CM5" i="53"/>
  <c r="CN5" i="53"/>
  <c r="CO5" i="53"/>
  <c r="CP5" i="53"/>
  <c r="CQ5" i="53"/>
  <c r="CR5" i="53"/>
  <c r="CS5" i="53"/>
  <c r="CT5" i="53"/>
  <c r="CU5" i="53"/>
  <c r="CV5" i="53"/>
  <c r="CW5" i="53"/>
  <c r="CX5" i="53"/>
  <c r="CY5" i="53"/>
  <c r="CZ5" i="53"/>
  <c r="DA5" i="53"/>
  <c r="DB5" i="53"/>
  <c r="DC5" i="53"/>
  <c r="DD5" i="53"/>
  <c r="BK5" i="54"/>
  <c r="BM5" i="54"/>
  <c r="BN5" i="54"/>
  <c r="BO5" i="54"/>
  <c r="BP5" i="54"/>
  <c r="BQ5" i="54"/>
  <c r="BR5" i="54"/>
  <c r="BS5" i="54"/>
  <c r="BT5" i="54"/>
  <c r="BU5" i="54"/>
  <c r="BV5" i="54"/>
  <c r="BW5" i="54"/>
  <c r="BX5" i="54"/>
  <c r="BY5" i="54"/>
  <c r="BZ5" i="54"/>
  <c r="CA5" i="54"/>
  <c r="CB5" i="54"/>
  <c r="CC5" i="54"/>
  <c r="CD5" i="54"/>
  <c r="CE5" i="54"/>
  <c r="CG5" i="54"/>
  <c r="CH5" i="54"/>
  <c r="CI5" i="54"/>
  <c r="CJ5" i="54"/>
  <c r="CK5" i="54"/>
  <c r="CL5" i="54"/>
  <c r="CM5" i="54"/>
  <c r="CN5" i="54"/>
  <c r="CO5" i="54"/>
  <c r="CP5" i="54"/>
  <c r="CQ5" i="54"/>
  <c r="CR5" i="54"/>
  <c r="CS5" i="54"/>
  <c r="CT5" i="54"/>
  <c r="CU5" i="54"/>
  <c r="CV5" i="54"/>
  <c r="CW5" i="54"/>
  <c r="CX5" i="54"/>
  <c r="CY5" i="54"/>
  <c r="CZ5" i="54"/>
  <c r="DA5" i="54"/>
  <c r="DB5" i="54"/>
  <c r="DC5" i="54"/>
  <c r="DD5" i="54"/>
  <c r="BK5" i="55"/>
  <c r="BM5" i="55"/>
  <c r="BN5" i="55"/>
  <c r="BO5" i="55"/>
  <c r="BP5" i="55"/>
  <c r="BQ5" i="55"/>
  <c r="BR5" i="55"/>
  <c r="BS5" i="55"/>
  <c r="BT5" i="55"/>
  <c r="BU5" i="55"/>
  <c r="BV5" i="55"/>
  <c r="BW5" i="55"/>
  <c r="BX5" i="55"/>
  <c r="BY5" i="55"/>
  <c r="BZ5" i="55"/>
  <c r="CA5" i="55"/>
  <c r="CB5" i="55"/>
  <c r="CC5" i="55"/>
  <c r="CD5" i="55"/>
  <c r="CE5" i="55"/>
  <c r="CG5" i="55"/>
  <c r="CH5" i="55"/>
  <c r="CI5" i="55"/>
  <c r="CJ5" i="55"/>
  <c r="CK5" i="55"/>
  <c r="CL5" i="55"/>
  <c r="CM5" i="55"/>
  <c r="CN5" i="55"/>
  <c r="CO5" i="55"/>
  <c r="CP5" i="55"/>
  <c r="CQ5" i="55"/>
  <c r="CR5" i="55"/>
  <c r="CS5" i="55"/>
  <c r="CT5" i="55"/>
  <c r="CU5" i="55"/>
  <c r="CV5" i="55"/>
  <c r="CW5" i="55"/>
  <c r="CX5" i="55"/>
  <c r="CY5" i="55"/>
  <c r="CZ5" i="55"/>
  <c r="DA5" i="55"/>
  <c r="DB5" i="55"/>
  <c r="DC5" i="55"/>
  <c r="DD5" i="55"/>
  <c r="BL5" i="47"/>
  <c r="BN5" i="47"/>
  <c r="BO5" i="47"/>
  <c r="BP5" i="47"/>
  <c r="BQ5" i="47"/>
  <c r="BR5" i="47"/>
  <c r="BS5" i="47"/>
  <c r="BT5" i="47"/>
  <c r="BU5" i="47"/>
  <c r="BV5" i="47"/>
  <c r="BW5" i="47"/>
  <c r="BX5" i="47"/>
  <c r="BY5" i="47"/>
  <c r="CA5" i="47"/>
  <c r="CB5" i="47"/>
  <c r="CC5" i="47"/>
  <c r="CD5" i="47"/>
  <c r="CE5" i="47"/>
  <c r="CF5" i="47"/>
  <c r="CG5" i="47"/>
  <c r="CI5" i="47"/>
  <c r="CJ5" i="47"/>
  <c r="CK5" i="47"/>
  <c r="CL5" i="47"/>
  <c r="CM5" i="47"/>
  <c r="CN5" i="47"/>
  <c r="CO5" i="47"/>
  <c r="CP5" i="47"/>
  <c r="CQ5" i="47"/>
  <c r="CR5" i="47"/>
  <c r="CS5" i="47"/>
  <c r="CT5" i="47"/>
  <c r="CU5" i="47"/>
  <c r="CV5" i="47"/>
  <c r="CW5" i="47"/>
  <c r="CX5" i="47"/>
  <c r="CY5" i="47"/>
  <c r="CZ5" i="47"/>
  <c r="DA5" i="47"/>
  <c r="DB5" i="47"/>
  <c r="DC5" i="47"/>
  <c r="DD5" i="47"/>
  <c r="DE5" i="47"/>
  <c r="DF5" i="47"/>
  <c r="BK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G5" i="45"/>
  <c r="CH5" i="45"/>
  <c r="CI5" i="45"/>
  <c r="CJ5" i="45"/>
  <c r="CK5" i="45"/>
  <c r="CL5" i="45"/>
  <c r="CM5" i="45"/>
  <c r="CN5" i="45"/>
  <c r="CO5" i="45"/>
  <c r="CP5" i="45"/>
  <c r="CQ5" i="45"/>
  <c r="CR5" i="45"/>
  <c r="CS5" i="45"/>
  <c r="CT5" i="45"/>
  <c r="CU5" i="45"/>
  <c r="CV5" i="45"/>
  <c r="CW5" i="45"/>
  <c r="CX5" i="45"/>
  <c r="CY5" i="45"/>
  <c r="CZ5" i="45"/>
  <c r="DA5" i="45"/>
  <c r="DB5" i="45"/>
  <c r="DC5" i="45"/>
  <c r="DD5" i="45"/>
  <c r="BK5" i="48"/>
  <c r="BM5" i="48"/>
  <c r="BN5" i="48"/>
  <c r="BO5" i="48"/>
  <c r="BP5" i="48"/>
  <c r="BQ5" i="48"/>
  <c r="BR5" i="48"/>
  <c r="BS5" i="48"/>
  <c r="BT5" i="48"/>
  <c r="BU5" i="48"/>
  <c r="BV5" i="48"/>
  <c r="BW5" i="48"/>
  <c r="BX5" i="48"/>
  <c r="BY5" i="48"/>
  <c r="BZ5" i="48"/>
  <c r="CA5" i="48"/>
  <c r="CB5" i="48"/>
  <c r="CC5" i="48"/>
  <c r="CD5" i="48"/>
  <c r="CE5" i="48"/>
  <c r="CG5" i="48"/>
  <c r="CH5" i="48"/>
  <c r="CI5" i="48"/>
  <c r="CJ5" i="48"/>
  <c r="CK5" i="48"/>
  <c r="CL5" i="48"/>
  <c r="CM5" i="48"/>
  <c r="CN5" i="48"/>
  <c r="CO5" i="48"/>
  <c r="CP5" i="48"/>
  <c r="CQ5" i="48"/>
  <c r="CR5" i="48"/>
  <c r="CS5" i="48"/>
  <c r="CT5" i="48"/>
  <c r="CU5" i="48"/>
  <c r="CV5" i="48"/>
  <c r="CW5" i="48"/>
  <c r="CX5" i="48"/>
  <c r="CY5" i="48"/>
  <c r="CZ5" i="48"/>
  <c r="DA5" i="48"/>
  <c r="DB5" i="48"/>
  <c r="DC5" i="48"/>
  <c r="DD5" i="48"/>
  <c r="BK5" i="46"/>
  <c r="BM5" i="46"/>
  <c r="BN5" i="46"/>
  <c r="BO5" i="46"/>
  <c r="BP5" i="46"/>
  <c r="BQ5" i="46"/>
  <c r="BR5" i="46"/>
  <c r="BS5" i="46"/>
  <c r="BT5" i="46"/>
  <c r="BU5" i="46"/>
  <c r="BV5" i="46"/>
  <c r="BW5" i="46"/>
  <c r="BX5" i="46"/>
  <c r="BY5" i="46"/>
  <c r="BZ5" i="46"/>
  <c r="CA5" i="46"/>
  <c r="CB5" i="46"/>
  <c r="CC5" i="46"/>
  <c r="CD5" i="46"/>
  <c r="CE5" i="46"/>
  <c r="CG5" i="46"/>
  <c r="CH5" i="46"/>
  <c r="CI5" i="46"/>
  <c r="CJ5" i="46"/>
  <c r="CK5" i="46"/>
  <c r="CL5" i="46"/>
  <c r="CM5" i="46"/>
  <c r="CN5" i="46"/>
  <c r="CO5" i="46"/>
  <c r="CP5" i="46"/>
  <c r="CQ5" i="46"/>
  <c r="CR5" i="46"/>
  <c r="CS5" i="46"/>
  <c r="CT5" i="46"/>
  <c r="CU5" i="46"/>
  <c r="CV5" i="46"/>
  <c r="CW5" i="46"/>
  <c r="CX5" i="46"/>
  <c r="CY5" i="46"/>
  <c r="CZ5" i="46"/>
  <c r="DA5" i="46"/>
  <c r="DB5" i="46"/>
  <c r="DC5" i="46"/>
  <c r="DD5" i="46"/>
  <c r="BK5" i="56"/>
  <c r="BM5" i="56"/>
  <c r="BN5" i="56"/>
  <c r="BO5" i="56"/>
  <c r="BP5" i="56"/>
  <c r="BQ5" i="56"/>
  <c r="BR5" i="56"/>
  <c r="BS5" i="56"/>
  <c r="BT5" i="56"/>
  <c r="BU5" i="56"/>
  <c r="BV5" i="56"/>
  <c r="BW5" i="56"/>
  <c r="BX5" i="56"/>
  <c r="BY5" i="56"/>
  <c r="BZ5" i="56"/>
  <c r="CA5" i="56"/>
  <c r="CB5" i="56"/>
  <c r="CC5" i="56"/>
  <c r="CD5" i="56"/>
  <c r="CE5" i="56"/>
  <c r="CG5" i="56"/>
  <c r="CH5" i="56"/>
  <c r="CI5" i="56"/>
  <c r="CJ5" i="56"/>
  <c r="CK5" i="56"/>
  <c r="CL5" i="56"/>
  <c r="CM5" i="56"/>
  <c r="CN5" i="56"/>
  <c r="CO5" i="56"/>
  <c r="CP5" i="56"/>
  <c r="CQ5" i="56"/>
  <c r="CR5" i="56"/>
  <c r="CS5" i="56"/>
  <c r="CT5" i="56"/>
  <c r="CU5" i="56"/>
  <c r="CV5" i="56"/>
  <c r="CW5" i="56"/>
  <c r="CX5" i="56"/>
  <c r="CY5" i="56"/>
  <c r="CZ5" i="56"/>
  <c r="DA5" i="56"/>
  <c r="DB5" i="56"/>
  <c r="DC5" i="56"/>
  <c r="DD5" i="56"/>
  <c r="BK5" i="58"/>
  <c r="BM5" i="58"/>
  <c r="BN5" i="58"/>
  <c r="BO5" i="58"/>
  <c r="BP5" i="58"/>
  <c r="BQ5" i="58"/>
  <c r="BR5" i="58"/>
  <c r="BS5" i="58"/>
  <c r="BT5" i="58"/>
  <c r="BU5" i="58"/>
  <c r="BV5" i="58"/>
  <c r="BW5" i="58"/>
  <c r="BX5" i="58"/>
  <c r="BY5" i="58"/>
  <c r="BZ5" i="58"/>
  <c r="CA5" i="58"/>
  <c r="CB5" i="58"/>
  <c r="CC5" i="58"/>
  <c r="CD5" i="58"/>
  <c r="CE5" i="58"/>
  <c r="CG5" i="58"/>
  <c r="CH5" i="58"/>
  <c r="CI5" i="58"/>
  <c r="CJ5" i="58"/>
  <c r="CK5" i="58"/>
  <c r="CL5" i="58"/>
  <c r="CM5" i="58"/>
  <c r="CN5" i="58"/>
  <c r="CO5" i="58"/>
  <c r="CP5" i="58"/>
  <c r="CQ5" i="58"/>
  <c r="CR5" i="58"/>
  <c r="CS5" i="58"/>
  <c r="CT5" i="58"/>
  <c r="CU5" i="58"/>
  <c r="CV5" i="58"/>
  <c r="CW5" i="58"/>
  <c r="CX5" i="58"/>
  <c r="CY5" i="58"/>
  <c r="CZ5" i="58"/>
  <c r="DA5" i="58"/>
  <c r="DB5" i="58"/>
  <c r="DC5" i="58"/>
  <c r="DD5" i="58"/>
  <c r="CA5" i="57"/>
  <c r="CB5" i="57"/>
  <c r="CC5" i="57"/>
  <c r="CD5" i="57"/>
  <c r="CE5" i="57"/>
  <c r="CF5" i="57"/>
  <c r="CH5" i="57"/>
  <c r="CI5" i="57"/>
  <c r="CJ5" i="57"/>
  <c r="CK5" i="57"/>
  <c r="CL5" i="57"/>
  <c r="CM5" i="57"/>
  <c r="CN5" i="57"/>
  <c r="CO5" i="57"/>
  <c r="CP5" i="57"/>
  <c r="CQ5" i="57"/>
  <c r="CR5" i="57"/>
  <c r="CS5" i="57"/>
  <c r="CT5" i="57"/>
  <c r="CU5" i="57"/>
  <c r="CV5" i="57"/>
  <c r="CW5" i="57"/>
  <c r="CX5" i="57"/>
  <c r="CY5" i="57"/>
  <c r="CZ5" i="57"/>
  <c r="DA5" i="57"/>
  <c r="DB5" i="57"/>
  <c r="DC5" i="57"/>
  <c r="DD5" i="57"/>
  <c r="DE5" i="57"/>
  <c r="BK5" i="59"/>
  <c r="BM5" i="59"/>
  <c r="BN5" i="59"/>
  <c r="BO5" i="59"/>
  <c r="BP5" i="59"/>
  <c r="BQ5" i="59"/>
  <c r="BR5" i="59"/>
  <c r="BS5" i="59"/>
  <c r="BT5" i="59"/>
  <c r="BU5" i="59"/>
  <c r="BV5" i="59"/>
  <c r="BW5" i="59"/>
  <c r="BX5" i="59"/>
  <c r="BY5" i="59"/>
  <c r="BZ5" i="59"/>
  <c r="CA5" i="59"/>
  <c r="CB5" i="59"/>
  <c r="CC5" i="59"/>
  <c r="CD5" i="59"/>
  <c r="CE5" i="59"/>
  <c r="CG5" i="59"/>
  <c r="CH5" i="59"/>
  <c r="CI5" i="59"/>
  <c r="CJ5" i="59"/>
  <c r="CK5" i="59"/>
  <c r="CL5" i="59"/>
  <c r="CM5" i="59"/>
  <c r="CN5" i="59"/>
  <c r="CO5" i="59"/>
  <c r="CP5" i="59"/>
  <c r="CQ5" i="59"/>
  <c r="CR5" i="59"/>
  <c r="CS5" i="59"/>
  <c r="CT5" i="59"/>
  <c r="CU5" i="59"/>
  <c r="CV5" i="59"/>
  <c r="CW5" i="59"/>
  <c r="CX5" i="59"/>
  <c r="CY5" i="59"/>
  <c r="CZ5" i="59"/>
  <c r="DA5" i="59"/>
  <c r="DB5" i="59"/>
  <c r="DC5" i="59"/>
  <c r="DD5" i="59"/>
  <c r="BK5" i="60"/>
  <c r="BM5" i="60"/>
  <c r="BN5" i="60"/>
  <c r="BO5" i="60"/>
  <c r="BP5" i="60"/>
  <c r="BQ5" i="60"/>
  <c r="BR5" i="60"/>
  <c r="BS5" i="60"/>
  <c r="BT5" i="60"/>
  <c r="BU5" i="60"/>
  <c r="BV5" i="60"/>
  <c r="BW5" i="60"/>
  <c r="BX5" i="60"/>
  <c r="BY5" i="60"/>
  <c r="BZ5" i="60"/>
  <c r="CA5" i="60"/>
  <c r="CB5" i="60"/>
  <c r="CC5" i="60"/>
  <c r="CD5" i="60"/>
  <c r="CE5" i="60"/>
  <c r="CG5" i="60"/>
  <c r="CH5" i="60"/>
  <c r="CI5" i="60"/>
  <c r="CJ5" i="60"/>
  <c r="CK5" i="60"/>
  <c r="CL5" i="60"/>
  <c r="CM5" i="60"/>
  <c r="CN5" i="60"/>
  <c r="CO5" i="60"/>
  <c r="CP5" i="60"/>
  <c r="CQ5" i="60"/>
  <c r="CR5" i="60"/>
  <c r="CS5" i="60"/>
  <c r="CT5" i="60"/>
  <c r="CU5" i="60"/>
  <c r="CV5" i="60"/>
  <c r="CW5" i="60"/>
  <c r="CX5" i="60"/>
  <c r="CY5" i="60"/>
  <c r="CZ5" i="60"/>
  <c r="DA5" i="60"/>
  <c r="DB5" i="60"/>
  <c r="DC5" i="60"/>
  <c r="DD5" i="60"/>
  <c r="BK5" i="61"/>
  <c r="BM5" i="61"/>
  <c r="BN5" i="61"/>
  <c r="BO5" i="61"/>
  <c r="BP5" i="61"/>
  <c r="BQ5" i="61"/>
  <c r="BR5" i="61"/>
  <c r="BS5" i="61"/>
  <c r="BT5" i="61"/>
  <c r="BU5" i="61"/>
  <c r="BV5" i="61"/>
  <c r="BW5" i="61"/>
  <c r="BX5" i="61"/>
  <c r="BY5" i="61"/>
  <c r="BZ5" i="61"/>
  <c r="CA5" i="61"/>
  <c r="CB5" i="61"/>
  <c r="CC5" i="61"/>
  <c r="CD5" i="61"/>
  <c r="CE5" i="61"/>
  <c r="CG5" i="61"/>
  <c r="CH5" i="61"/>
  <c r="CI5" i="61"/>
  <c r="CJ5" i="61"/>
  <c r="CK5" i="61"/>
  <c r="CL5" i="61"/>
  <c r="CM5" i="61"/>
  <c r="CN5" i="61"/>
  <c r="CO5" i="61"/>
  <c r="CP5" i="61"/>
  <c r="CQ5" i="61"/>
  <c r="CR5" i="61"/>
  <c r="CS5" i="61"/>
  <c r="CT5" i="61"/>
  <c r="CU5" i="61"/>
  <c r="CV5" i="61"/>
  <c r="CW5" i="61"/>
  <c r="CX5" i="61"/>
  <c r="CY5" i="61"/>
  <c r="CZ5" i="61"/>
  <c r="DA5" i="61"/>
  <c r="DB5" i="61"/>
  <c r="DC5" i="61"/>
  <c r="DD5" i="61"/>
  <c r="BK5" i="36"/>
  <c r="BM5" i="36"/>
  <c r="BN5" i="36"/>
  <c r="BO5" i="36"/>
  <c r="BP5" i="36"/>
  <c r="BQ5" i="36"/>
  <c r="BR5" i="36"/>
  <c r="BS5" i="36"/>
  <c r="BT5" i="36"/>
  <c r="BU5" i="36"/>
  <c r="BV5" i="36"/>
  <c r="BW5" i="36"/>
  <c r="BX5" i="36"/>
  <c r="BY5" i="36"/>
  <c r="BZ5" i="36"/>
  <c r="CA5" i="36"/>
  <c r="CB5" i="36"/>
  <c r="CC5" i="36"/>
  <c r="CD5" i="36"/>
  <c r="CE5" i="36"/>
  <c r="CG5" i="36"/>
  <c r="CH5" i="36"/>
  <c r="CI5" i="36"/>
  <c r="CJ5" i="36"/>
  <c r="CK5" i="36"/>
  <c r="CL5" i="36"/>
  <c r="CM5" i="36"/>
  <c r="CN5" i="36"/>
  <c r="CO5" i="36"/>
  <c r="CP5" i="36"/>
  <c r="CQ5" i="36"/>
  <c r="CR5" i="36"/>
  <c r="CS5" i="36"/>
  <c r="CT5" i="36"/>
  <c r="CU5" i="36"/>
  <c r="CV5" i="36"/>
  <c r="CW5" i="36"/>
  <c r="CX5" i="36"/>
  <c r="CY5" i="36"/>
  <c r="CZ5" i="36"/>
  <c r="DA5" i="36"/>
  <c r="DB5" i="36"/>
  <c r="DC5" i="36"/>
  <c r="DD5" i="36"/>
  <c r="BX18" i="31"/>
  <c r="BZ18" i="31"/>
  <c r="CA18" i="31"/>
  <c r="BZ18" i="57" l="1"/>
  <c r="AZ17" i="63"/>
  <c r="AT17" i="63"/>
  <c r="AL17" i="63"/>
  <c r="AR17" i="63"/>
  <c r="AX11" i="64"/>
  <c r="AP11" i="64"/>
  <c r="AH11" i="64"/>
  <c r="CM8" i="65"/>
  <c r="AV11" i="64"/>
  <c r="AM17" i="63"/>
  <c r="AT11" i="64"/>
  <c r="AL11" i="64"/>
  <c r="AZ11" i="64"/>
  <c r="AR11" i="64"/>
  <c r="CL6" i="64"/>
  <c r="AX17" i="63"/>
  <c r="AP17" i="63"/>
  <c r="AV17" i="63"/>
  <c r="AN17" i="63"/>
  <c r="AJ17" i="63"/>
  <c r="CL4" i="63"/>
  <c r="AF11" i="64"/>
  <c r="AF17" i="63"/>
  <c r="CX8" i="65"/>
  <c r="CT8" i="65"/>
  <c r="CW8" i="65"/>
  <c r="CS8" i="65"/>
  <c r="CV8" i="65"/>
  <c r="CR8" i="65"/>
  <c r="CL8" i="64"/>
  <c r="CL9" i="64"/>
  <c r="CL7" i="64"/>
  <c r="CK5" i="64"/>
  <c r="CK4" i="63"/>
  <c r="CK8" i="65"/>
  <c r="CX20" i="64"/>
  <c r="CT20" i="64"/>
  <c r="CP20" i="64"/>
  <c r="CL20" i="64"/>
  <c r="CV19" i="64"/>
  <c r="CR19" i="64"/>
  <c r="CX18" i="64"/>
  <c r="CT18" i="64"/>
  <c r="CP18" i="64"/>
  <c r="CL18" i="64"/>
  <c r="CX16" i="64"/>
  <c r="CT16" i="64"/>
  <c r="CP16" i="64"/>
  <c r="CL16" i="64"/>
  <c r="AZ22" i="64"/>
  <c r="AV22" i="64"/>
  <c r="AV23" i="64" s="1"/>
  <c r="AR22" i="64"/>
  <c r="CV14" i="64"/>
  <c r="AN22" i="64"/>
  <c r="CR14" i="64"/>
  <c r="AJ22" i="64"/>
  <c r="CN14" i="64"/>
  <c r="AF22" i="64"/>
  <c r="AZ23" i="64"/>
  <c r="AR23" i="64"/>
  <c r="CY19" i="64"/>
  <c r="CU19" i="64"/>
  <c r="CQ19" i="64"/>
  <c r="CM19" i="64"/>
  <c r="CW18" i="64"/>
  <c r="CS18" i="64"/>
  <c r="CO18" i="64"/>
  <c r="CY17" i="64"/>
  <c r="CU17" i="64"/>
  <c r="CQ17" i="64"/>
  <c r="CM17" i="64"/>
  <c r="CY21" i="64"/>
  <c r="CU21" i="64"/>
  <c r="CQ21" i="64"/>
  <c r="CM21" i="64"/>
  <c r="CW15" i="64"/>
  <c r="CS15" i="64"/>
  <c r="CO15" i="64"/>
  <c r="AY22" i="64"/>
  <c r="AU22" i="64"/>
  <c r="CY14" i="64"/>
  <c r="AQ22" i="64"/>
  <c r="CL10" i="64"/>
  <c r="CV18" i="64"/>
  <c r="CR18" i="64"/>
  <c r="CN18" i="64"/>
  <c r="CX17" i="64"/>
  <c r="CT17" i="64"/>
  <c r="CP17" i="64"/>
  <c r="CL17" i="64"/>
  <c r="CV16" i="64"/>
  <c r="CR16" i="64"/>
  <c r="CN16" i="64"/>
  <c r="CV15" i="64"/>
  <c r="CR15" i="64"/>
  <c r="CN15" i="64"/>
  <c r="AX22" i="64"/>
  <c r="AX23" i="64" s="1"/>
  <c r="AT22" i="64"/>
  <c r="CX14" i="64"/>
  <c r="AP22" i="64"/>
  <c r="CT14" i="64"/>
  <c r="AL22" i="64"/>
  <c r="AL23" i="64" s="1"/>
  <c r="CP14" i="64"/>
  <c r="AH22" i="64"/>
  <c r="CL14" i="64"/>
  <c r="AD22" i="64"/>
  <c r="AT23" i="64"/>
  <c r="CL5" i="64"/>
  <c r="AD11" i="64"/>
  <c r="CW10" i="64"/>
  <c r="CS10" i="64"/>
  <c r="CO10" i="64"/>
  <c r="CW19" i="64"/>
  <c r="CS19" i="64"/>
  <c r="CO19" i="64"/>
  <c r="CW17" i="64"/>
  <c r="CS17" i="64"/>
  <c r="CO17" i="64"/>
  <c r="CY16" i="64"/>
  <c r="CU16" i="64"/>
  <c r="CQ16" i="64"/>
  <c r="CM16" i="64"/>
  <c r="CY15" i="64"/>
  <c r="CU15" i="64"/>
  <c r="CQ15" i="64"/>
  <c r="CM15" i="64"/>
  <c r="AW22" i="64"/>
  <c r="AS22" i="64"/>
  <c r="CW14" i="64"/>
  <c r="AO22" i="64"/>
  <c r="CS14" i="64"/>
  <c r="AK22" i="64"/>
  <c r="CO14" i="64"/>
  <c r="AG22" i="64"/>
  <c r="CY9" i="64"/>
  <c r="CU9" i="64"/>
  <c r="CQ9" i="64"/>
  <c r="CM9" i="64"/>
  <c r="CY30" i="65"/>
  <c r="CU30" i="65"/>
  <c r="CQ30" i="65"/>
  <c r="CM30" i="65"/>
  <c r="CW29" i="65"/>
  <c r="CS29" i="65"/>
  <c r="CO29" i="65"/>
  <c r="AY31" i="65"/>
  <c r="AU31" i="65"/>
  <c r="CY28" i="65"/>
  <c r="AQ31" i="65"/>
  <c r="CU28" i="65"/>
  <c r="AM31" i="65"/>
  <c r="CQ28" i="65"/>
  <c r="AI31" i="65"/>
  <c r="CM28" i="65"/>
  <c r="AE31" i="65"/>
  <c r="CW24" i="65"/>
  <c r="CS24" i="65"/>
  <c r="CO24" i="65"/>
  <c r="CY23" i="65"/>
  <c r="CU23" i="65"/>
  <c r="CQ23" i="65"/>
  <c r="CM23" i="65"/>
  <c r="AW25" i="65"/>
  <c r="AS25" i="65"/>
  <c r="CW22" i="65"/>
  <c r="AO25" i="65"/>
  <c r="CS22" i="65"/>
  <c r="AK25" i="65"/>
  <c r="CO22" i="65"/>
  <c r="AG25" i="65"/>
  <c r="CY20" i="65"/>
  <c r="CU20" i="65"/>
  <c r="CQ20" i="65"/>
  <c r="CM20" i="65"/>
  <c r="CW18" i="65"/>
  <c r="CS18" i="65"/>
  <c r="CO18" i="65"/>
  <c r="CY16" i="65"/>
  <c r="CU16" i="65"/>
  <c r="CQ16" i="65"/>
  <c r="CM16" i="65"/>
  <c r="CW14" i="65"/>
  <c r="CS14" i="65"/>
  <c r="CO14" i="65"/>
  <c r="CY20" i="64"/>
  <c r="CU20" i="64"/>
  <c r="CQ20" i="64"/>
  <c r="CM20" i="64"/>
  <c r="CY18" i="64"/>
  <c r="CU18" i="64"/>
  <c r="CQ18" i="64"/>
  <c r="CM18" i="64"/>
  <c r="CW21" i="64"/>
  <c r="CS21" i="64"/>
  <c r="CO21" i="64"/>
  <c r="CW8" i="64"/>
  <c r="CS8" i="64"/>
  <c r="CO8" i="64"/>
  <c r="CY7" i="64"/>
  <c r="CU7" i="64"/>
  <c r="CQ7" i="64"/>
  <c r="AE11" i="64"/>
  <c r="CM7" i="64"/>
  <c r="CW5" i="64"/>
  <c r="CS5" i="64"/>
  <c r="CO5" i="64"/>
  <c r="CY6" i="64"/>
  <c r="CU6" i="64"/>
  <c r="CQ6" i="64"/>
  <c r="CM6" i="64"/>
  <c r="CW10" i="65"/>
  <c r="CS10" i="65"/>
  <c r="CO10" i="65"/>
  <c r="CY6" i="65"/>
  <c r="CU6" i="65"/>
  <c r="CQ6" i="65"/>
  <c r="CM6" i="65"/>
  <c r="CW9" i="65"/>
  <c r="CS9" i="65"/>
  <c r="CO9" i="65"/>
  <c r="AY11" i="65"/>
  <c r="AU11" i="65"/>
  <c r="CY5" i="65"/>
  <c r="AQ11" i="65"/>
  <c r="CU5" i="65"/>
  <c r="AM11" i="65"/>
  <c r="CQ5" i="65"/>
  <c r="AI11" i="65"/>
  <c r="CM5" i="65"/>
  <c r="AE11" i="65"/>
  <c r="CW7" i="65"/>
  <c r="CS7" i="65"/>
  <c r="CO7" i="65"/>
  <c r="CV10" i="64"/>
  <c r="CR10" i="64"/>
  <c r="CN10" i="64"/>
  <c r="CX30" i="65"/>
  <c r="CT30" i="65"/>
  <c r="CP30" i="65"/>
  <c r="CL30" i="65"/>
  <c r="CV29" i="65"/>
  <c r="CR29" i="65"/>
  <c r="CN29" i="65"/>
  <c r="AX31" i="65"/>
  <c r="AT31" i="65"/>
  <c r="CX28" i="65"/>
  <c r="AP31" i="65"/>
  <c r="CT28" i="65"/>
  <c r="AL31" i="65"/>
  <c r="CP28" i="65"/>
  <c r="AH31" i="65"/>
  <c r="CL28" i="65"/>
  <c r="AD31" i="65"/>
  <c r="CV24" i="65"/>
  <c r="CR24" i="65"/>
  <c r="CN24" i="65"/>
  <c r="CX23" i="65"/>
  <c r="CT23" i="65"/>
  <c r="CP23" i="65"/>
  <c r="CL23" i="65"/>
  <c r="AZ25" i="65"/>
  <c r="AV25" i="65"/>
  <c r="AR25" i="65"/>
  <c r="CV22" i="65"/>
  <c r="AN25" i="65"/>
  <c r="CR22" i="65"/>
  <c r="AJ25" i="65"/>
  <c r="CN22" i="65"/>
  <c r="AF25" i="65"/>
  <c r="CX20" i="65"/>
  <c r="CT20" i="65"/>
  <c r="CP20" i="65"/>
  <c r="CL20" i="65"/>
  <c r="CV18" i="65"/>
  <c r="CR18" i="65"/>
  <c r="CN18" i="65"/>
  <c r="CX16" i="65"/>
  <c r="CT16" i="65"/>
  <c r="CP16" i="65"/>
  <c r="CL16" i="65"/>
  <c r="CV14" i="65"/>
  <c r="CR14" i="65"/>
  <c r="CN14" i="65"/>
  <c r="CN19" i="64"/>
  <c r="CV17" i="64"/>
  <c r="CR17" i="64"/>
  <c r="CN17" i="64"/>
  <c r="CV21" i="64"/>
  <c r="CR21" i="64"/>
  <c r="CN21" i="64"/>
  <c r="CX15" i="64"/>
  <c r="CT15" i="64"/>
  <c r="CP15" i="64"/>
  <c r="CL15" i="64"/>
  <c r="CX9" i="64"/>
  <c r="CT9" i="64"/>
  <c r="CP9" i="64"/>
  <c r="CV8" i="64"/>
  <c r="CR8" i="64"/>
  <c r="CN8" i="64"/>
  <c r="CX7" i="64"/>
  <c r="CT7" i="64"/>
  <c r="CP7" i="64"/>
  <c r="CV5" i="64"/>
  <c r="CR5" i="64"/>
  <c r="CN5" i="64"/>
  <c r="CX6" i="64"/>
  <c r="CT6" i="64"/>
  <c r="CP6" i="64"/>
  <c r="CV10" i="65"/>
  <c r="CR10" i="65"/>
  <c r="CN10" i="65"/>
  <c r="CX6" i="65"/>
  <c r="CT6" i="65"/>
  <c r="CP6" i="65"/>
  <c r="CL6" i="65"/>
  <c r="CV9" i="65"/>
  <c r="CR9" i="65"/>
  <c r="CN9" i="65"/>
  <c r="AX11" i="65"/>
  <c r="AT11" i="65"/>
  <c r="CX5" i="65"/>
  <c r="AP11" i="65"/>
  <c r="CT5" i="65"/>
  <c r="AL11" i="65"/>
  <c r="CP5" i="65"/>
  <c r="AH11" i="65"/>
  <c r="CL5" i="65"/>
  <c r="CV7" i="65"/>
  <c r="CR7" i="65"/>
  <c r="CN7" i="65"/>
  <c r="CL8" i="65"/>
  <c r="AJ11" i="64"/>
  <c r="CY10" i="64"/>
  <c r="CU10" i="64"/>
  <c r="CQ10" i="64"/>
  <c r="CM10" i="64"/>
  <c r="CW30" i="65"/>
  <c r="CS30" i="65"/>
  <c r="CO30" i="65"/>
  <c r="CY29" i="65"/>
  <c r="CU29" i="65"/>
  <c r="CQ29" i="65"/>
  <c r="CM29" i="65"/>
  <c r="AW31" i="65"/>
  <c r="AS31" i="65"/>
  <c r="CW28" i="65"/>
  <c r="AO31" i="65"/>
  <c r="CS28" i="65"/>
  <c r="AK31" i="65"/>
  <c r="CO28" i="65"/>
  <c r="AG31" i="65"/>
  <c r="CY24" i="65"/>
  <c r="CU24" i="65"/>
  <c r="CQ24" i="65"/>
  <c r="CM24" i="65"/>
  <c r="CW23" i="65"/>
  <c r="CS23" i="65"/>
  <c r="CO23" i="65"/>
  <c r="AY25" i="65"/>
  <c r="AU25" i="65"/>
  <c r="CY22" i="65"/>
  <c r="AQ25" i="65"/>
  <c r="CU22" i="65"/>
  <c r="AM25" i="65"/>
  <c r="CQ22" i="65"/>
  <c r="AI25" i="65"/>
  <c r="CM22" i="65"/>
  <c r="AE25" i="65"/>
  <c r="CW20" i="65"/>
  <c r="CS20" i="65"/>
  <c r="CO20" i="65"/>
  <c r="CY18" i="65"/>
  <c r="CU18" i="65"/>
  <c r="CQ18" i="65"/>
  <c r="CM18" i="65"/>
  <c r="CW16" i="65"/>
  <c r="CS16" i="65"/>
  <c r="CO16" i="65"/>
  <c r="CY14" i="65"/>
  <c r="CU14" i="65"/>
  <c r="CQ14" i="65"/>
  <c r="CM14" i="65"/>
  <c r="CW20" i="64"/>
  <c r="CS20" i="64"/>
  <c r="CO20" i="64"/>
  <c r="CW16" i="64"/>
  <c r="CS16" i="64"/>
  <c r="CO16" i="64"/>
  <c r="CU14" i="64"/>
  <c r="AM22" i="64"/>
  <c r="CQ14" i="64"/>
  <c r="AI22" i="64"/>
  <c r="CM14" i="64"/>
  <c r="AE22" i="64"/>
  <c r="CW9" i="64"/>
  <c r="CS9" i="64"/>
  <c r="CO9" i="64"/>
  <c r="CY8" i="64"/>
  <c r="CU8" i="64"/>
  <c r="CQ8" i="64"/>
  <c r="CM8" i="64"/>
  <c r="CW7" i="64"/>
  <c r="CS7" i="64"/>
  <c r="CO7" i="64"/>
  <c r="AY11" i="64"/>
  <c r="AY23" i="64" s="1"/>
  <c r="AU11" i="64"/>
  <c r="CY5" i="64"/>
  <c r="CU5" i="64"/>
  <c r="CQ5" i="64"/>
  <c r="CM5" i="64"/>
  <c r="AW11" i="64"/>
  <c r="AW23" i="64" s="1"/>
  <c r="CW6" i="64"/>
  <c r="CS6" i="64"/>
  <c r="CO6" i="64"/>
  <c r="CY10" i="65"/>
  <c r="CU10" i="65"/>
  <c r="CQ10" i="65"/>
  <c r="CM10" i="65"/>
  <c r="CW6" i="65"/>
  <c r="CS6" i="65"/>
  <c r="CO6" i="65"/>
  <c r="CY9" i="65"/>
  <c r="CU9" i="65"/>
  <c r="CQ9" i="65"/>
  <c r="CM9" i="65"/>
  <c r="AW11" i="65"/>
  <c r="AS11" i="65"/>
  <c r="CW5" i="65"/>
  <c r="AO11" i="65"/>
  <c r="CS5" i="65"/>
  <c r="AK11" i="65"/>
  <c r="CO5" i="65"/>
  <c r="AG11" i="65"/>
  <c r="CY7" i="65"/>
  <c r="CU7" i="65"/>
  <c r="CQ7" i="65"/>
  <c r="CM7" i="65"/>
  <c r="CX10" i="64"/>
  <c r="CT10" i="64"/>
  <c r="CP10" i="64"/>
  <c r="CV30" i="65"/>
  <c r="CR30" i="65"/>
  <c r="CN30" i="65"/>
  <c r="CX29" i="65"/>
  <c r="CT29" i="65"/>
  <c r="CP29" i="65"/>
  <c r="CL29" i="65"/>
  <c r="AZ31" i="65"/>
  <c r="AV31" i="65"/>
  <c r="AR31" i="65"/>
  <c r="CV28" i="65"/>
  <c r="AN31" i="65"/>
  <c r="CR28" i="65"/>
  <c r="AJ31" i="65"/>
  <c r="CN28" i="65"/>
  <c r="AF31" i="65"/>
  <c r="CX24" i="65"/>
  <c r="CT24" i="65"/>
  <c r="CP24" i="65"/>
  <c r="CL24" i="65"/>
  <c r="CV23" i="65"/>
  <c r="CR23" i="65"/>
  <c r="CN23" i="65"/>
  <c r="AX25" i="65"/>
  <c r="AT25" i="65"/>
  <c r="CX22" i="65"/>
  <c r="AP25" i="65"/>
  <c r="CT22" i="65"/>
  <c r="AL25" i="65"/>
  <c r="CP22" i="65"/>
  <c r="AH25" i="65"/>
  <c r="CL22" i="65"/>
  <c r="AD25" i="65"/>
  <c r="CV20" i="65"/>
  <c r="CR20" i="65"/>
  <c r="CN20" i="65"/>
  <c r="CX18" i="65"/>
  <c r="CT18" i="65"/>
  <c r="CP18" i="65"/>
  <c r="CL18" i="65"/>
  <c r="CV16" i="65"/>
  <c r="CR16" i="65"/>
  <c r="CN16" i="65"/>
  <c r="CX14" i="65"/>
  <c r="CT14" i="65"/>
  <c r="CP14" i="65"/>
  <c r="CL14" i="65"/>
  <c r="CV20" i="64"/>
  <c r="CR20" i="64"/>
  <c r="CN20" i="64"/>
  <c r="CX19" i="64"/>
  <c r="CT19" i="64"/>
  <c r="CP19" i="64"/>
  <c r="CL19" i="64"/>
  <c r="CX21" i="64"/>
  <c r="CT21" i="64"/>
  <c r="CP21" i="64"/>
  <c r="CL21" i="64"/>
  <c r="CV9" i="64"/>
  <c r="CR9" i="64"/>
  <c r="CN9" i="64"/>
  <c r="CX8" i="64"/>
  <c r="CT8" i="64"/>
  <c r="CP8" i="64"/>
  <c r="CV7" i="64"/>
  <c r="CR7" i="64"/>
  <c r="CN7" i="64"/>
  <c r="CX5" i="64"/>
  <c r="CT5" i="64"/>
  <c r="CP5" i="64"/>
  <c r="CV6" i="64"/>
  <c r="CR6" i="64"/>
  <c r="CN6" i="64"/>
  <c r="CX10" i="65"/>
  <c r="CT10" i="65"/>
  <c r="CP10" i="65"/>
  <c r="CL10" i="65"/>
  <c r="CV6" i="65"/>
  <c r="CR6" i="65"/>
  <c r="CN6" i="65"/>
  <c r="CX9" i="65"/>
  <c r="CT9" i="65"/>
  <c r="CP9" i="65"/>
  <c r="CL9" i="65"/>
  <c r="AZ11" i="65"/>
  <c r="AV11" i="65"/>
  <c r="AR11" i="65"/>
  <c r="CV5" i="65"/>
  <c r="AN11" i="65"/>
  <c r="CR5" i="65"/>
  <c r="AJ11" i="65"/>
  <c r="CN5" i="65"/>
  <c r="AF11" i="65"/>
  <c r="CX7" i="65"/>
  <c r="CT7" i="65"/>
  <c r="CP7" i="65"/>
  <c r="CL7" i="65"/>
  <c r="AN11" i="64"/>
  <c r="CN8" i="65"/>
  <c r="CY8" i="65"/>
  <c r="CU8" i="65"/>
  <c r="CQ8" i="65"/>
  <c r="CP8" i="65"/>
  <c r="CO8" i="65"/>
  <c r="CV4" i="63"/>
  <c r="CR4" i="63"/>
  <c r="CN4" i="63"/>
  <c r="CY5" i="63"/>
  <c r="CU5" i="63"/>
  <c r="CQ5" i="63"/>
  <c r="CM5" i="63"/>
  <c r="CW6" i="63"/>
  <c r="CS6" i="63"/>
  <c r="CO6" i="63"/>
  <c r="CY7" i="63"/>
  <c r="CU7" i="63"/>
  <c r="CQ7" i="63"/>
  <c r="CM7" i="63"/>
  <c r="CW8" i="63"/>
  <c r="CS8" i="63"/>
  <c r="CO8" i="63"/>
  <c r="CY9" i="63"/>
  <c r="CU9" i="63"/>
  <c r="CQ9" i="63"/>
  <c r="CM9" i="63"/>
  <c r="CW10" i="63"/>
  <c r="CS10" i="63"/>
  <c r="CO10" i="63"/>
  <c r="CY11" i="63"/>
  <c r="CU11" i="63"/>
  <c r="CQ11" i="63"/>
  <c r="CM11" i="63"/>
  <c r="CW12" i="63"/>
  <c r="CS12" i="63"/>
  <c r="CO12" i="63"/>
  <c r="CY13" i="63"/>
  <c r="CU13" i="63"/>
  <c r="CQ13" i="63"/>
  <c r="CM13" i="63"/>
  <c r="CW14" i="63"/>
  <c r="CS14" i="63"/>
  <c r="CO14" i="63"/>
  <c r="CY15" i="63"/>
  <c r="CU15" i="63"/>
  <c r="CQ15" i="63"/>
  <c r="CM15" i="63"/>
  <c r="CY4" i="63"/>
  <c r="CU4" i="63"/>
  <c r="CQ4" i="63"/>
  <c r="CM4" i="63"/>
  <c r="CX5" i="63"/>
  <c r="CT5" i="63"/>
  <c r="CP5" i="63"/>
  <c r="CL5" i="63"/>
  <c r="CV6" i="63"/>
  <c r="CR6" i="63"/>
  <c r="CN6" i="63"/>
  <c r="CX7" i="63"/>
  <c r="CT7" i="63"/>
  <c r="CP7" i="63"/>
  <c r="CL7" i="63"/>
  <c r="CV8" i="63"/>
  <c r="CR8" i="63"/>
  <c r="CN8" i="63"/>
  <c r="CX9" i="63"/>
  <c r="CT9" i="63"/>
  <c r="CP9" i="63"/>
  <c r="CL9" i="63"/>
  <c r="CV10" i="63"/>
  <c r="CR10" i="63"/>
  <c r="CN10" i="63"/>
  <c r="CX11" i="63"/>
  <c r="CT11" i="63"/>
  <c r="CP11" i="63"/>
  <c r="CL11" i="63"/>
  <c r="CV12" i="63"/>
  <c r="CR12" i="63"/>
  <c r="CN12" i="63"/>
  <c r="CX13" i="63"/>
  <c r="CT13" i="63"/>
  <c r="CP13" i="63"/>
  <c r="CL13" i="63"/>
  <c r="CV14" i="63"/>
  <c r="CR14" i="63"/>
  <c r="CN14" i="63"/>
  <c r="CX15" i="63"/>
  <c r="CT15" i="63"/>
  <c r="CP15" i="63"/>
  <c r="CL15" i="63"/>
  <c r="CX4" i="63"/>
  <c r="CT4" i="63"/>
  <c r="CP4" i="63"/>
  <c r="CW5" i="63"/>
  <c r="CS5" i="63"/>
  <c r="CO5" i="63"/>
  <c r="CY6" i="63"/>
  <c r="CU6" i="63"/>
  <c r="CQ6" i="63"/>
  <c r="CM6" i="63"/>
  <c r="CW7" i="63"/>
  <c r="CS7" i="63"/>
  <c r="CO7" i="63"/>
  <c r="CY8" i="63"/>
  <c r="CU8" i="63"/>
  <c r="CQ8" i="63"/>
  <c r="CM8" i="63"/>
  <c r="CW9" i="63"/>
  <c r="CS9" i="63"/>
  <c r="CO9" i="63"/>
  <c r="CY10" i="63"/>
  <c r="CU10" i="63"/>
  <c r="CQ10" i="63"/>
  <c r="CM10" i="63"/>
  <c r="CW11" i="63"/>
  <c r="CS11" i="63"/>
  <c r="CO11" i="63"/>
  <c r="CY12" i="63"/>
  <c r="CU12" i="63"/>
  <c r="CQ12" i="63"/>
  <c r="CM12" i="63"/>
  <c r="CW13" i="63"/>
  <c r="CS13" i="63"/>
  <c r="CO13" i="63"/>
  <c r="CY14" i="63"/>
  <c r="CU14" i="63"/>
  <c r="CQ14" i="63"/>
  <c r="CM14" i="63"/>
  <c r="CW15" i="63"/>
  <c r="CS15" i="63"/>
  <c r="CO15" i="63"/>
  <c r="CW4" i="63"/>
  <c r="CS4" i="63"/>
  <c r="CO4" i="63"/>
  <c r="CV5" i="63"/>
  <c r="CR5" i="63"/>
  <c r="CN5" i="63"/>
  <c r="CX6" i="63"/>
  <c r="CT6" i="63"/>
  <c r="CP6" i="63"/>
  <c r="CL6" i="63"/>
  <c r="CV7" i="63"/>
  <c r="CR7" i="63"/>
  <c r="CN7" i="63"/>
  <c r="CX8" i="63"/>
  <c r="CT8" i="63"/>
  <c r="CP8" i="63"/>
  <c r="CL8" i="63"/>
  <c r="CV9" i="63"/>
  <c r="CR9" i="63"/>
  <c r="CN9" i="63"/>
  <c r="CX10" i="63"/>
  <c r="CT10" i="63"/>
  <c r="CP10" i="63"/>
  <c r="CL10" i="63"/>
  <c r="CV11" i="63"/>
  <c r="CR11" i="63"/>
  <c r="CN11" i="63"/>
  <c r="CX12" i="63"/>
  <c r="CT12" i="63"/>
  <c r="CP12" i="63"/>
  <c r="CL12" i="63"/>
  <c r="CV13" i="63"/>
  <c r="CR13" i="63"/>
  <c r="CN13" i="63"/>
  <c r="CX14" i="63"/>
  <c r="CT14" i="63"/>
  <c r="CP14" i="63"/>
  <c r="CL14" i="63"/>
  <c r="CV15" i="63"/>
  <c r="CR15" i="63"/>
  <c r="CN15" i="63"/>
  <c r="AQ17" i="63"/>
  <c r="AI17" i="63"/>
  <c r="AE17" i="63"/>
  <c r="AW17" i="63"/>
  <c r="AS17" i="63"/>
  <c r="AO17" i="63"/>
  <c r="AK17" i="63"/>
  <c r="AG17" i="63"/>
  <c r="AY17" i="63"/>
  <c r="AU17" i="63"/>
  <c r="AD11" i="65"/>
  <c r="AS11" i="64"/>
  <c r="AS23" i="64" s="1"/>
  <c r="AO11" i="64"/>
  <c r="AK11" i="64"/>
  <c r="AG11" i="64"/>
  <c r="AQ11" i="64"/>
  <c r="AM11" i="64"/>
  <c r="AI11" i="64"/>
  <c r="CB18" i="31"/>
  <c r="BY18" i="31"/>
  <c r="CC18" i="31"/>
  <c r="AI23" i="64" l="1"/>
  <c r="CW11" i="64"/>
  <c r="CX11" i="64"/>
  <c r="AV32" i="65"/>
  <c r="CX25" i="65"/>
  <c r="CT11" i="64"/>
  <c r="CQ22" i="64"/>
  <c r="CP25" i="65"/>
  <c r="CO11" i="64"/>
  <c r="CX22" i="64"/>
  <c r="AF23" i="64"/>
  <c r="CO17" i="63"/>
  <c r="CQ17" i="63"/>
  <c r="AY32" i="65"/>
  <c r="CP31" i="65"/>
  <c r="AE32" i="65"/>
  <c r="AE20" i="63" s="1"/>
  <c r="AE23" i="64"/>
  <c r="AE19" i="63" s="1"/>
  <c r="CM19" i="63" s="1"/>
  <c r="AJ23" i="64"/>
  <c r="CR11" i="64"/>
  <c r="CR25" i="65"/>
  <c r="CQ31" i="65"/>
  <c r="CY31" i="65"/>
  <c r="CL11" i="64"/>
  <c r="AD23" i="64"/>
  <c r="AD19" i="63" s="1"/>
  <c r="CL19" i="63" s="1"/>
  <c r="CP22" i="64"/>
  <c r="CN11" i="64"/>
  <c r="CQ11" i="64"/>
  <c r="CS11" i="64"/>
  <c r="AD32" i="65"/>
  <c r="AD20" i="63" s="1"/>
  <c r="CL11" i="65"/>
  <c r="CS17" i="63"/>
  <c r="CM17" i="63"/>
  <c r="AN23" i="64"/>
  <c r="CV11" i="64"/>
  <c r="CN11" i="65"/>
  <c r="AF32" i="65"/>
  <c r="CV11" i="65"/>
  <c r="AN32" i="65"/>
  <c r="AZ32" i="65"/>
  <c r="CR31" i="65"/>
  <c r="CS11" i="65"/>
  <c r="AK32" i="65"/>
  <c r="AS32" i="65"/>
  <c r="CO31" i="65"/>
  <c r="CW31" i="65"/>
  <c r="CN17" i="63"/>
  <c r="AI32" i="65"/>
  <c r="CQ11" i="65"/>
  <c r="AQ32" i="65"/>
  <c r="CY11" i="65"/>
  <c r="CS25" i="65"/>
  <c r="CS22" i="64"/>
  <c r="CN22" i="64"/>
  <c r="CV22" i="64"/>
  <c r="CU25" i="65"/>
  <c r="CW17" i="63"/>
  <c r="CR17" i="63"/>
  <c r="CL25" i="65"/>
  <c r="CT25" i="65"/>
  <c r="CT17" i="63"/>
  <c r="AW32" i="65"/>
  <c r="AU23" i="64"/>
  <c r="CM22" i="64"/>
  <c r="CU22" i="64"/>
  <c r="CQ25" i="65"/>
  <c r="CY25" i="65"/>
  <c r="CU17" i="63"/>
  <c r="CT11" i="65"/>
  <c r="AL32" i="65"/>
  <c r="AT32" i="65"/>
  <c r="CN25" i="65"/>
  <c r="CV25" i="65"/>
  <c r="CL31" i="65"/>
  <c r="CT31" i="65"/>
  <c r="CP17" i="63"/>
  <c r="CM31" i="65"/>
  <c r="CU31" i="65"/>
  <c r="CP11" i="64"/>
  <c r="CL22" i="64"/>
  <c r="CT22" i="64"/>
  <c r="CY22" i="64"/>
  <c r="CM25" i="65"/>
  <c r="CP11" i="65"/>
  <c r="AH32" i="65"/>
  <c r="CX11" i="65"/>
  <c r="AP32" i="65"/>
  <c r="CX31" i="65"/>
  <c r="AM23" i="64"/>
  <c r="CU11" i="64"/>
  <c r="AQ23" i="64"/>
  <c r="CY11" i="64"/>
  <c r="CY17" i="63"/>
  <c r="CX17" i="63"/>
  <c r="CR11" i="65"/>
  <c r="AJ32" i="65"/>
  <c r="AR32" i="65"/>
  <c r="CN31" i="65"/>
  <c r="CV31" i="65"/>
  <c r="CO11" i="65"/>
  <c r="AG32" i="65"/>
  <c r="CW11" i="65"/>
  <c r="AO32" i="65"/>
  <c r="CS31" i="65"/>
  <c r="AX32" i="65"/>
  <c r="CV17" i="63"/>
  <c r="CM11" i="65"/>
  <c r="AM32" i="65"/>
  <c r="CU11" i="65"/>
  <c r="AU32" i="65"/>
  <c r="CM11" i="64"/>
  <c r="CO25" i="65"/>
  <c r="CW25" i="65"/>
  <c r="CO22" i="64"/>
  <c r="CW22" i="64"/>
  <c r="AH23" i="64"/>
  <c r="AP23" i="64"/>
  <c r="CX23" i="64" s="1"/>
  <c r="CR22" i="64"/>
  <c r="AK23" i="64"/>
  <c r="AO23" i="64"/>
  <c r="AG23" i="64"/>
  <c r="CY23" i="64" l="1"/>
  <c r="CO23" i="64"/>
  <c r="CO32" i="65"/>
  <c r="CM32" i="65"/>
  <c r="CL20" i="63"/>
  <c r="CM20" i="63"/>
  <c r="CQ32" i="65"/>
  <c r="CW23" i="64"/>
  <c r="CP23" i="64"/>
  <c r="CU32" i="65"/>
  <c r="CR32" i="65"/>
  <c r="CU23" i="64"/>
  <c r="CP32" i="65"/>
  <c r="CS32" i="65"/>
  <c r="CV32" i="65"/>
  <c r="CR23" i="64"/>
  <c r="CT32" i="65"/>
  <c r="CW32" i="65"/>
  <c r="CN23" i="64"/>
  <c r="CY32" i="65"/>
  <c r="CV23" i="64"/>
  <c r="CL32" i="65"/>
  <c r="CS23" i="64"/>
  <c r="CM23" i="64"/>
  <c r="CX32" i="65"/>
  <c r="CQ23" i="64"/>
  <c r="CN32" i="65"/>
  <c r="CL23" i="64"/>
  <c r="CT23" i="64"/>
  <c r="CA18" i="48"/>
  <c r="CC18" i="46" l="1"/>
  <c r="AC15" i="63"/>
  <c r="CK15" i="63" s="1"/>
  <c r="AC14" i="63"/>
  <c r="CK14" i="63" s="1"/>
  <c r="AC13" i="63"/>
  <c r="CK13" i="63" s="1"/>
  <c r="AC12" i="63"/>
  <c r="CK12" i="63" s="1"/>
  <c r="AC11" i="63"/>
  <c r="CK11" i="63" s="1"/>
  <c r="AC10" i="63"/>
  <c r="CK10" i="63" s="1"/>
  <c r="AC9" i="63"/>
  <c r="CK9" i="63" s="1"/>
  <c r="AC8" i="63"/>
  <c r="CK8" i="63" s="1"/>
  <c r="AC7" i="63"/>
  <c r="CK7" i="63" s="1"/>
  <c r="AC6" i="63"/>
  <c r="CK6" i="63" s="1"/>
  <c r="AC5" i="63"/>
  <c r="CK5" i="63" s="1"/>
  <c r="AC17" i="63" l="1"/>
  <c r="BA1" i="35"/>
  <c r="AC5" i="65" l="1"/>
  <c r="CK5" i="65" s="1"/>
  <c r="BA1" i="51"/>
  <c r="AC16" i="64" l="1"/>
  <c r="CK16" i="64" s="1"/>
  <c r="AC9" i="65" l="1"/>
  <c r="CK9" i="65" s="1"/>
  <c r="AC9" i="64"/>
  <c r="CK9" i="64" s="1"/>
  <c r="AC23" i="65" l="1"/>
  <c r="CK23" i="65" s="1"/>
  <c r="AC6" i="64" l="1"/>
  <c r="CK6" i="64" s="1"/>
  <c r="AC6" i="65"/>
  <c r="CK6" i="65" s="1"/>
  <c r="AC7" i="65"/>
  <c r="CK7" i="65" s="1"/>
  <c r="AC10" i="64" l="1"/>
  <c r="CK10" i="64" s="1"/>
  <c r="AC15" i="64"/>
  <c r="CK15" i="64" s="1"/>
  <c r="AC10" i="65" l="1"/>
  <c r="AC21" i="64"/>
  <c r="CK21" i="64" s="1"/>
  <c r="AC20" i="64"/>
  <c r="CK20" i="64" s="1"/>
  <c r="AC11" i="65" l="1"/>
  <c r="CK11" i="65" s="1"/>
  <c r="CK10" i="65"/>
  <c r="AC20" i="65"/>
  <c r="CK20" i="65" s="1"/>
  <c r="CB18" i="46" l="1"/>
  <c r="AC19" i="64" l="1"/>
  <c r="CK19" i="64" s="1"/>
  <c r="AC22" i="65"/>
  <c r="CK22" i="65" s="1"/>
  <c r="AC29" i="65"/>
  <c r="CK29" i="65" s="1"/>
  <c r="AC8" i="64" l="1"/>
  <c r="CK8" i="64" s="1"/>
  <c r="AC30" i="65"/>
  <c r="CK30" i="65" s="1"/>
  <c r="AC28" i="65"/>
  <c r="CK28" i="65" s="1"/>
  <c r="AC31" i="65" l="1"/>
  <c r="CK31" i="65" s="1"/>
  <c r="AC14" i="64"/>
  <c r="CK14" i="64" s="1"/>
  <c r="AC17" i="64"/>
  <c r="CK17" i="64" s="1"/>
  <c r="AC14" i="65"/>
  <c r="CK14" i="65" s="1"/>
  <c r="AC7" i="64" l="1"/>
  <c r="CK7" i="64" s="1"/>
  <c r="AC11" i="64" l="1"/>
  <c r="CK11" i="64" s="1"/>
  <c r="AC18" i="65"/>
  <c r="CK18" i="65" s="1"/>
  <c r="AC24" i="65" l="1"/>
  <c r="AC25" i="65" l="1"/>
  <c r="CK25" i="65" s="1"/>
  <c r="CK24" i="65"/>
  <c r="AC18" i="64"/>
  <c r="AC22" i="64" l="1"/>
  <c r="CK18" i="64"/>
  <c r="AC16" i="65"/>
  <c r="CK16" i="65" s="1"/>
  <c r="AC23" i="64" l="1"/>
  <c r="CK22" i="64"/>
  <c r="AC32" i="65"/>
  <c r="CK32" i="65" s="1"/>
  <c r="AC19" i="63" l="1"/>
  <c r="CK19" i="63" s="1"/>
  <c r="CK23" i="64"/>
  <c r="AC20" i="63"/>
  <c r="CK20" i="63" s="1"/>
  <c r="AB28" i="65"/>
  <c r="CJ28" i="65" s="1"/>
  <c r="AB8" i="64" l="1"/>
  <c r="CJ8" i="64" s="1"/>
  <c r="AB30" i="65"/>
  <c r="CJ30" i="65" s="1"/>
  <c r="AB29" i="65"/>
  <c r="CJ29" i="65" s="1"/>
  <c r="AB24" i="65"/>
  <c r="CJ24" i="65" s="1"/>
  <c r="AB10" i="65"/>
  <c r="CJ10" i="65" s="1"/>
  <c r="AB9" i="65"/>
  <c r="CJ9" i="65" s="1"/>
  <c r="AB7" i="65"/>
  <c r="CJ7" i="65" s="1"/>
  <c r="AB15" i="63"/>
  <c r="CJ15" i="63" s="1"/>
  <c r="AB14" i="63"/>
  <c r="CJ14" i="63" s="1"/>
  <c r="AB13" i="63"/>
  <c r="CJ13" i="63" s="1"/>
  <c r="AB12" i="63"/>
  <c r="CJ12" i="63" s="1"/>
  <c r="AB11" i="63"/>
  <c r="CJ11" i="63" s="1"/>
  <c r="AB10" i="63"/>
  <c r="CJ10" i="63" s="1"/>
  <c r="AB9" i="63"/>
  <c r="CJ9" i="63" s="1"/>
  <c r="AB8" i="63"/>
  <c r="CJ8" i="63" s="1"/>
  <c r="AB7" i="63"/>
  <c r="CJ7" i="63" s="1"/>
  <c r="AB6" i="63"/>
  <c r="CJ6" i="63" s="1"/>
  <c r="AB5" i="63"/>
  <c r="CJ5" i="63" s="1"/>
  <c r="AB4" i="63"/>
  <c r="CJ4" i="63" s="1"/>
  <c r="AB5" i="65"/>
  <c r="CJ5" i="65" s="1"/>
  <c r="AB8" i="65"/>
  <c r="CJ8" i="65" s="1"/>
  <c r="AB6" i="65"/>
  <c r="CJ6" i="65" s="1"/>
  <c r="AB6" i="64"/>
  <c r="CJ6" i="64" s="1"/>
  <c r="AB23" i="65"/>
  <c r="CJ23" i="65" s="1"/>
  <c r="AB22" i="65"/>
  <c r="CJ22" i="65" s="1"/>
  <c r="AB16" i="64"/>
  <c r="CJ16" i="64" s="1"/>
  <c r="AB21" i="64"/>
  <c r="CJ21" i="64" s="1"/>
  <c r="AB25" i="65" l="1"/>
  <c r="CJ25" i="65" s="1"/>
  <c r="AB31" i="65"/>
  <c r="CJ31" i="65" s="1"/>
  <c r="AB11" i="65"/>
  <c r="CJ11" i="65" s="1"/>
  <c r="AB17" i="63"/>
  <c r="AB17" i="64"/>
  <c r="CJ17" i="64" s="1"/>
  <c r="AB14" i="64"/>
  <c r="CJ14" i="64" s="1"/>
  <c r="AB19" i="64"/>
  <c r="CJ19" i="64" s="1"/>
  <c r="AB15" i="64"/>
  <c r="CJ15" i="64" s="1"/>
  <c r="AB10" i="64" l="1"/>
  <c r="CJ10" i="64" s="1"/>
  <c r="AB5" i="64"/>
  <c r="CJ5" i="64" s="1"/>
  <c r="AB9" i="64"/>
  <c r="CJ9" i="64" s="1"/>
  <c r="AB18" i="65"/>
  <c r="CJ18" i="65" s="1"/>
  <c r="AB18" i="64"/>
  <c r="CJ18" i="64" s="1"/>
  <c r="AB20" i="64"/>
  <c r="CJ20" i="64" s="1"/>
  <c r="AB22" i="64" l="1"/>
  <c r="CJ22" i="64" s="1"/>
  <c r="AB16" i="65"/>
  <c r="CJ16" i="65" s="1"/>
  <c r="AB7" i="64"/>
  <c r="AB20" i="65"/>
  <c r="CJ20" i="65" s="1"/>
  <c r="AB14" i="65"/>
  <c r="CJ14" i="65" s="1"/>
  <c r="AB11" i="64" l="1"/>
  <c r="CJ11" i="64" s="1"/>
  <c r="CJ7" i="64"/>
  <c r="AB32" i="65"/>
  <c r="AB23" i="64"/>
  <c r="CA18" i="46"/>
  <c r="AB20" i="63" l="1"/>
  <c r="CJ20" i="63" s="1"/>
  <c r="CJ32" i="65"/>
  <c r="AB19" i="63"/>
  <c r="CJ19" i="63" s="1"/>
  <c r="CJ23" i="64"/>
  <c r="AA20" i="65"/>
  <c r="CI20" i="65" s="1"/>
  <c r="AA18" i="65"/>
  <c r="CI18" i="65" s="1"/>
  <c r="AA10" i="65"/>
  <c r="CI10" i="65" s="1"/>
  <c r="AA8" i="65"/>
  <c r="CI8" i="65" s="1"/>
  <c r="AA15" i="63"/>
  <c r="CI15" i="63" s="1"/>
  <c r="AA14" i="63"/>
  <c r="CI14" i="63" s="1"/>
  <c r="AA13" i="63"/>
  <c r="CI13" i="63" s="1"/>
  <c r="AA12" i="63"/>
  <c r="CI12" i="63" s="1"/>
  <c r="AA11" i="63"/>
  <c r="CI11" i="63" s="1"/>
  <c r="AA10" i="63"/>
  <c r="CI10" i="63" s="1"/>
  <c r="AA9" i="63"/>
  <c r="CI9" i="63" s="1"/>
  <c r="AA8" i="63"/>
  <c r="CI8" i="63" s="1"/>
  <c r="AA7" i="63"/>
  <c r="CI7" i="63" s="1"/>
  <c r="AA6" i="63"/>
  <c r="CI6" i="63" s="1"/>
  <c r="AA5" i="63"/>
  <c r="CI5" i="63" s="1"/>
  <c r="AA4" i="63"/>
  <c r="CI4" i="63" s="1"/>
  <c r="AA30" i="65"/>
  <c r="CI30" i="65" s="1"/>
  <c r="AA29" i="65"/>
  <c r="CI29" i="65" s="1"/>
  <c r="AA28" i="65"/>
  <c r="CI28" i="65" s="1"/>
  <c r="AA24" i="65"/>
  <c r="CI24" i="65" s="1"/>
  <c r="AA23" i="65"/>
  <c r="CI23" i="65" s="1"/>
  <c r="AA22" i="65"/>
  <c r="CI22" i="65" s="1"/>
  <c r="AA18" i="64"/>
  <c r="CI18" i="64" s="1"/>
  <c r="AA15" i="64"/>
  <c r="CI15" i="64" s="1"/>
  <c r="AA31" i="65" l="1"/>
  <c r="CI31" i="65" s="1"/>
  <c r="AA25" i="65"/>
  <c r="CI25" i="65" s="1"/>
  <c r="AA16" i="65"/>
  <c r="CI16" i="65" s="1"/>
  <c r="AA17" i="63"/>
  <c r="AA14" i="65"/>
  <c r="CI14" i="65" s="1"/>
  <c r="AA10" i="64" l="1"/>
  <c r="CI10" i="64" s="1"/>
  <c r="AA9" i="64"/>
  <c r="CI9" i="64" s="1"/>
  <c r="AA8" i="64"/>
  <c r="CI8" i="64" s="1"/>
  <c r="AA7" i="64"/>
  <c r="CI7" i="64" s="1"/>
  <c r="AA5" i="64"/>
  <c r="CI5" i="64" s="1"/>
  <c r="AA6" i="64"/>
  <c r="CI6" i="64" s="1"/>
  <c r="AA6" i="65"/>
  <c r="CI6" i="65" s="1"/>
  <c r="AA9" i="65"/>
  <c r="CI9" i="65" s="1"/>
  <c r="AA7" i="65"/>
  <c r="CI7" i="65" s="1"/>
  <c r="AA5" i="65"/>
  <c r="CI5" i="65" s="1"/>
  <c r="AA11" i="64" l="1"/>
  <c r="CI11" i="64" s="1"/>
  <c r="AA11" i="65"/>
  <c r="AA14" i="64"/>
  <c r="CI14" i="64" s="1"/>
  <c r="AA20" i="64"/>
  <c r="CI20" i="64" s="1"/>
  <c r="AA17" i="64"/>
  <c r="CI17" i="64" s="1"/>
  <c r="AA16" i="64"/>
  <c r="CI16" i="64" s="1"/>
  <c r="AA19" i="64"/>
  <c r="CI19" i="64" s="1"/>
  <c r="AA32" i="65" l="1"/>
  <c r="CI11" i="65"/>
  <c r="Z14" i="63"/>
  <c r="CH14" i="63" s="1"/>
  <c r="Z12" i="63"/>
  <c r="CH12" i="63" s="1"/>
  <c r="Z10" i="63"/>
  <c r="CH10" i="63" s="1"/>
  <c r="Z8" i="63"/>
  <c r="CH8" i="63" s="1"/>
  <c r="Z6" i="63"/>
  <c r="CH6" i="63" s="1"/>
  <c r="Z4" i="63"/>
  <c r="CH4" i="63" s="1"/>
  <c r="Z5" i="63"/>
  <c r="CH5" i="63" s="1"/>
  <c r="Z7" i="63"/>
  <c r="CH7" i="63" s="1"/>
  <c r="Z9" i="63"/>
  <c r="CH9" i="63" s="1"/>
  <c r="Z15" i="63"/>
  <c r="CH15" i="63" s="1"/>
  <c r="Z13" i="63"/>
  <c r="CH13" i="63" s="1"/>
  <c r="Z11" i="63"/>
  <c r="CH11" i="63" s="1"/>
  <c r="Y9" i="63"/>
  <c r="Z19" i="64"/>
  <c r="CH19" i="64" s="1"/>
  <c r="Z18" i="64"/>
  <c r="CH18" i="64" s="1"/>
  <c r="Z17" i="64"/>
  <c r="CH17" i="64" s="1"/>
  <c r="Z16" i="64"/>
  <c r="CH16" i="64" s="1"/>
  <c r="Z15" i="64"/>
  <c r="CH15" i="64" s="1"/>
  <c r="Z14" i="64"/>
  <c r="CH14" i="64" s="1"/>
  <c r="Z10" i="64"/>
  <c r="CH10" i="64" s="1"/>
  <c r="Z9" i="64"/>
  <c r="CH9" i="64" s="1"/>
  <c r="Z7" i="64"/>
  <c r="CH7" i="64" s="1"/>
  <c r="Z5" i="64"/>
  <c r="CH5" i="64" s="1"/>
  <c r="Z6" i="64"/>
  <c r="CH6" i="64" s="1"/>
  <c r="Z9" i="65"/>
  <c r="CH9" i="65" s="1"/>
  <c r="Z7" i="65"/>
  <c r="CH7" i="65" s="1"/>
  <c r="Z22" i="65"/>
  <c r="CH22" i="65" s="1"/>
  <c r="Z16" i="65"/>
  <c r="CH16" i="65" s="1"/>
  <c r="Z14" i="65"/>
  <c r="CH14" i="65" s="1"/>
  <c r="Z30" i="65"/>
  <c r="CH30" i="65" s="1"/>
  <c r="Z24" i="65"/>
  <c r="CH24" i="65" s="1"/>
  <c r="Z23" i="65"/>
  <c r="CH23" i="65" s="1"/>
  <c r="CG9" i="63" l="1"/>
  <c r="AA20" i="63"/>
  <c r="CI20" i="63" s="1"/>
  <c r="CI32" i="65"/>
  <c r="Z25" i="65"/>
  <c r="CH25" i="65" s="1"/>
  <c r="Z17" i="63"/>
  <c r="Z20" i="65"/>
  <c r="CH20" i="65" s="1"/>
  <c r="Z18" i="65"/>
  <c r="CH18" i="65" s="1"/>
  <c r="Z29" i="65"/>
  <c r="CH29" i="65" s="1"/>
  <c r="Z28" i="65" l="1"/>
  <c r="Z8" i="64"/>
  <c r="Z11" i="64" l="1"/>
  <c r="CH11" i="64" s="1"/>
  <c r="CH8" i="64"/>
  <c r="Z31" i="65"/>
  <c r="CH31" i="65" s="1"/>
  <c r="CH28" i="65"/>
  <c r="Z8" i="65"/>
  <c r="CH8" i="65" s="1"/>
  <c r="Z10" i="65"/>
  <c r="CH10" i="65" s="1"/>
  <c r="Z20" i="64"/>
  <c r="CH20" i="64" s="1"/>
  <c r="Z6" i="65" l="1"/>
  <c r="CH6" i="65" s="1"/>
  <c r="Z5" i="65"/>
  <c r="CH5" i="65" s="1"/>
  <c r="Z11" i="65" l="1"/>
  <c r="Z32" i="65" l="1"/>
  <c r="CH11" i="65"/>
  <c r="CE18" i="47"/>
  <c r="CD18" i="47"/>
  <c r="CC18" i="47"/>
  <c r="CA18" i="47"/>
  <c r="Z20" i="63" l="1"/>
  <c r="CH20" i="63" s="1"/>
  <c r="CH32" i="65"/>
  <c r="Y14" i="63"/>
  <c r="CG14" i="63" s="1"/>
  <c r="Y12" i="63"/>
  <c r="CG12" i="63" s="1"/>
  <c r="Y10" i="63"/>
  <c r="CG10" i="63" s="1"/>
  <c r="Y11" i="63"/>
  <c r="CG11" i="63" s="1"/>
  <c r="Y13" i="63"/>
  <c r="CG13" i="63" s="1"/>
  <c r="Y15" i="63"/>
  <c r="CG15" i="63" s="1"/>
  <c r="W6" i="63"/>
  <c r="W7" i="63"/>
  <c r="W8" i="63"/>
  <c r="W9" i="63"/>
  <c r="W10" i="63"/>
  <c r="W11" i="63"/>
  <c r="W12" i="63"/>
  <c r="W13" i="63"/>
  <c r="W14" i="63"/>
  <c r="W15" i="63"/>
  <c r="W5" i="63"/>
  <c r="W4" i="63"/>
  <c r="B7" i="64" l="1"/>
  <c r="C7" i="64"/>
  <c r="D7" i="64"/>
  <c r="E7" i="64"/>
  <c r="F7" i="64"/>
  <c r="G7" i="64"/>
  <c r="H7" i="64"/>
  <c r="B15" i="63"/>
  <c r="B14" i="63"/>
  <c r="B13" i="63"/>
  <c r="B12" i="63"/>
  <c r="B11" i="63"/>
  <c r="B10" i="63"/>
  <c r="B9" i="63"/>
  <c r="B8" i="63"/>
  <c r="B7" i="63"/>
  <c r="B6" i="63"/>
  <c r="B5" i="63"/>
  <c r="B4" i="63"/>
  <c r="C15" i="63"/>
  <c r="C14" i="63"/>
  <c r="C13" i="63"/>
  <c r="C12" i="63"/>
  <c r="C11" i="63"/>
  <c r="C10" i="63"/>
  <c r="C9" i="63"/>
  <c r="C8" i="63"/>
  <c r="C7" i="63"/>
  <c r="C6" i="63"/>
  <c r="C5" i="63"/>
  <c r="C4" i="63"/>
  <c r="D15" i="63"/>
  <c r="D14" i="63"/>
  <c r="D13" i="63"/>
  <c r="D12" i="63"/>
  <c r="D11" i="63"/>
  <c r="D10" i="63"/>
  <c r="D9" i="63"/>
  <c r="D8" i="63"/>
  <c r="D7" i="63"/>
  <c r="D6" i="63"/>
  <c r="D5" i="63"/>
  <c r="D4" i="63"/>
  <c r="E15" i="63"/>
  <c r="E14" i="63"/>
  <c r="E13" i="63"/>
  <c r="E12" i="63"/>
  <c r="E11" i="63"/>
  <c r="E10" i="63"/>
  <c r="E9" i="63"/>
  <c r="E8" i="63"/>
  <c r="E7" i="63"/>
  <c r="E6" i="63"/>
  <c r="E5" i="63"/>
  <c r="E4" i="63"/>
  <c r="F15" i="63"/>
  <c r="F14" i="63"/>
  <c r="F13" i="63"/>
  <c r="F12" i="63"/>
  <c r="F11" i="63"/>
  <c r="F10" i="63"/>
  <c r="F9" i="63"/>
  <c r="F8" i="63"/>
  <c r="F7" i="63"/>
  <c r="F6" i="63"/>
  <c r="F5" i="63"/>
  <c r="F4" i="63"/>
  <c r="G15" i="63"/>
  <c r="G14" i="63"/>
  <c r="G13" i="63"/>
  <c r="G12" i="63"/>
  <c r="G11" i="63"/>
  <c r="G10" i="63"/>
  <c r="G9" i="63"/>
  <c r="G8" i="63"/>
  <c r="G7" i="63"/>
  <c r="G6" i="63"/>
  <c r="G5" i="63"/>
  <c r="G4" i="63"/>
  <c r="H6" i="63"/>
  <c r="H7" i="63"/>
  <c r="H8" i="63"/>
  <c r="H9" i="63"/>
  <c r="H10" i="63"/>
  <c r="H11" i="63"/>
  <c r="H12" i="63"/>
  <c r="H13" i="63"/>
  <c r="H14" i="63"/>
  <c r="H15" i="63"/>
  <c r="H5" i="63"/>
  <c r="H4" i="63"/>
  <c r="BZ18" i="46" l="1"/>
  <c r="Y8" i="63"/>
  <c r="CG8" i="63" s="1"/>
  <c r="Y7" i="63"/>
  <c r="CG7" i="63" s="1"/>
  <c r="Y6" i="63"/>
  <c r="CG6" i="63" s="1"/>
  <c r="Y5" i="63"/>
  <c r="CG5" i="63" s="1"/>
  <c r="Y4" i="63"/>
  <c r="CG4" i="63" s="1"/>
  <c r="Y17" i="63" l="1"/>
  <c r="Z21" i="64"/>
  <c r="CB18" i="67"/>
  <c r="Z22" i="64" l="1"/>
  <c r="BZ18" i="67"/>
  <c r="CA18" i="67"/>
  <c r="BY18" i="67"/>
  <c r="BX18" i="67"/>
  <c r="AA21" i="64"/>
  <c r="CH21" i="64" s="1"/>
  <c r="Y21" i="64"/>
  <c r="AA22" i="64" l="1"/>
  <c r="CI21" i="64"/>
  <c r="BZ21" i="64"/>
  <c r="CD21" i="64"/>
  <c r="CA21" i="64"/>
  <c r="CE21" i="64"/>
  <c r="BX21" i="64"/>
  <c r="CB21" i="64"/>
  <c r="CF21" i="64"/>
  <c r="BY21" i="64"/>
  <c r="CG21" i="64"/>
  <c r="CC21" i="64"/>
  <c r="Z23" i="64"/>
  <c r="CH22" i="64"/>
  <c r="X14" i="63"/>
  <c r="X5" i="63"/>
  <c r="X6" i="63"/>
  <c r="X7" i="63"/>
  <c r="X8" i="63"/>
  <c r="X9" i="63"/>
  <c r="X10" i="63"/>
  <c r="X11" i="63"/>
  <c r="X12" i="63"/>
  <c r="X13" i="63"/>
  <c r="X4" i="63"/>
  <c r="X15" i="63"/>
  <c r="U15" i="63"/>
  <c r="U14" i="63"/>
  <c r="U13" i="63"/>
  <c r="U12" i="63"/>
  <c r="U11" i="63"/>
  <c r="U10" i="63"/>
  <c r="U9" i="63"/>
  <c r="U8" i="63"/>
  <c r="U7" i="63"/>
  <c r="U6" i="63"/>
  <c r="U5" i="63"/>
  <c r="U4" i="63"/>
  <c r="R15" i="63"/>
  <c r="BZ15" i="63" s="1"/>
  <c r="R14" i="63"/>
  <c r="R13" i="63"/>
  <c r="R12" i="63"/>
  <c r="R11" i="63"/>
  <c r="R10" i="63"/>
  <c r="R9" i="63"/>
  <c r="R8" i="63"/>
  <c r="BZ8" i="63" s="1"/>
  <c r="R7" i="63"/>
  <c r="BZ7" i="63" s="1"/>
  <c r="R6" i="63"/>
  <c r="R5" i="63"/>
  <c r="R4" i="63"/>
  <c r="Q15" i="63"/>
  <c r="Q14" i="63"/>
  <c r="Q13" i="63"/>
  <c r="Q12" i="63"/>
  <c r="Q11" i="63"/>
  <c r="Q10" i="63"/>
  <c r="Q9" i="63"/>
  <c r="Q8" i="63"/>
  <c r="Q7" i="63"/>
  <c r="Q6" i="63"/>
  <c r="Q5" i="63"/>
  <c r="Q4" i="63"/>
  <c r="P15" i="63"/>
  <c r="P14" i="63"/>
  <c r="P13" i="63"/>
  <c r="P12" i="63"/>
  <c r="P11" i="63"/>
  <c r="P10" i="63"/>
  <c r="P9" i="63"/>
  <c r="P8" i="63"/>
  <c r="P7" i="63"/>
  <c r="P6" i="63"/>
  <c r="P5" i="63"/>
  <c r="P4" i="63"/>
  <c r="O15" i="63"/>
  <c r="O14" i="63"/>
  <c r="O13" i="63"/>
  <c r="O12" i="63"/>
  <c r="O11" i="63"/>
  <c r="O10" i="63"/>
  <c r="O9" i="63"/>
  <c r="O8" i="63"/>
  <c r="O7" i="63"/>
  <c r="O6" i="63"/>
  <c r="O5" i="63"/>
  <c r="O4" i="63"/>
  <c r="N15" i="63"/>
  <c r="N14" i="63"/>
  <c r="BV14" i="63" s="1"/>
  <c r="N13" i="63"/>
  <c r="N12" i="63"/>
  <c r="N11" i="63"/>
  <c r="N10" i="63"/>
  <c r="N9" i="63"/>
  <c r="N8" i="63"/>
  <c r="BV8" i="63" s="1"/>
  <c r="N7" i="63"/>
  <c r="N6" i="63"/>
  <c r="N5" i="63"/>
  <c r="N4" i="63"/>
  <c r="M15" i="63"/>
  <c r="M14" i="63"/>
  <c r="M13" i="63"/>
  <c r="M12" i="63"/>
  <c r="M11" i="63"/>
  <c r="M10" i="63"/>
  <c r="M9" i="63"/>
  <c r="M8" i="63"/>
  <c r="M7" i="63"/>
  <c r="M6" i="63"/>
  <c r="M5" i="63"/>
  <c r="M4" i="63"/>
  <c r="L15" i="63"/>
  <c r="L14" i="63"/>
  <c r="BT14" i="63" s="1"/>
  <c r="L13" i="63"/>
  <c r="L12" i="63"/>
  <c r="L11" i="63"/>
  <c r="L10" i="63"/>
  <c r="L9" i="63"/>
  <c r="L8" i="63"/>
  <c r="L7" i="63"/>
  <c r="L6" i="63"/>
  <c r="L5" i="63"/>
  <c r="L4" i="63"/>
  <c r="K15" i="63"/>
  <c r="K14" i="63"/>
  <c r="K13" i="63"/>
  <c r="K12" i="63"/>
  <c r="K11" i="63"/>
  <c r="K10" i="63"/>
  <c r="BS10" i="63" s="1"/>
  <c r="K9" i="63"/>
  <c r="K8" i="63"/>
  <c r="K7" i="63"/>
  <c r="K6" i="63"/>
  <c r="K5" i="63"/>
  <c r="K4" i="63"/>
  <c r="J15" i="63"/>
  <c r="BR15" i="63" s="1"/>
  <c r="J14" i="63"/>
  <c r="J13" i="63"/>
  <c r="J12" i="63"/>
  <c r="J11" i="63"/>
  <c r="J10" i="63"/>
  <c r="J9" i="63"/>
  <c r="J8" i="63"/>
  <c r="J7" i="63"/>
  <c r="J6" i="63"/>
  <c r="J5" i="63"/>
  <c r="J4" i="63"/>
  <c r="I15" i="63"/>
  <c r="I14" i="63"/>
  <c r="I13" i="63"/>
  <c r="I12" i="63"/>
  <c r="I11" i="63"/>
  <c r="I10" i="63"/>
  <c r="I9" i="63"/>
  <c r="I8" i="63"/>
  <c r="I7" i="63"/>
  <c r="I6" i="63"/>
  <c r="I5" i="63"/>
  <c r="I4" i="63"/>
  <c r="H17" i="63"/>
  <c r="G17" i="63"/>
  <c r="F17" i="63"/>
  <c r="E17" i="63"/>
  <c r="D17" i="63"/>
  <c r="C17" i="63"/>
  <c r="B17" i="63"/>
  <c r="BU12" i="63" l="1"/>
  <c r="BY11" i="63"/>
  <c r="BU10" i="63"/>
  <c r="BY10" i="63"/>
  <c r="BW10" i="63"/>
  <c r="BS11" i="63"/>
  <c r="BR14" i="63"/>
  <c r="BT8" i="63"/>
  <c r="BU4" i="63"/>
  <c r="BT6" i="63"/>
  <c r="BV6" i="63"/>
  <c r="BR6" i="63"/>
  <c r="BT7" i="63"/>
  <c r="BR7" i="63"/>
  <c r="BR5" i="63"/>
  <c r="BR13" i="63"/>
  <c r="BS9" i="63"/>
  <c r="BT5" i="63"/>
  <c r="BT13" i="63"/>
  <c r="BU9" i="63"/>
  <c r="BV5" i="63"/>
  <c r="BV13" i="63"/>
  <c r="BV12" i="63"/>
  <c r="BW8" i="63"/>
  <c r="BY8" i="63"/>
  <c r="BX14" i="63"/>
  <c r="BZ14" i="63"/>
  <c r="BS7" i="63"/>
  <c r="BS15" i="63"/>
  <c r="BT11" i="63"/>
  <c r="BU7" i="63"/>
  <c r="BU15" i="63"/>
  <c r="BV11" i="63"/>
  <c r="BW7" i="63"/>
  <c r="BW15" i="63"/>
  <c r="BX11" i="63"/>
  <c r="BY7" i="63"/>
  <c r="BY15" i="63"/>
  <c r="BX12" i="63"/>
  <c r="BR11" i="63"/>
  <c r="BR12" i="63"/>
  <c r="BT4" i="63"/>
  <c r="BT12" i="63"/>
  <c r="BU8" i="63"/>
  <c r="BT15" i="63"/>
  <c r="BU11" i="63"/>
  <c r="BV7" i="63"/>
  <c r="BV15" i="63"/>
  <c r="BW11" i="63"/>
  <c r="BX7" i="63"/>
  <c r="BX15" i="63"/>
  <c r="BY12" i="63"/>
  <c r="BX8" i="63"/>
  <c r="BW12" i="63"/>
  <c r="BZ11" i="63"/>
  <c r="BR4" i="63"/>
  <c r="BS8" i="63"/>
  <c r="BZ12" i="63"/>
  <c r="BV4" i="63"/>
  <c r="BX6" i="63"/>
  <c r="BZ6" i="63"/>
  <c r="BR8" i="63"/>
  <c r="BS12" i="63"/>
  <c r="BW4" i="63"/>
  <c r="BY4" i="63"/>
  <c r="BS4" i="63"/>
  <c r="BR9" i="63"/>
  <c r="BS5" i="63"/>
  <c r="BS13" i="63"/>
  <c r="BT9" i="63"/>
  <c r="BU5" i="63"/>
  <c r="BU13" i="63"/>
  <c r="BV9" i="63"/>
  <c r="BR10" i="63"/>
  <c r="BS6" i="63"/>
  <c r="BS14" i="63"/>
  <c r="BT10" i="63"/>
  <c r="BU6" i="63"/>
  <c r="BU14" i="63"/>
  <c r="BV10" i="63"/>
  <c r="BW6" i="63"/>
  <c r="BW14" i="63"/>
  <c r="BX10" i="63"/>
  <c r="BY6" i="63"/>
  <c r="BY14" i="63"/>
  <c r="BZ10" i="63"/>
  <c r="BX4" i="63"/>
  <c r="BZ4" i="63"/>
  <c r="BQ14" i="63"/>
  <c r="BP14" i="63"/>
  <c r="BN14" i="63"/>
  <c r="BJ14" i="63"/>
  <c r="BO14" i="63"/>
  <c r="BK14" i="63"/>
  <c r="BM14" i="63"/>
  <c r="BL14" i="63"/>
  <c r="CA14" i="63"/>
  <c r="CB14" i="63"/>
  <c r="CC14" i="63"/>
  <c r="CF9" i="63"/>
  <c r="CD9" i="63"/>
  <c r="CE9" i="63"/>
  <c r="BQ7" i="63"/>
  <c r="BL7" i="63"/>
  <c r="BM7" i="63"/>
  <c r="BN7" i="63"/>
  <c r="BJ7" i="63"/>
  <c r="BP7" i="63"/>
  <c r="BO7" i="63"/>
  <c r="BK7" i="63"/>
  <c r="BQ11" i="63"/>
  <c r="BO11" i="63"/>
  <c r="BK11" i="63"/>
  <c r="BM11" i="63"/>
  <c r="BL11" i="63"/>
  <c r="BP11" i="63"/>
  <c r="BN11" i="63"/>
  <c r="BJ11" i="63"/>
  <c r="BQ15" i="63"/>
  <c r="BN15" i="63"/>
  <c r="BJ15" i="63"/>
  <c r="BP15" i="63"/>
  <c r="BO15" i="63"/>
  <c r="BK15" i="63"/>
  <c r="BM15" i="63"/>
  <c r="BL15" i="63"/>
  <c r="CA7" i="63"/>
  <c r="CC7" i="63"/>
  <c r="CB7" i="63"/>
  <c r="CA11" i="63"/>
  <c r="CB11" i="63"/>
  <c r="CC11" i="63"/>
  <c r="CA15" i="63"/>
  <c r="CB15" i="63"/>
  <c r="CC15" i="63"/>
  <c r="CF12" i="63"/>
  <c r="CE12" i="63"/>
  <c r="CD12" i="63"/>
  <c r="CF8" i="63"/>
  <c r="CD8" i="63"/>
  <c r="CE8" i="63"/>
  <c r="CF14" i="63"/>
  <c r="CD14" i="63"/>
  <c r="CE14" i="63"/>
  <c r="BQ6" i="63"/>
  <c r="BL6" i="63"/>
  <c r="BM6" i="63"/>
  <c r="BJ6" i="63"/>
  <c r="BO6" i="63"/>
  <c r="BK6" i="63"/>
  <c r="BP6" i="63"/>
  <c r="BN6" i="63"/>
  <c r="CC6" i="63"/>
  <c r="CA6" i="63"/>
  <c r="CB6" i="63"/>
  <c r="CF13" i="63"/>
  <c r="CD13" i="63"/>
  <c r="CE13" i="63"/>
  <c r="BQ4" i="63"/>
  <c r="BP4" i="63"/>
  <c r="BL4" i="63"/>
  <c r="BJ4" i="63"/>
  <c r="BO4" i="63"/>
  <c r="BK4" i="63"/>
  <c r="BM4" i="63"/>
  <c r="BN4" i="63"/>
  <c r="BQ8" i="63"/>
  <c r="BL8" i="63"/>
  <c r="BO8" i="63"/>
  <c r="BK8" i="63"/>
  <c r="BN8" i="63"/>
  <c r="BJ8" i="63"/>
  <c r="BM8" i="63"/>
  <c r="BP8" i="63"/>
  <c r="BQ12" i="63"/>
  <c r="BN12" i="63"/>
  <c r="BJ12" i="63"/>
  <c r="BM12" i="63"/>
  <c r="BL12" i="63"/>
  <c r="BO12" i="63"/>
  <c r="BK12" i="63"/>
  <c r="BP12" i="63"/>
  <c r="CC4" i="63"/>
  <c r="CA4" i="63"/>
  <c r="CB4" i="63"/>
  <c r="CB8" i="63"/>
  <c r="CC8" i="63"/>
  <c r="CA8" i="63"/>
  <c r="CC12" i="63"/>
  <c r="CA12" i="63"/>
  <c r="CB12" i="63"/>
  <c r="CF15" i="63"/>
  <c r="CD15" i="63"/>
  <c r="CE15" i="63"/>
  <c r="CF11" i="63"/>
  <c r="CE11" i="63"/>
  <c r="CD11" i="63"/>
  <c r="CF7" i="63"/>
  <c r="CE7" i="63"/>
  <c r="CD7" i="63"/>
  <c r="BQ10" i="63"/>
  <c r="BO10" i="63"/>
  <c r="BK10" i="63"/>
  <c r="BM10" i="63"/>
  <c r="BP10" i="63"/>
  <c r="BL10" i="63"/>
  <c r="BN10" i="63"/>
  <c r="BJ10" i="63"/>
  <c r="CA10" i="63"/>
  <c r="CB10" i="63"/>
  <c r="CC10" i="63"/>
  <c r="CF5" i="63"/>
  <c r="CD5" i="63"/>
  <c r="CE5" i="63"/>
  <c r="BQ5" i="63"/>
  <c r="BO5" i="63"/>
  <c r="BK5" i="63"/>
  <c r="BP5" i="63"/>
  <c r="BL5" i="63"/>
  <c r="BM5" i="63"/>
  <c r="BN5" i="63"/>
  <c r="BJ5" i="63"/>
  <c r="BQ9" i="63"/>
  <c r="BN9" i="63"/>
  <c r="BJ9" i="63"/>
  <c r="BO9" i="63"/>
  <c r="BK9" i="63"/>
  <c r="BM9" i="63"/>
  <c r="BP9" i="63"/>
  <c r="BL9" i="63"/>
  <c r="BQ13" i="63"/>
  <c r="BP13" i="63"/>
  <c r="BM13" i="63"/>
  <c r="BO13" i="63"/>
  <c r="BK13" i="63"/>
  <c r="BN13" i="63"/>
  <c r="BJ13" i="63"/>
  <c r="BL13" i="63"/>
  <c r="BW5" i="63"/>
  <c r="BW9" i="63"/>
  <c r="BW13" i="63"/>
  <c r="BX5" i="63"/>
  <c r="BX9" i="63"/>
  <c r="BX13" i="63"/>
  <c r="BY5" i="63"/>
  <c r="BY9" i="63"/>
  <c r="BY13" i="63"/>
  <c r="BZ5" i="63"/>
  <c r="BZ9" i="63"/>
  <c r="BZ13" i="63"/>
  <c r="CA5" i="63"/>
  <c r="CB5" i="63"/>
  <c r="CC5" i="63"/>
  <c r="CC9" i="63"/>
  <c r="CA9" i="63"/>
  <c r="CB9" i="63"/>
  <c r="CB13" i="63"/>
  <c r="CC13" i="63"/>
  <c r="CA13" i="63"/>
  <c r="CF4" i="63"/>
  <c r="CE4" i="63"/>
  <c r="CD4" i="63"/>
  <c r="CF10" i="63"/>
  <c r="CE10" i="63"/>
  <c r="CD10" i="63"/>
  <c r="CF6" i="63"/>
  <c r="CD6" i="63"/>
  <c r="CE6" i="63"/>
  <c r="Z19" i="63"/>
  <c r="AA23" i="64"/>
  <c r="CI22" i="64"/>
  <c r="I17" i="63"/>
  <c r="J17" i="63"/>
  <c r="L17" i="63"/>
  <c r="M17" i="63"/>
  <c r="K17" i="63"/>
  <c r="O17" i="63"/>
  <c r="Q17" i="63"/>
  <c r="U17" i="63"/>
  <c r="W17" i="63"/>
  <c r="N17" i="63"/>
  <c r="P17" i="63"/>
  <c r="R17" i="63"/>
  <c r="X17" i="63"/>
  <c r="BZ17" i="63" l="1"/>
  <c r="BU17" i="63"/>
  <c r="BM17" i="63"/>
  <c r="BS17" i="63"/>
  <c r="BQ17" i="63"/>
  <c r="BJ17" i="63"/>
  <c r="BK17" i="63"/>
  <c r="BL17" i="63"/>
  <c r="BY17" i="63"/>
  <c r="BT17" i="63"/>
  <c r="AA19" i="63"/>
  <c r="CI19" i="63" s="1"/>
  <c r="CI23" i="64"/>
  <c r="CA17" i="63"/>
  <c r="CB17" i="63"/>
  <c r="BX17" i="63"/>
  <c r="BV17" i="63"/>
  <c r="BW17" i="63"/>
  <c r="BR17" i="63"/>
  <c r="CH23" i="64"/>
  <c r="BN17" i="63"/>
  <c r="BP17" i="63"/>
  <c r="BO17" i="63"/>
  <c r="AD17" i="63"/>
  <c r="CE17" i="63" s="1"/>
  <c r="Y30" i="65"/>
  <c r="CG30" i="65" s="1"/>
  <c r="W30" i="65"/>
  <c r="P30" i="65"/>
  <c r="O30" i="65"/>
  <c r="N30" i="65"/>
  <c r="M30" i="65"/>
  <c r="L30" i="65"/>
  <c r="K30" i="65"/>
  <c r="J30" i="65"/>
  <c r="I30" i="65"/>
  <c r="H30" i="65"/>
  <c r="G30" i="65"/>
  <c r="F30" i="65"/>
  <c r="E30" i="65"/>
  <c r="D30" i="65"/>
  <c r="C30" i="65"/>
  <c r="B30" i="65"/>
  <c r="Y29" i="65"/>
  <c r="CG29" i="65" s="1"/>
  <c r="CB18" i="60"/>
  <c r="P29" i="65"/>
  <c r="O29" i="65"/>
  <c r="N29" i="65"/>
  <c r="M29" i="65"/>
  <c r="L29" i="65"/>
  <c r="K29" i="65"/>
  <c r="J29" i="65"/>
  <c r="I29" i="65"/>
  <c r="H29" i="65"/>
  <c r="G29" i="65"/>
  <c r="F29" i="65"/>
  <c r="E29" i="65"/>
  <c r="D29" i="65"/>
  <c r="C29" i="65"/>
  <c r="B29" i="65"/>
  <c r="Y28" i="65"/>
  <c r="CG28" i="65" s="1"/>
  <c r="P28" i="65"/>
  <c r="O28" i="65"/>
  <c r="N28" i="65"/>
  <c r="M28" i="65"/>
  <c r="L28" i="65"/>
  <c r="K28" i="65"/>
  <c r="J28" i="65"/>
  <c r="I28" i="65"/>
  <c r="H28" i="65"/>
  <c r="G28" i="65"/>
  <c r="F28" i="65"/>
  <c r="E28" i="65"/>
  <c r="Y23" i="65"/>
  <c r="CG23" i="65" s="1"/>
  <c r="X23" i="65"/>
  <c r="W23" i="65"/>
  <c r="P23" i="65"/>
  <c r="O23" i="65"/>
  <c r="N23" i="65"/>
  <c r="M23" i="65"/>
  <c r="Y24" i="65"/>
  <c r="CG24" i="65" s="1"/>
  <c r="X24" i="65"/>
  <c r="W24" i="65"/>
  <c r="P24" i="65"/>
  <c r="O24" i="65"/>
  <c r="N24" i="65"/>
  <c r="M24" i="65"/>
  <c r="L24" i="65"/>
  <c r="K24" i="65"/>
  <c r="J24" i="65"/>
  <c r="I24" i="65"/>
  <c r="H24" i="65"/>
  <c r="G24" i="65"/>
  <c r="F24" i="65"/>
  <c r="E24" i="65"/>
  <c r="D24" i="65"/>
  <c r="C24" i="65"/>
  <c r="B24" i="65"/>
  <c r="Y22" i="65"/>
  <c r="CG22" i="65" s="1"/>
  <c r="W22" i="65"/>
  <c r="P22" i="65"/>
  <c r="O22" i="65"/>
  <c r="N22" i="65"/>
  <c r="M22" i="65"/>
  <c r="L22" i="65"/>
  <c r="K22" i="65"/>
  <c r="J22" i="65"/>
  <c r="I22" i="65"/>
  <c r="H22" i="65"/>
  <c r="G22" i="65"/>
  <c r="Y20" i="64"/>
  <c r="CG20" i="64" s="1"/>
  <c r="P20" i="64"/>
  <c r="O20" i="64"/>
  <c r="N20" i="64"/>
  <c r="M20" i="64"/>
  <c r="L20" i="64"/>
  <c r="K20" i="64"/>
  <c r="J20" i="64"/>
  <c r="I20" i="64"/>
  <c r="H20" i="64"/>
  <c r="G20" i="64"/>
  <c r="F20" i="64"/>
  <c r="E20" i="64"/>
  <c r="D20" i="64"/>
  <c r="C20" i="64"/>
  <c r="B20" i="64"/>
  <c r="Y19" i="64"/>
  <c r="CG19" i="64" s="1"/>
  <c r="W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9" i="64"/>
  <c r="C19" i="64"/>
  <c r="B19" i="64"/>
  <c r="BJ19" i="64" s="1"/>
  <c r="Y18" i="64"/>
  <c r="CG18" i="64" s="1"/>
  <c r="W18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C18" i="64"/>
  <c r="B18" i="64"/>
  <c r="BJ18" i="64" s="1"/>
  <c r="Y17" i="64"/>
  <c r="CG17" i="64" s="1"/>
  <c r="X17" i="64"/>
  <c r="W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BL17" i="64" s="1"/>
  <c r="C17" i="64"/>
  <c r="B17" i="64"/>
  <c r="Y16" i="64"/>
  <c r="CG16" i="64" s="1"/>
  <c r="W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BM16" i="64" s="1"/>
  <c r="D16" i="64"/>
  <c r="C16" i="64"/>
  <c r="B16" i="64"/>
  <c r="Y15" i="64"/>
  <c r="CG15" i="64" s="1"/>
  <c r="W15" i="64"/>
  <c r="O15" i="64"/>
  <c r="N15" i="64"/>
  <c r="M15" i="64"/>
  <c r="L15" i="64"/>
  <c r="K15" i="64"/>
  <c r="J15" i="64"/>
  <c r="I15" i="64"/>
  <c r="H15" i="64"/>
  <c r="G15" i="64"/>
  <c r="F15" i="64"/>
  <c r="E15" i="64"/>
  <c r="BM15" i="64" s="1"/>
  <c r="D15" i="64"/>
  <c r="C15" i="64"/>
  <c r="B15" i="64"/>
  <c r="Y14" i="64"/>
  <c r="CG14" i="64" s="1"/>
  <c r="W14" i="64"/>
  <c r="O14" i="64"/>
  <c r="N14" i="64"/>
  <c r="M14" i="64"/>
  <c r="L14" i="64"/>
  <c r="K14" i="64"/>
  <c r="J14" i="64"/>
  <c r="I14" i="64"/>
  <c r="H14" i="64"/>
  <c r="G14" i="64"/>
  <c r="F14" i="64"/>
  <c r="E14" i="64"/>
  <c r="BM14" i="64" s="1"/>
  <c r="D14" i="64"/>
  <c r="C14" i="64"/>
  <c r="B14" i="64"/>
  <c r="Y18" i="65"/>
  <c r="CG18" i="65" s="1"/>
  <c r="W18" i="65"/>
  <c r="P18" i="65"/>
  <c r="O18" i="65"/>
  <c r="N18" i="65"/>
  <c r="M18" i="65"/>
  <c r="L18" i="65"/>
  <c r="K18" i="65"/>
  <c r="J18" i="65"/>
  <c r="I18" i="65"/>
  <c r="H18" i="65"/>
  <c r="G18" i="65"/>
  <c r="F18" i="65"/>
  <c r="BN18" i="65" s="1"/>
  <c r="E18" i="65"/>
  <c r="D18" i="65"/>
  <c r="C18" i="65"/>
  <c r="B18" i="65"/>
  <c r="Y14" i="65"/>
  <c r="CG14" i="65" s="1"/>
  <c r="X14" i="65"/>
  <c r="W14" i="65"/>
  <c r="U14" i="65"/>
  <c r="R14" i="65"/>
  <c r="Q14" i="65"/>
  <c r="M14" i="65"/>
  <c r="Y20" i="65"/>
  <c r="CG20" i="65" s="1"/>
  <c r="X20" i="65"/>
  <c r="W20" i="65"/>
  <c r="R20" i="65"/>
  <c r="P20" i="65"/>
  <c r="O20" i="65"/>
  <c r="E20" i="65"/>
  <c r="BM20" i="65" s="1"/>
  <c r="D20" i="65"/>
  <c r="C20" i="65"/>
  <c r="BK20" i="65" s="1"/>
  <c r="B20" i="65"/>
  <c r="Y16" i="65"/>
  <c r="CG16" i="65" s="1"/>
  <c r="CC18" i="4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B16" i="65"/>
  <c r="Y8" i="64"/>
  <c r="CG8" i="64" s="1"/>
  <c r="X8" i="64"/>
  <c r="CF8" i="64" s="1"/>
  <c r="W8" i="64"/>
  <c r="O8" i="64"/>
  <c r="N8" i="64"/>
  <c r="M8" i="64"/>
  <c r="L8" i="64"/>
  <c r="K8" i="64"/>
  <c r="J8" i="64"/>
  <c r="I8" i="64"/>
  <c r="H8" i="64"/>
  <c r="G8" i="64"/>
  <c r="F8" i="64"/>
  <c r="E8" i="64"/>
  <c r="BM8" i="64" s="1"/>
  <c r="D8" i="64"/>
  <c r="C8" i="64"/>
  <c r="B8" i="64"/>
  <c r="Y10" i="64"/>
  <c r="CG10" i="64" s="1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B10" i="64"/>
  <c r="Y9" i="64"/>
  <c r="CG9" i="64" s="1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B9" i="64"/>
  <c r="Y7" i="64"/>
  <c r="CG7" i="64" s="1"/>
  <c r="W7" i="64"/>
  <c r="P7" i="64"/>
  <c r="O7" i="64"/>
  <c r="N7" i="64"/>
  <c r="M7" i="64"/>
  <c r="L7" i="64"/>
  <c r="K7" i="64"/>
  <c r="J7" i="64"/>
  <c r="I7" i="64"/>
  <c r="Y6" i="64"/>
  <c r="O6" i="64"/>
  <c r="N6" i="64"/>
  <c r="M6" i="64"/>
  <c r="L6" i="64"/>
  <c r="K6" i="64"/>
  <c r="J6" i="64"/>
  <c r="I6" i="64"/>
  <c r="H6" i="64"/>
  <c r="G6" i="64"/>
  <c r="F6" i="64"/>
  <c r="E6" i="64"/>
  <c r="D6" i="64"/>
  <c r="C6" i="64"/>
  <c r="B6" i="64"/>
  <c r="Y5" i="64"/>
  <c r="CG5" i="64" s="1"/>
  <c r="W5" i="64"/>
  <c r="O5" i="64"/>
  <c r="N5" i="64"/>
  <c r="M5" i="64"/>
  <c r="L5" i="64"/>
  <c r="K5" i="64"/>
  <c r="J5" i="64"/>
  <c r="I5" i="64"/>
  <c r="H5" i="64"/>
  <c r="G5" i="64"/>
  <c r="F5" i="64"/>
  <c r="E5" i="64"/>
  <c r="D5" i="64"/>
  <c r="BL5" i="64" s="1"/>
  <c r="C5" i="64"/>
  <c r="B5" i="64"/>
  <c r="CB18" i="38"/>
  <c r="O10" i="65"/>
  <c r="N10" i="65"/>
  <c r="M10" i="65"/>
  <c r="L10" i="65"/>
  <c r="K10" i="65"/>
  <c r="J10" i="65"/>
  <c r="I10" i="65"/>
  <c r="H10" i="65"/>
  <c r="G10" i="65"/>
  <c r="F10" i="65"/>
  <c r="E10" i="65"/>
  <c r="D10" i="65"/>
  <c r="C10" i="65"/>
  <c r="B10" i="65"/>
  <c r="BL16" i="65" l="1"/>
  <c r="CF24" i="65"/>
  <c r="CF14" i="65"/>
  <c r="CF17" i="64"/>
  <c r="BL6" i="64"/>
  <c r="BL24" i="65"/>
  <c r="BN28" i="65"/>
  <c r="BN29" i="65"/>
  <c r="CH19" i="63"/>
  <c r="BK9" i="64"/>
  <c r="BL10" i="64"/>
  <c r="BJ18" i="65"/>
  <c r="BN18" i="64"/>
  <c r="BN19" i="64"/>
  <c r="BL20" i="64"/>
  <c r="BJ29" i="65"/>
  <c r="BK10" i="65"/>
  <c r="BL20" i="65"/>
  <c r="CF23" i="65"/>
  <c r="BM30" i="65"/>
  <c r="CC17" i="63"/>
  <c r="CD17" i="63"/>
  <c r="CD6" i="64"/>
  <c r="CE6" i="64"/>
  <c r="CG6" i="64"/>
  <c r="CF6" i="64"/>
  <c r="BL10" i="65"/>
  <c r="BM5" i="64"/>
  <c r="BM6" i="64"/>
  <c r="BJ7" i="64"/>
  <c r="BM7" i="64"/>
  <c r="BN7" i="64"/>
  <c r="BO7" i="64"/>
  <c r="BL7" i="64"/>
  <c r="BK7" i="64"/>
  <c r="BL9" i="64"/>
  <c r="BM10" i="64"/>
  <c r="BJ8" i="64"/>
  <c r="BN8" i="64"/>
  <c r="BM16" i="65"/>
  <c r="BZ20" i="65"/>
  <c r="BL14" i="65"/>
  <c r="BN14" i="65"/>
  <c r="BR14" i="65"/>
  <c r="BO14" i="65"/>
  <c r="BT14" i="65"/>
  <c r="BP14" i="65"/>
  <c r="BU14" i="65"/>
  <c r="BQ14" i="65"/>
  <c r="BM14" i="65"/>
  <c r="BS14" i="65"/>
  <c r="CD14" i="65"/>
  <c r="CE14" i="65"/>
  <c r="BK18" i="65"/>
  <c r="BO18" i="65"/>
  <c r="BJ14" i="64"/>
  <c r="BN14" i="64"/>
  <c r="BJ15" i="64"/>
  <c r="BN15" i="64"/>
  <c r="BJ16" i="64"/>
  <c r="BN16" i="64"/>
  <c r="BM17" i="64"/>
  <c r="CD17" i="64"/>
  <c r="CE17" i="64"/>
  <c r="BK18" i="64"/>
  <c r="BK19" i="64"/>
  <c r="BO19" i="64"/>
  <c r="BM20" i="64"/>
  <c r="BM24" i="65"/>
  <c r="CD24" i="65"/>
  <c r="CE24" i="65"/>
  <c r="BO28" i="65"/>
  <c r="BK29" i="65"/>
  <c r="BO29" i="65"/>
  <c r="BJ30" i="65"/>
  <c r="BN30" i="65"/>
  <c r="BJ5" i="64"/>
  <c r="BN5" i="64"/>
  <c r="BJ6" i="64"/>
  <c r="BN6" i="64"/>
  <c r="BM9" i="64"/>
  <c r="BJ10" i="64"/>
  <c r="BN10" i="64"/>
  <c r="BK8" i="64"/>
  <c r="BJ16" i="65"/>
  <c r="BN16" i="65"/>
  <c r="CB20" i="65"/>
  <c r="CE20" i="65"/>
  <c r="CA20" i="65"/>
  <c r="CD20" i="65"/>
  <c r="CC20" i="65"/>
  <c r="BV14" i="65"/>
  <c r="BY14" i="65"/>
  <c r="BW14" i="65"/>
  <c r="BX14" i="65"/>
  <c r="BL18" i="65"/>
  <c r="BK14" i="64"/>
  <c r="BK15" i="64"/>
  <c r="BK16" i="64"/>
  <c r="BO16" i="64"/>
  <c r="BJ17" i="64"/>
  <c r="BN17" i="64"/>
  <c r="BL18" i="64"/>
  <c r="BL19" i="64"/>
  <c r="BP19" i="64"/>
  <c r="BJ20" i="64"/>
  <c r="BN20" i="64"/>
  <c r="BN22" i="65"/>
  <c r="BJ22" i="65"/>
  <c r="BM22" i="65"/>
  <c r="BL22" i="65"/>
  <c r="BO22" i="65"/>
  <c r="BK22" i="65"/>
  <c r="BJ24" i="65"/>
  <c r="BN24" i="65"/>
  <c r="BL29" i="65"/>
  <c r="BK30" i="65"/>
  <c r="BO30" i="65"/>
  <c r="CL17" i="63"/>
  <c r="CK17" i="63"/>
  <c r="CJ17" i="63"/>
  <c r="CI17" i="63"/>
  <c r="CH17" i="63"/>
  <c r="CG17" i="63"/>
  <c r="CF17" i="63"/>
  <c r="CA14" i="65"/>
  <c r="CB14" i="65"/>
  <c r="CC14" i="65"/>
  <c r="BL23" i="65"/>
  <c r="BO23" i="65"/>
  <c r="BN23" i="65"/>
  <c r="BM23" i="65"/>
  <c r="CE23" i="65"/>
  <c r="CD23" i="65"/>
  <c r="BM10" i="65"/>
  <c r="BJ10" i="65"/>
  <c r="BN10" i="65"/>
  <c r="BK5" i="64"/>
  <c r="BK6" i="64"/>
  <c r="BJ9" i="64"/>
  <c r="BN9" i="64"/>
  <c r="BK10" i="64"/>
  <c r="BL8" i="64"/>
  <c r="CD8" i="64"/>
  <c r="CE8" i="64"/>
  <c r="BK16" i="65"/>
  <c r="BO16" i="65"/>
  <c r="BJ20" i="65"/>
  <c r="BO20" i="65"/>
  <c r="BN20" i="65"/>
  <c r="CF20" i="65"/>
  <c r="BZ14" i="65"/>
  <c r="BM18" i="65"/>
  <c r="BL14" i="64"/>
  <c r="BL15" i="64"/>
  <c r="BL16" i="64"/>
  <c r="BK17" i="64"/>
  <c r="BO17" i="64"/>
  <c r="BM18" i="64"/>
  <c r="BM19" i="64"/>
  <c r="BK20" i="64"/>
  <c r="BO20" i="64"/>
  <c r="BK24" i="65"/>
  <c r="BO24" i="65"/>
  <c r="BJ28" i="65"/>
  <c r="BM28" i="65"/>
  <c r="BL28" i="65"/>
  <c r="BK28" i="65"/>
  <c r="BM29" i="65"/>
  <c r="BL30" i="65"/>
  <c r="F31" i="65"/>
  <c r="CC18" i="53"/>
  <c r="CC18" i="39"/>
  <c r="CC18" i="41"/>
  <c r="CC18" i="51"/>
  <c r="CC18" i="56"/>
  <c r="CB18" i="58"/>
  <c r="CC18" i="58"/>
  <c r="CB18" i="42"/>
  <c r="CC18" i="42"/>
  <c r="CB18" i="43"/>
  <c r="CB18" i="44"/>
  <c r="CD18" i="48"/>
  <c r="CB18" i="52"/>
  <c r="CC18" i="52"/>
  <c r="CD18" i="57"/>
  <c r="CB18" i="50"/>
  <c r="CB18" i="54"/>
  <c r="CB18" i="40"/>
  <c r="CB18" i="51"/>
  <c r="CB18" i="55"/>
  <c r="CB18" i="49"/>
  <c r="CB18" i="61"/>
  <c r="CB18" i="39"/>
  <c r="CB18" i="59"/>
  <c r="CB18" i="41"/>
  <c r="CB18" i="56"/>
  <c r="X29" i="65"/>
  <c r="CA18" i="60"/>
  <c r="D11" i="64"/>
  <c r="H11" i="64"/>
  <c r="H23" i="64" s="1"/>
  <c r="W16" i="65"/>
  <c r="CB18" i="45"/>
  <c r="CA18" i="45"/>
  <c r="U14" i="64"/>
  <c r="CA18" i="49"/>
  <c r="U18" i="64"/>
  <c r="CB18" i="53"/>
  <c r="CA18" i="53"/>
  <c r="U23" i="65"/>
  <c r="CA18" i="58"/>
  <c r="U30" i="65"/>
  <c r="CA18" i="61"/>
  <c r="U5" i="64"/>
  <c r="CA18" i="39"/>
  <c r="U15" i="64"/>
  <c r="CA18" i="50"/>
  <c r="U6" i="64"/>
  <c r="CA18" i="40"/>
  <c r="U7" i="64"/>
  <c r="CA18" i="41"/>
  <c r="U16" i="64"/>
  <c r="CA18" i="51"/>
  <c r="W20" i="64"/>
  <c r="CA18" i="55"/>
  <c r="U22" i="65"/>
  <c r="CA18" i="56"/>
  <c r="U19" i="64"/>
  <c r="CA18" i="54"/>
  <c r="W28" i="65"/>
  <c r="CA18" i="59"/>
  <c r="Y10" i="65"/>
  <c r="CA18" i="38"/>
  <c r="W9" i="64"/>
  <c r="CA18" i="42"/>
  <c r="W10" i="64"/>
  <c r="CA18" i="43"/>
  <c r="U8" i="64"/>
  <c r="CA18" i="44"/>
  <c r="U18" i="65"/>
  <c r="CC18" i="48"/>
  <c r="CB18" i="48"/>
  <c r="U17" i="64"/>
  <c r="CA18" i="52"/>
  <c r="CC18" i="57"/>
  <c r="U24" i="65"/>
  <c r="CB18" i="57"/>
  <c r="P10" i="65"/>
  <c r="BX18" i="38"/>
  <c r="P10" i="64"/>
  <c r="BV10" i="64" s="1"/>
  <c r="BX18" i="43"/>
  <c r="P8" i="64"/>
  <c r="BX18" i="44"/>
  <c r="C22" i="64"/>
  <c r="G22" i="64"/>
  <c r="R15" i="64"/>
  <c r="BZ18" i="50"/>
  <c r="R19" i="64"/>
  <c r="BQ19" i="64" s="1"/>
  <c r="BZ18" i="54"/>
  <c r="R28" i="65"/>
  <c r="BZ18" i="59"/>
  <c r="B31" i="65"/>
  <c r="R29" i="65"/>
  <c r="BZ29" i="65" s="1"/>
  <c r="BZ18" i="60"/>
  <c r="R7" i="64"/>
  <c r="BZ18" i="41"/>
  <c r="E11" i="64"/>
  <c r="Q10" i="64"/>
  <c r="BY18" i="43"/>
  <c r="H22" i="64"/>
  <c r="P14" i="64"/>
  <c r="BX18" i="49"/>
  <c r="Q17" i="64"/>
  <c r="BY18" i="52"/>
  <c r="E25" i="65"/>
  <c r="Q24" i="65"/>
  <c r="BP24" i="65" s="1"/>
  <c r="G31" i="65"/>
  <c r="C31" i="65"/>
  <c r="R10" i="65"/>
  <c r="BZ10" i="65" s="1"/>
  <c r="BZ18" i="38"/>
  <c r="P5" i="64"/>
  <c r="BW5" i="64" s="1"/>
  <c r="BX18" i="39"/>
  <c r="B11" i="64"/>
  <c r="F11" i="64"/>
  <c r="R9" i="64"/>
  <c r="BZ18" i="42"/>
  <c r="R10" i="64"/>
  <c r="BZ18" i="43"/>
  <c r="R8" i="64"/>
  <c r="BZ8" i="64" s="1"/>
  <c r="BZ18" i="44"/>
  <c r="Q16" i="65"/>
  <c r="BP16" i="65" s="1"/>
  <c r="BY18" i="45"/>
  <c r="Q20" i="65"/>
  <c r="BY20" i="65" s="1"/>
  <c r="BY18" i="46"/>
  <c r="R18" i="65"/>
  <c r="BZ18" i="48"/>
  <c r="E22" i="64"/>
  <c r="Q14" i="64"/>
  <c r="BY18" i="49"/>
  <c r="P15" i="64"/>
  <c r="BV15" i="64" s="1"/>
  <c r="BX18" i="50"/>
  <c r="R17" i="64"/>
  <c r="BZ17" i="64" s="1"/>
  <c r="BZ18" i="52"/>
  <c r="Q18" i="64"/>
  <c r="BY18" i="53"/>
  <c r="G25" i="65"/>
  <c r="B25" i="65"/>
  <c r="F25" i="65"/>
  <c r="R24" i="65"/>
  <c r="CA18" i="57"/>
  <c r="Q23" i="65"/>
  <c r="BP23" i="65" s="1"/>
  <c r="BY18" i="58"/>
  <c r="H31" i="65"/>
  <c r="D31" i="65"/>
  <c r="Q30" i="65"/>
  <c r="BY18" i="61"/>
  <c r="R5" i="64"/>
  <c r="BZ18" i="39"/>
  <c r="Q6" i="64"/>
  <c r="BY18" i="40"/>
  <c r="Q7" i="64"/>
  <c r="BR7" i="64" s="1"/>
  <c r="BY18" i="41"/>
  <c r="BX18" i="41"/>
  <c r="Q16" i="64"/>
  <c r="BS16" i="64" s="1"/>
  <c r="BY18" i="51"/>
  <c r="Q20" i="64"/>
  <c r="BY18" i="55"/>
  <c r="Q22" i="65"/>
  <c r="BR22" i="65" s="1"/>
  <c r="BY18" i="56"/>
  <c r="D25" i="65"/>
  <c r="Q10" i="65"/>
  <c r="BY18" i="38"/>
  <c r="R6" i="64"/>
  <c r="BZ6" i="64" s="1"/>
  <c r="BZ18" i="40"/>
  <c r="Q9" i="64"/>
  <c r="BY18" i="42"/>
  <c r="Q8" i="64"/>
  <c r="BY8" i="64" s="1"/>
  <c r="BY18" i="44"/>
  <c r="Q18" i="65"/>
  <c r="BY18" i="48"/>
  <c r="D22" i="64"/>
  <c r="R16" i="64"/>
  <c r="BZ18" i="51"/>
  <c r="R20" i="64"/>
  <c r="BZ18" i="55"/>
  <c r="R22" i="65"/>
  <c r="BZ18" i="56"/>
  <c r="Q5" i="64"/>
  <c r="BY18" i="39"/>
  <c r="P6" i="64"/>
  <c r="BX18" i="40"/>
  <c r="C11" i="64"/>
  <c r="G11" i="64"/>
  <c r="R16" i="65"/>
  <c r="BZ18" i="45"/>
  <c r="B22" i="64"/>
  <c r="F22" i="64"/>
  <c r="R14" i="64"/>
  <c r="BZ18" i="49"/>
  <c r="Q15" i="64"/>
  <c r="BY18" i="50"/>
  <c r="R18" i="64"/>
  <c r="BZ18" i="53"/>
  <c r="H25" i="65"/>
  <c r="C25" i="65"/>
  <c r="R23" i="65"/>
  <c r="BZ23" i="65" s="1"/>
  <c r="BZ18" i="58"/>
  <c r="Q28" i="65"/>
  <c r="BU28" i="65" s="1"/>
  <c r="BY18" i="59"/>
  <c r="E31" i="65"/>
  <c r="Q29" i="65"/>
  <c r="BU29" i="65" s="1"/>
  <c r="BY18" i="60"/>
  <c r="R30" i="65"/>
  <c r="BZ18" i="61"/>
  <c r="P9" i="64"/>
  <c r="BP9" i="64" s="1"/>
  <c r="BX18" i="42"/>
  <c r="Y22" i="64"/>
  <c r="CG22" i="64" s="1"/>
  <c r="J31" i="65"/>
  <c r="N31" i="65"/>
  <c r="I25" i="65"/>
  <c r="M25" i="65"/>
  <c r="J25" i="65"/>
  <c r="N25" i="65"/>
  <c r="K31" i="65"/>
  <c r="O31" i="65"/>
  <c r="P18" i="64"/>
  <c r="BO18" i="64" s="1"/>
  <c r="J22" i="64"/>
  <c r="N22" i="64"/>
  <c r="K22" i="64"/>
  <c r="O22" i="64"/>
  <c r="L22" i="64"/>
  <c r="I22" i="64"/>
  <c r="M22" i="64"/>
  <c r="J11" i="64"/>
  <c r="N11" i="64"/>
  <c r="K11" i="64"/>
  <c r="O11" i="64"/>
  <c r="Y25" i="65"/>
  <c r="CG25" i="65" s="1"/>
  <c r="Y31" i="65"/>
  <c r="CG31" i="65" s="1"/>
  <c r="Y11" i="64"/>
  <c r="CG11" i="64" s="1"/>
  <c r="L11" i="64"/>
  <c r="K25" i="65"/>
  <c r="O25" i="65"/>
  <c r="W25" i="65"/>
  <c r="L31" i="65"/>
  <c r="P31" i="65"/>
  <c r="I11" i="64"/>
  <c r="M11" i="64"/>
  <c r="L25" i="65"/>
  <c r="P25" i="65"/>
  <c r="I31" i="65"/>
  <c r="M31" i="65"/>
  <c r="X18" i="64"/>
  <c r="CF18" i="64" s="1"/>
  <c r="X14" i="64"/>
  <c r="CF14" i="64" s="1"/>
  <c r="X28" i="65"/>
  <c r="CF28" i="65" s="1"/>
  <c r="X30" i="65"/>
  <c r="CF30" i="65" s="1"/>
  <c r="X16" i="65"/>
  <c r="CF16" i="65" s="1"/>
  <c r="X5" i="64"/>
  <c r="CF5" i="64" s="1"/>
  <c r="X15" i="64"/>
  <c r="CF15" i="64" s="1"/>
  <c r="X9" i="64"/>
  <c r="CF9" i="64" s="1"/>
  <c r="X10" i="64"/>
  <c r="CF10" i="64" s="1"/>
  <c r="X7" i="64"/>
  <c r="CF7" i="64" s="1"/>
  <c r="X16" i="64"/>
  <c r="CF16" i="64" s="1"/>
  <c r="X22" i="65"/>
  <c r="X19" i="64"/>
  <c r="CF19" i="64" s="1"/>
  <c r="X20" i="64"/>
  <c r="CF20" i="64" s="1"/>
  <c r="X18" i="65"/>
  <c r="CF18" i="65" s="1"/>
  <c r="Y7" i="65"/>
  <c r="CG7" i="65" s="1"/>
  <c r="W7" i="65"/>
  <c r="O7" i="65"/>
  <c r="N7" i="65"/>
  <c r="M7" i="65"/>
  <c r="L7" i="65"/>
  <c r="K7" i="65"/>
  <c r="J7" i="65"/>
  <c r="I7" i="65"/>
  <c r="H7" i="65"/>
  <c r="G7" i="65"/>
  <c r="F7" i="65"/>
  <c r="E7" i="65"/>
  <c r="Y5" i="65"/>
  <c r="W5" i="65"/>
  <c r="P5" i="65"/>
  <c r="O5" i="65"/>
  <c r="N5" i="65"/>
  <c r="M5" i="65"/>
  <c r="L5" i="65"/>
  <c r="K5" i="65"/>
  <c r="J5" i="65"/>
  <c r="I5" i="65"/>
  <c r="H5" i="65"/>
  <c r="G5" i="65"/>
  <c r="F5" i="65"/>
  <c r="E5" i="65"/>
  <c r="D5" i="65"/>
  <c r="C5" i="65"/>
  <c r="B5" i="65"/>
  <c r="Y6" i="65"/>
  <c r="W6" i="65"/>
  <c r="O6" i="65"/>
  <c r="N6" i="65"/>
  <c r="M6" i="65"/>
  <c r="L6" i="65"/>
  <c r="K6" i="65"/>
  <c r="J6" i="65"/>
  <c r="I6" i="65"/>
  <c r="H6" i="65"/>
  <c r="G6" i="65"/>
  <c r="F6" i="65"/>
  <c r="E6" i="65"/>
  <c r="Y9" i="65"/>
  <c r="CG9" i="65" s="1"/>
  <c r="X9" i="65"/>
  <c r="O9" i="65"/>
  <c r="N9" i="65"/>
  <c r="M9" i="65"/>
  <c r="L9" i="65"/>
  <c r="K9" i="65"/>
  <c r="J9" i="65"/>
  <c r="I9" i="65"/>
  <c r="H9" i="65"/>
  <c r="G9" i="65"/>
  <c r="F9" i="65"/>
  <c r="E9" i="65"/>
  <c r="D9" i="65"/>
  <c r="C9" i="65"/>
  <c r="B9" i="65"/>
  <c r="Y8" i="65"/>
  <c r="CG8" i="65" s="1"/>
  <c r="O8" i="65"/>
  <c r="N8" i="65"/>
  <c r="M8" i="65"/>
  <c r="L8" i="65"/>
  <c r="K8" i="65"/>
  <c r="J8" i="65"/>
  <c r="I8" i="65"/>
  <c r="H8" i="65"/>
  <c r="G8" i="65"/>
  <c r="F8" i="65"/>
  <c r="E8" i="65"/>
  <c r="D8" i="65"/>
  <c r="C8" i="65"/>
  <c r="B8" i="65"/>
  <c r="BZ24" i="65" l="1"/>
  <c r="BO9" i="64"/>
  <c r="BW17" i="64"/>
  <c r="BU6" i="64"/>
  <c r="BQ20" i="64"/>
  <c r="BU10" i="65"/>
  <c r="BP10" i="64"/>
  <c r="BT20" i="64"/>
  <c r="CE5" i="64"/>
  <c r="BU9" i="64"/>
  <c r="BT7" i="64"/>
  <c r="BT9" i="64"/>
  <c r="BV30" i="65"/>
  <c r="BR8" i="64"/>
  <c r="BO10" i="64"/>
  <c r="BP17" i="64"/>
  <c r="CE7" i="64"/>
  <c r="BY14" i="64"/>
  <c r="BP15" i="64"/>
  <c r="BS15" i="64"/>
  <c r="CE16" i="64"/>
  <c r="CF9" i="65"/>
  <c r="BS20" i="65"/>
  <c r="BV18" i="65"/>
  <c r="BY10" i="65"/>
  <c r="BS23" i="65"/>
  <c r="BP28" i="65"/>
  <c r="BU24" i="65"/>
  <c r="BR28" i="65"/>
  <c r="BS10" i="65"/>
  <c r="BT22" i="65"/>
  <c r="CD18" i="65"/>
  <c r="BV10" i="65"/>
  <c r="BQ23" i="65"/>
  <c r="BV16" i="65"/>
  <c r="BQ22" i="65"/>
  <c r="BJ8" i="65"/>
  <c r="BN8" i="65"/>
  <c r="BK9" i="65"/>
  <c r="BN6" i="65"/>
  <c r="BJ5" i="65"/>
  <c r="BN5" i="65"/>
  <c r="BZ30" i="65"/>
  <c r="BS24" i="65"/>
  <c r="BX24" i="65"/>
  <c r="BP29" i="65"/>
  <c r="BT18" i="65"/>
  <c r="BT10" i="65"/>
  <c r="CG5" i="65"/>
  <c r="CF5" i="65"/>
  <c r="BN22" i="64"/>
  <c r="BL22" i="64"/>
  <c r="BX14" i="64"/>
  <c r="CA17" i="64"/>
  <c r="CB17" i="64"/>
  <c r="CC17" i="64"/>
  <c r="CB18" i="64"/>
  <c r="CC18" i="64"/>
  <c r="CA18" i="64"/>
  <c r="BP8" i="64"/>
  <c r="BS14" i="64"/>
  <c r="BW19" i="64"/>
  <c r="BK8" i="65"/>
  <c r="BL9" i="65"/>
  <c r="BK5" i="65"/>
  <c r="BO5" i="65"/>
  <c r="BJ7" i="65"/>
  <c r="BK7" i="65"/>
  <c r="BL7" i="65"/>
  <c r="BM7" i="65"/>
  <c r="X25" i="65"/>
  <c r="CF25" i="65" s="1"/>
  <c r="CF22" i="65"/>
  <c r="BY28" i="65"/>
  <c r="BY15" i="64"/>
  <c r="BJ22" i="64"/>
  <c r="BK11" i="64"/>
  <c r="BY5" i="64"/>
  <c r="BZ20" i="64"/>
  <c r="BY22" i="65"/>
  <c r="BY16" i="64"/>
  <c r="BY7" i="64"/>
  <c r="BZ5" i="64"/>
  <c r="BM22" i="64"/>
  <c r="BZ9" i="64"/>
  <c r="BX5" i="64"/>
  <c r="BO31" i="65"/>
  <c r="BJ31" i="65"/>
  <c r="BZ19" i="64"/>
  <c r="BK22" i="64"/>
  <c r="BX10" i="64"/>
  <c r="CC24" i="65"/>
  <c r="CB24" i="65"/>
  <c r="CA24" i="65"/>
  <c r="CA8" i="64"/>
  <c r="CC8" i="64"/>
  <c r="CB8" i="64"/>
  <c r="CB9" i="64"/>
  <c r="CC9" i="64"/>
  <c r="CA9" i="64"/>
  <c r="CE9" i="64"/>
  <c r="CD9" i="64"/>
  <c r="W31" i="65"/>
  <c r="CD28" i="65"/>
  <c r="CC28" i="65"/>
  <c r="CB28" i="65"/>
  <c r="CE28" i="65"/>
  <c r="CA28" i="65"/>
  <c r="CC22" i="65"/>
  <c r="CB22" i="65"/>
  <c r="CA22" i="65"/>
  <c r="CB16" i="64"/>
  <c r="CC16" i="64"/>
  <c r="CA16" i="64"/>
  <c r="CA6" i="64"/>
  <c r="CC6" i="64"/>
  <c r="CB6" i="64"/>
  <c r="CA5" i="64"/>
  <c r="CC5" i="64"/>
  <c r="CB5" i="64"/>
  <c r="CB23" i="65"/>
  <c r="CA23" i="65"/>
  <c r="CC23" i="65"/>
  <c r="CB16" i="65"/>
  <c r="CD16" i="65"/>
  <c r="CC16" i="65"/>
  <c r="CA16" i="65"/>
  <c r="CE16" i="65"/>
  <c r="CB29" i="65"/>
  <c r="CF29" i="65"/>
  <c r="CA29" i="65"/>
  <c r="CE29" i="65"/>
  <c r="CC29" i="65"/>
  <c r="CD29" i="65"/>
  <c r="BX30" i="65"/>
  <c r="BQ28" i="65"/>
  <c r="BP22" i="65"/>
  <c r="BX16" i="64"/>
  <c r="CE15" i="64"/>
  <c r="BP14" i="64"/>
  <c r="BU18" i="65"/>
  <c r="BR20" i="65"/>
  <c r="BW20" i="65"/>
  <c r="BW16" i="65"/>
  <c r="BS6" i="64"/>
  <c r="BS5" i="64"/>
  <c r="BR10" i="65"/>
  <c r="BX20" i="64"/>
  <c r="BU16" i="64"/>
  <c r="BW9" i="64"/>
  <c r="BP5" i="64"/>
  <c r="BW23" i="65"/>
  <c r="BP18" i="64"/>
  <c r="BO15" i="64"/>
  <c r="BO14" i="64"/>
  <c r="BP18" i="65"/>
  <c r="BR16" i="65"/>
  <c r="BS8" i="64"/>
  <c r="BR10" i="64"/>
  <c r="BQ9" i="64"/>
  <c r="BV6" i="64"/>
  <c r="BV5" i="64"/>
  <c r="BQ10" i="65"/>
  <c r="BV28" i="65"/>
  <c r="CE19" i="64"/>
  <c r="BQ16" i="64"/>
  <c r="BT10" i="64"/>
  <c r="BO10" i="65"/>
  <c r="BV23" i="65"/>
  <c r="BQ24" i="65"/>
  <c r="BU20" i="64"/>
  <c r="BS19" i="64"/>
  <c r="BS18" i="64"/>
  <c r="BV16" i="64"/>
  <c r="BV14" i="64"/>
  <c r="BW18" i="65"/>
  <c r="BV8" i="64"/>
  <c r="BU10" i="64"/>
  <c r="BU7" i="64"/>
  <c r="BQ7" i="64"/>
  <c r="BU5" i="64"/>
  <c r="BP10" i="65"/>
  <c r="BT24" i="65"/>
  <c r="BP20" i="64"/>
  <c r="CD16" i="64"/>
  <c r="BP6" i="64"/>
  <c r="BK25" i="65"/>
  <c r="BO25" i="65"/>
  <c r="BK31" i="65"/>
  <c r="BM11" i="64"/>
  <c r="BW6" i="64"/>
  <c r="BT18" i="64"/>
  <c r="BW8" i="64"/>
  <c r="BX17" i="64"/>
  <c r="BW18" i="64"/>
  <c r="BL8" i="65"/>
  <c r="BM9" i="65"/>
  <c r="CE6" i="65"/>
  <c r="CD6" i="65"/>
  <c r="BL5" i="65"/>
  <c r="BN7" i="65"/>
  <c r="BX9" i="64"/>
  <c r="BY29" i="65"/>
  <c r="BY18" i="65"/>
  <c r="BY9" i="64"/>
  <c r="H19" i="63"/>
  <c r="BN25" i="65"/>
  <c r="BY18" i="64"/>
  <c r="BX15" i="64"/>
  <c r="BN11" i="64"/>
  <c r="BY17" i="64"/>
  <c r="BZ7" i="64"/>
  <c r="CA14" i="64"/>
  <c r="CC14" i="64"/>
  <c r="CB14" i="64"/>
  <c r="BT30" i="65"/>
  <c r="BQ29" i="65"/>
  <c r="BX23" i="65"/>
  <c r="BW20" i="64"/>
  <c r="BY19" i="64"/>
  <c r="BU18" i="64"/>
  <c r="BS17" i="64"/>
  <c r="BT16" i="64"/>
  <c r="CD15" i="64"/>
  <c r="CD14" i="64"/>
  <c r="BQ18" i="65"/>
  <c r="BQ20" i="65"/>
  <c r="BV20" i="65"/>
  <c r="BP20" i="65"/>
  <c r="BS16" i="65"/>
  <c r="BW10" i="64"/>
  <c r="BV9" i="64"/>
  <c r="BW7" i="64"/>
  <c r="BO6" i="64"/>
  <c r="BO5" i="64"/>
  <c r="BQ30" i="65"/>
  <c r="BU23" i="65"/>
  <c r="BR23" i="65"/>
  <c r="BR19" i="64"/>
  <c r="BR18" i="65"/>
  <c r="BX20" i="65"/>
  <c r="BT6" i="64"/>
  <c r="BW30" i="65"/>
  <c r="BX29" i="65"/>
  <c r="BX28" i="65"/>
  <c r="BV24" i="65"/>
  <c r="BW22" i="65"/>
  <c r="BV20" i="64"/>
  <c r="BX19" i="64"/>
  <c r="CE18" i="64"/>
  <c r="BO8" i="64"/>
  <c r="BR6" i="64"/>
  <c r="BR5" i="64"/>
  <c r="CE30" i="65"/>
  <c r="CD19" i="64"/>
  <c r="BU15" i="64"/>
  <c r="BS9" i="64"/>
  <c r="BW29" i="65"/>
  <c r="BW28" i="65"/>
  <c r="BU17" i="64"/>
  <c r="BR16" i="64"/>
  <c r="BR15" i="64"/>
  <c r="BR14" i="64"/>
  <c r="BS18" i="65"/>
  <c r="BU16" i="65"/>
  <c r="BQ10" i="64"/>
  <c r="BP7" i="64"/>
  <c r="BQ5" i="64"/>
  <c r="CE22" i="65"/>
  <c r="BV19" i="64"/>
  <c r="BQ15" i="64"/>
  <c r="BT5" i="64"/>
  <c r="BL31" i="65"/>
  <c r="BM25" i="65"/>
  <c r="BN31" i="65"/>
  <c r="BT14" i="64"/>
  <c r="BR17" i="64"/>
  <c r="BR29" i="65"/>
  <c r="BQ8" i="64"/>
  <c r="BQ14" i="64"/>
  <c r="BM8" i="65"/>
  <c r="BJ9" i="65"/>
  <c r="BN9" i="65"/>
  <c r="BK6" i="65"/>
  <c r="BJ6" i="65"/>
  <c r="BL6" i="65"/>
  <c r="BM6" i="65"/>
  <c r="CG6" i="65"/>
  <c r="CF6" i="65"/>
  <c r="BM5" i="65"/>
  <c r="CD5" i="65"/>
  <c r="CE5" i="65"/>
  <c r="BX18" i="64"/>
  <c r="BM31" i="65"/>
  <c r="BZ18" i="64"/>
  <c r="BZ14" i="64"/>
  <c r="BZ16" i="65"/>
  <c r="BX6" i="64"/>
  <c r="BZ22" i="65"/>
  <c r="BZ16" i="64"/>
  <c r="BL25" i="65"/>
  <c r="BY20" i="64"/>
  <c r="BY6" i="64"/>
  <c r="BY30" i="65"/>
  <c r="BY23" i="65"/>
  <c r="BJ25" i="65"/>
  <c r="BZ18" i="65"/>
  <c r="BY16" i="65"/>
  <c r="BZ10" i="64"/>
  <c r="BJ11" i="64"/>
  <c r="BY24" i="65"/>
  <c r="BY10" i="64"/>
  <c r="BZ28" i="65"/>
  <c r="BZ15" i="64"/>
  <c r="BX8" i="64"/>
  <c r="BX10" i="65"/>
  <c r="CC18" i="65"/>
  <c r="CB18" i="65"/>
  <c r="CA18" i="65"/>
  <c r="CD10" i="64"/>
  <c r="CA10" i="64"/>
  <c r="CE10" i="64"/>
  <c r="CC10" i="64"/>
  <c r="CB10" i="64"/>
  <c r="CA10" i="65"/>
  <c r="CE10" i="65"/>
  <c r="CB10" i="65"/>
  <c r="CF10" i="65"/>
  <c r="CC10" i="65"/>
  <c r="CG10" i="65"/>
  <c r="CD10" i="65"/>
  <c r="CA19" i="64"/>
  <c r="CB19" i="64"/>
  <c r="CC19" i="64"/>
  <c r="W22" i="64"/>
  <c r="CB20" i="64"/>
  <c r="CC20" i="64"/>
  <c r="CD20" i="64"/>
  <c r="CA20" i="64"/>
  <c r="CE20" i="64"/>
  <c r="CB7" i="64"/>
  <c r="CC7" i="64"/>
  <c r="CA7" i="64"/>
  <c r="CA15" i="64"/>
  <c r="CB15" i="64"/>
  <c r="CC15" i="64"/>
  <c r="U31" i="65"/>
  <c r="CC30" i="65"/>
  <c r="CA30" i="65"/>
  <c r="CB30" i="65"/>
  <c r="BL11" i="64"/>
  <c r="BP30" i="65"/>
  <c r="BW24" i="65"/>
  <c r="BX22" i="65"/>
  <c r="BS20" i="64"/>
  <c r="BU19" i="64"/>
  <c r="BQ18" i="64"/>
  <c r="BP16" i="64"/>
  <c r="BT15" i="64"/>
  <c r="CE14" i="64"/>
  <c r="CE18" i="65"/>
  <c r="BU20" i="65"/>
  <c r="BT20" i="65"/>
  <c r="BT8" i="64"/>
  <c r="BS10" i="64"/>
  <c r="BR9" i="64"/>
  <c r="BS7" i="64"/>
  <c r="BV29" i="65"/>
  <c r="BT23" i="65"/>
  <c r="BV18" i="64"/>
  <c r="BT16" i="65"/>
  <c r="CD5" i="64"/>
  <c r="BS30" i="65"/>
  <c r="BT29" i="65"/>
  <c r="BT28" i="65"/>
  <c r="BR24" i="65"/>
  <c r="BS22" i="65"/>
  <c r="BR20" i="64"/>
  <c r="BT19" i="64"/>
  <c r="CD18" i="64"/>
  <c r="BV17" i="64"/>
  <c r="BW16" i="64"/>
  <c r="BW15" i="64"/>
  <c r="BW14" i="64"/>
  <c r="BX18" i="65"/>
  <c r="BV7" i="64"/>
  <c r="CD30" i="65"/>
  <c r="BU22" i="65"/>
  <c r="BR18" i="64"/>
  <c r="BX16" i="65"/>
  <c r="BX7" i="64"/>
  <c r="BR30" i="65"/>
  <c r="BS29" i="65"/>
  <c r="BS28" i="65"/>
  <c r="BV22" i="65"/>
  <c r="BQ17" i="64"/>
  <c r="BQ16" i="65"/>
  <c r="CD7" i="64"/>
  <c r="BQ6" i="64"/>
  <c r="BU30" i="65"/>
  <c r="CD22" i="65"/>
  <c r="BT17" i="64"/>
  <c r="BU14" i="64"/>
  <c r="BU8" i="64"/>
  <c r="BW10" i="65"/>
  <c r="U25" i="65"/>
  <c r="W11" i="64"/>
  <c r="W23" i="64" s="1"/>
  <c r="CB18" i="34"/>
  <c r="CC18" i="35"/>
  <c r="CC18" i="36"/>
  <c r="W8" i="65"/>
  <c r="D23" i="64"/>
  <c r="CB18" i="35"/>
  <c r="CB18" i="36"/>
  <c r="U11" i="64"/>
  <c r="U22" i="64"/>
  <c r="CB18" i="33"/>
  <c r="U8" i="65"/>
  <c r="U6" i="65"/>
  <c r="CA18" i="34"/>
  <c r="C11" i="65"/>
  <c r="CA18" i="35"/>
  <c r="U7" i="65"/>
  <c r="CA18" i="36"/>
  <c r="U9" i="65"/>
  <c r="CA18" i="33"/>
  <c r="B23" i="64"/>
  <c r="R25" i="65"/>
  <c r="Q31" i="65"/>
  <c r="Q8" i="65"/>
  <c r="H11" i="65"/>
  <c r="E23" i="64"/>
  <c r="R9" i="65"/>
  <c r="BZ18" i="33"/>
  <c r="Q6" i="65"/>
  <c r="BY18" i="34"/>
  <c r="E11" i="65"/>
  <c r="Q5" i="65"/>
  <c r="BY18" i="35"/>
  <c r="Q7" i="65"/>
  <c r="BY18" i="36"/>
  <c r="R11" i="64"/>
  <c r="Q22" i="64"/>
  <c r="R22" i="64"/>
  <c r="R31" i="65"/>
  <c r="G23" i="64"/>
  <c r="Q25" i="65"/>
  <c r="F23" i="64"/>
  <c r="P9" i="65"/>
  <c r="BX18" i="33"/>
  <c r="G11" i="65"/>
  <c r="R8" i="65"/>
  <c r="Q9" i="65"/>
  <c r="BY18" i="33"/>
  <c r="P6" i="65"/>
  <c r="BO6" i="65" s="1"/>
  <c r="BX18" i="34"/>
  <c r="D11" i="65"/>
  <c r="P7" i="65"/>
  <c r="BX18" i="36"/>
  <c r="P22" i="64"/>
  <c r="P8" i="65"/>
  <c r="BO8" i="65" s="1"/>
  <c r="R6" i="65"/>
  <c r="BZ6" i="65" s="1"/>
  <c r="BZ18" i="34"/>
  <c r="B11" i="65"/>
  <c r="F11" i="65"/>
  <c r="R5" i="65"/>
  <c r="BZ5" i="65" s="1"/>
  <c r="BZ18" i="35"/>
  <c r="R7" i="65"/>
  <c r="BZ18" i="36"/>
  <c r="Q11" i="64"/>
  <c r="C23" i="64"/>
  <c r="P11" i="64"/>
  <c r="BT11" i="64" s="1"/>
  <c r="Y23" i="64"/>
  <c r="X31" i="65"/>
  <c r="CF31" i="65" s="1"/>
  <c r="N23" i="64"/>
  <c r="X22" i="64"/>
  <c r="CF22" i="64" s="1"/>
  <c r="K23" i="64"/>
  <c r="J23" i="64"/>
  <c r="O23" i="64"/>
  <c r="L23" i="64"/>
  <c r="N11" i="65"/>
  <c r="J11" i="65"/>
  <c r="M23" i="64"/>
  <c r="K11" i="65"/>
  <c r="O11" i="65"/>
  <c r="Y11" i="65"/>
  <c r="I23" i="64"/>
  <c r="L11" i="65"/>
  <c r="I11" i="65"/>
  <c r="M11" i="65"/>
  <c r="W9" i="65"/>
  <c r="X11" i="64"/>
  <c r="CF11" i="64" s="1"/>
  <c r="X8" i="65"/>
  <c r="CF8" i="65" s="1"/>
  <c r="X7" i="65"/>
  <c r="CF7" i="65" s="1"/>
  <c r="CE25" i="65" l="1"/>
  <c r="BY25" i="65"/>
  <c r="BY11" i="64"/>
  <c r="BS31" i="65"/>
  <c r="BU22" i="64"/>
  <c r="BZ11" i="64"/>
  <c r="BR22" i="64"/>
  <c r="BP9" i="65"/>
  <c r="BP6" i="65"/>
  <c r="BX7" i="65"/>
  <c r="BT8" i="65"/>
  <c r="BZ7" i="65"/>
  <c r="BZ25" i="65"/>
  <c r="BT25" i="65"/>
  <c r="CD25" i="65"/>
  <c r="O32" i="65"/>
  <c r="BY5" i="65"/>
  <c r="CD8" i="65"/>
  <c r="CE8" i="65"/>
  <c r="BQ5" i="65"/>
  <c r="BV8" i="65"/>
  <c r="BW5" i="65"/>
  <c r="L32" i="65"/>
  <c r="Y19" i="63"/>
  <c r="CG19" i="63" s="1"/>
  <c r="CG23" i="64"/>
  <c r="F32" i="65"/>
  <c r="BN11" i="65"/>
  <c r="BX8" i="65"/>
  <c r="D32" i="65"/>
  <c r="BL11" i="65"/>
  <c r="BY9" i="65"/>
  <c r="BX9" i="65"/>
  <c r="BZ31" i="65"/>
  <c r="E32" i="65"/>
  <c r="BM11" i="65"/>
  <c r="BZ9" i="65"/>
  <c r="BY31" i="65"/>
  <c r="CB9" i="65"/>
  <c r="CC9" i="65"/>
  <c r="CA9" i="65"/>
  <c r="CA5" i="65"/>
  <c r="CB5" i="65"/>
  <c r="CC5" i="65"/>
  <c r="CC8" i="65"/>
  <c r="CA8" i="65"/>
  <c r="CB8" i="65"/>
  <c r="CB25" i="65"/>
  <c r="CA25" i="65"/>
  <c r="CC25" i="65"/>
  <c r="BW22" i="64"/>
  <c r="BX25" i="65"/>
  <c r="BQ6" i="65"/>
  <c r="BO11" i="64"/>
  <c r="BT7" i="65"/>
  <c r="BT22" i="64"/>
  <c r="BQ31" i="65"/>
  <c r="BX5" i="65"/>
  <c r="BU9" i="65"/>
  <c r="BP8" i="65"/>
  <c r="CE7" i="65"/>
  <c r="BV6" i="65"/>
  <c r="BP25" i="65"/>
  <c r="BV22" i="64"/>
  <c r="BS5" i="65"/>
  <c r="BS6" i="65"/>
  <c r="BO22" i="64"/>
  <c r="BV5" i="65"/>
  <c r="N32" i="65"/>
  <c r="CB11" i="64"/>
  <c r="CA11" i="64"/>
  <c r="CC11" i="64"/>
  <c r="CA31" i="65"/>
  <c r="CB31" i="65"/>
  <c r="CC31" i="65"/>
  <c r="BX31" i="65"/>
  <c r="BT31" i="65"/>
  <c r="BW6" i="65"/>
  <c r="W11" i="65"/>
  <c r="CD9" i="65"/>
  <c r="CE9" i="65"/>
  <c r="BX22" i="64"/>
  <c r="BZ8" i="65"/>
  <c r="F19" i="63"/>
  <c r="BN23" i="64"/>
  <c r="BZ22" i="64"/>
  <c r="BY7" i="65"/>
  <c r="E19" i="63"/>
  <c r="BM23" i="64"/>
  <c r="C32" i="65"/>
  <c r="BK11" i="65"/>
  <c r="BR31" i="65"/>
  <c r="BR11" i="64"/>
  <c r="BW7" i="65"/>
  <c r="BV9" i="65"/>
  <c r="BU8" i="65"/>
  <c r="BW31" i="65"/>
  <c r="BR6" i="65"/>
  <c r="BP11" i="64"/>
  <c r="BV31" i="65"/>
  <c r="BV11" i="64"/>
  <c r="BV7" i="65"/>
  <c r="BT5" i="65"/>
  <c r="BQ9" i="65"/>
  <c r="BU25" i="65"/>
  <c r="CD7" i="65"/>
  <c r="BW9" i="65"/>
  <c r="CE31" i="65"/>
  <c r="CD31" i="65"/>
  <c r="BP22" i="64"/>
  <c r="BQ22" i="64"/>
  <c r="BU11" i="64"/>
  <c r="BU7" i="65"/>
  <c r="BS8" i="65"/>
  <c r="BO9" i="65"/>
  <c r="G19" i="63"/>
  <c r="BY8" i="65"/>
  <c r="CA6" i="65"/>
  <c r="CB6" i="65"/>
  <c r="CC6" i="65"/>
  <c r="CE11" i="64"/>
  <c r="CD11" i="64"/>
  <c r="CD22" i="64"/>
  <c r="CE22" i="64"/>
  <c r="BO7" i="65"/>
  <c r="BU6" i="65"/>
  <c r="BQ11" i="64"/>
  <c r="BR5" i="65"/>
  <c r="M19" i="63"/>
  <c r="L19" i="63"/>
  <c r="BX11" i="64"/>
  <c r="BJ11" i="65"/>
  <c r="M32" i="65"/>
  <c r="M20" i="63" s="1"/>
  <c r="Y32" i="65"/>
  <c r="CG32" i="65" s="1"/>
  <c r="CG11" i="65"/>
  <c r="O19" i="63"/>
  <c r="N19" i="63"/>
  <c r="C19" i="63"/>
  <c r="BK23" i="64"/>
  <c r="BX6" i="65"/>
  <c r="G32" i="65"/>
  <c r="BY22" i="64"/>
  <c r="BY6" i="65"/>
  <c r="H32" i="65"/>
  <c r="B19" i="63"/>
  <c r="BJ23" i="64"/>
  <c r="CA7" i="65"/>
  <c r="CB7" i="65"/>
  <c r="CC7" i="65"/>
  <c r="CB22" i="64"/>
  <c r="CC22" i="64"/>
  <c r="CA22" i="64"/>
  <c r="D19" i="63"/>
  <c r="BL23" i="64"/>
  <c r="BR25" i="65"/>
  <c r="BS25" i="65"/>
  <c r="BS7" i="65"/>
  <c r="BU5" i="65"/>
  <c r="BR9" i="65"/>
  <c r="BQ8" i="65"/>
  <c r="BW11" i="64"/>
  <c r="BS9" i="65"/>
  <c r="BV25" i="65"/>
  <c r="BW25" i="65"/>
  <c r="BR7" i="65"/>
  <c r="BP5" i="65"/>
  <c r="BT6" i="65"/>
  <c r="BW8" i="65"/>
  <c r="BS22" i="64"/>
  <c r="BP7" i="65"/>
  <c r="BP31" i="65"/>
  <c r="BQ25" i="65"/>
  <c r="BS11" i="64"/>
  <c r="BU31" i="65"/>
  <c r="BQ7" i="65"/>
  <c r="BT9" i="65"/>
  <c r="BR8" i="65"/>
  <c r="R23" i="64"/>
  <c r="Q23" i="64"/>
  <c r="U11" i="65"/>
  <c r="U32" i="65" s="1"/>
  <c r="U23" i="64"/>
  <c r="P11" i="65"/>
  <c r="B32" i="65"/>
  <c r="R11" i="65"/>
  <c r="Q11" i="65"/>
  <c r="I32" i="65"/>
  <c r="K32" i="65"/>
  <c r="J32" i="65"/>
  <c r="P23" i="64"/>
  <c r="BP23" i="64" s="1"/>
  <c r="I19" i="63"/>
  <c r="J19" i="63"/>
  <c r="K19" i="63"/>
  <c r="U19" i="63"/>
  <c r="W19" i="63"/>
  <c r="X23" i="64"/>
  <c r="X11" i="65"/>
  <c r="CF11" i="65" s="1"/>
  <c r="Y20" i="63" l="1"/>
  <c r="CG20" i="63" s="1"/>
  <c r="BR11" i="65"/>
  <c r="BJ32" i="65"/>
  <c r="K20" i="63"/>
  <c r="Q19" i="63"/>
  <c r="BY23" i="64"/>
  <c r="G20" i="63"/>
  <c r="CD11" i="65"/>
  <c r="CE11" i="65"/>
  <c r="L20" i="63"/>
  <c r="P32" i="65"/>
  <c r="BX11" i="65"/>
  <c r="R19" i="63"/>
  <c r="BZ23" i="64"/>
  <c r="BU23" i="64"/>
  <c r="BO23" i="64"/>
  <c r="C20" i="63"/>
  <c r="BK32" i="65"/>
  <c r="BS23" i="64"/>
  <c r="O20" i="63"/>
  <c r="X19" i="63"/>
  <c r="CF19" i="63" s="1"/>
  <c r="CF23" i="64"/>
  <c r="BV23" i="64"/>
  <c r="BW11" i="65"/>
  <c r="Q32" i="65"/>
  <c r="BY11" i="65"/>
  <c r="CB23" i="64"/>
  <c r="CC23" i="64"/>
  <c r="CA23" i="64"/>
  <c r="BL19" i="63"/>
  <c r="BJ19" i="63"/>
  <c r="BW23" i="64"/>
  <c r="BV11" i="65"/>
  <c r="E20" i="63"/>
  <c r="BM32" i="65"/>
  <c r="F20" i="63"/>
  <c r="BN32" i="65"/>
  <c r="BS11" i="65"/>
  <c r="CE23" i="64"/>
  <c r="BR19" i="63"/>
  <c r="H20" i="63"/>
  <c r="CD19" i="63"/>
  <c r="P19" i="63"/>
  <c r="BX19" i="63" s="1"/>
  <c r="BX23" i="64"/>
  <c r="W32" i="65"/>
  <c r="BS19" i="63"/>
  <c r="J20" i="63"/>
  <c r="R32" i="65"/>
  <c r="BZ11" i="65"/>
  <c r="CA11" i="65"/>
  <c r="CB11" i="65"/>
  <c r="CC11" i="65"/>
  <c r="BP11" i="65"/>
  <c r="BO11" i="65"/>
  <c r="BK19" i="63"/>
  <c r="BU11" i="65"/>
  <c r="BT23" i="64"/>
  <c r="BQ23" i="64"/>
  <c r="BQ11" i="65"/>
  <c r="BM19" i="63"/>
  <c r="BN19" i="63"/>
  <c r="N20" i="63"/>
  <c r="D20" i="63"/>
  <c r="BL32" i="65"/>
  <c r="BT11" i="65"/>
  <c r="BR23" i="64"/>
  <c r="CD23" i="64"/>
  <c r="B20" i="63"/>
  <c r="I20" i="63"/>
  <c r="U20" i="63"/>
  <c r="X32" i="65"/>
  <c r="CF32" i="65" s="1"/>
  <c r="CE19" i="63" l="1"/>
  <c r="CC19" i="63"/>
  <c r="BW19" i="63"/>
  <c r="BS32" i="65"/>
  <c r="BV32" i="65"/>
  <c r="BP32" i="65"/>
  <c r="BQ32" i="65"/>
  <c r="BT32" i="65"/>
  <c r="BL20" i="63"/>
  <c r="R20" i="63"/>
  <c r="BZ32" i="65"/>
  <c r="W20" i="63"/>
  <c r="CD32" i="65"/>
  <c r="CE32" i="65"/>
  <c r="BN20" i="63"/>
  <c r="BO19" i="63"/>
  <c r="BZ19" i="63"/>
  <c r="BQ19" i="63"/>
  <c r="BT19" i="63"/>
  <c r="BY19" i="63"/>
  <c r="CA32" i="65"/>
  <c r="BK20" i="63"/>
  <c r="CB32" i="65"/>
  <c r="BR32" i="65"/>
  <c r="BU32" i="65"/>
  <c r="BU19" i="63"/>
  <c r="Q20" i="63"/>
  <c r="BY32" i="65"/>
  <c r="BP19" i="63"/>
  <c r="CA19" i="63"/>
  <c r="BO32" i="65"/>
  <c r="CC32" i="65"/>
  <c r="BJ20" i="63"/>
  <c r="BM20" i="63"/>
  <c r="BW32" i="65"/>
  <c r="BV19" i="63"/>
  <c r="P20" i="63"/>
  <c r="BX32" i="65"/>
  <c r="CB19" i="63"/>
  <c r="X20" i="63"/>
  <c r="CF20" i="63" s="1"/>
  <c r="BS20" i="63" l="1"/>
  <c r="BU20" i="63"/>
  <c r="CC20" i="63"/>
  <c r="BP20" i="63"/>
  <c r="BO20" i="63"/>
  <c r="BQ20" i="63"/>
  <c r="BT20" i="63"/>
  <c r="BY20" i="63"/>
  <c r="BV20" i="63"/>
  <c r="CD20" i="63"/>
  <c r="CE20" i="63"/>
  <c r="CB20" i="63"/>
  <c r="CA20" i="63"/>
  <c r="BX20" i="63"/>
  <c r="BR20" i="63"/>
  <c r="BZ20" i="63"/>
  <c r="BW20" i="63"/>
</calcChain>
</file>

<file path=xl/sharedStrings.xml><?xml version="1.0" encoding="utf-8"?>
<sst xmlns="http://schemas.openxmlformats.org/spreadsheetml/2006/main" count="918" uniqueCount="140">
  <si>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</si>
  <si>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</si>
  <si>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</si>
  <si>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</si>
  <si>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</si>
  <si>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</si>
  <si>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</si>
  <si>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</si>
  <si>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</si>
  <si>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</si>
  <si>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</si>
  <si>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</si>
  <si>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Balsam Lake Mountain Wild Forest</t>
  </si>
  <si>
    <t>Sundown Wild Forest</t>
  </si>
  <si>
    <t>Willowemoc Wild Forest</t>
  </si>
  <si>
    <t>Kelly Hollow</t>
  </si>
  <si>
    <t>Alder Lake</t>
  </si>
  <si>
    <t>Biscuit Brook</t>
  </si>
  <si>
    <t>McKenley Hollow</t>
  </si>
  <si>
    <t>Rider Hollow</t>
  </si>
  <si>
    <t>Seager</t>
  </si>
  <si>
    <t>Denning</t>
  </si>
  <si>
    <t>Fox Hollow</t>
  </si>
  <si>
    <t>Giant Ledge</t>
  </si>
  <si>
    <t>Wittenberg</t>
  </si>
  <si>
    <t>Frick Pond</t>
  </si>
  <si>
    <t>Long Pond</t>
  </si>
  <si>
    <t>Onteora Lake</t>
  </si>
  <si>
    <t>Bluestone Wild Forest</t>
  </si>
  <si>
    <t>Shandaken Wild Forest</t>
  </si>
  <si>
    <t>Rochester Hollow</t>
  </si>
  <si>
    <t>KELLY HOLLOW</t>
  </si>
  <si>
    <t>Yearly Totals</t>
  </si>
  <si>
    <t>ALDER LAKE</t>
  </si>
  <si>
    <t>BISCUIT BROOK</t>
  </si>
  <si>
    <t>MCKENLEY HOLLOW</t>
  </si>
  <si>
    <t>Big Indian Wilderness Area</t>
  </si>
  <si>
    <t>RIDER HOLLOW</t>
  </si>
  <si>
    <t>SEAGER</t>
  </si>
  <si>
    <t>Overlook Mountain Wild Forest</t>
  </si>
  <si>
    <t>ROCHESTER HOLLOW</t>
  </si>
  <si>
    <t>Phoenicia-Mount Tobias Wild Forest</t>
  </si>
  <si>
    <t>Slide Mountain Wilderness Area</t>
  </si>
  <si>
    <t>DENNING</t>
  </si>
  <si>
    <t>FOX HOLLOW</t>
  </si>
  <si>
    <t>GIANT LEDGE</t>
  </si>
  <si>
    <t>PEEKAMOOSE</t>
  </si>
  <si>
    <t>SLIDE MOUNTAIN</t>
  </si>
  <si>
    <t>WITTENBERG</t>
  </si>
  <si>
    <t>VERNOOY KILL FALLS</t>
  </si>
  <si>
    <t>FLYNN</t>
  </si>
  <si>
    <t>FRICK POND</t>
  </si>
  <si>
    <t>LONG POND</t>
  </si>
  <si>
    <t>Peekamoose</t>
  </si>
  <si>
    <t>Slide Mt</t>
  </si>
  <si>
    <t>Woodland Valley</t>
  </si>
  <si>
    <t>Overlook Mountain</t>
  </si>
  <si>
    <t>Mount Tremper</t>
  </si>
  <si>
    <t>Ashokan High Point</t>
  </si>
  <si>
    <t>Vernooy Kill</t>
  </si>
  <si>
    <t>Flynn</t>
  </si>
  <si>
    <t>WILDERNESS AREA TOTALS</t>
  </si>
  <si>
    <t>BLM WF TOTALS</t>
  </si>
  <si>
    <t>Sundown WF TOTALS</t>
  </si>
  <si>
    <t>Willowemoc WF TOTALS</t>
  </si>
  <si>
    <t>WILD FOREST TOTALS</t>
  </si>
  <si>
    <t>Wilderness</t>
  </si>
  <si>
    <t>Wild Forest</t>
  </si>
  <si>
    <t>Big Indian WA TOTALS</t>
  </si>
  <si>
    <t>Slide Mt WA TOTALS</t>
  </si>
  <si>
    <t>`</t>
  </si>
  <si>
    <t>LANE STREET</t>
  </si>
  <si>
    <t>Lane Street</t>
  </si>
  <si>
    <t>10-YEAR-AVG-2014</t>
  </si>
  <si>
    <t>10 Year Rolling Averages</t>
  </si>
  <si>
    <t xml:space="preserve">10 YEAR MOVING AVERAGE </t>
  </si>
  <si>
    <t xml:space="preserve">Big Indian Wilderness Area </t>
  </si>
  <si>
    <t>10 YEAR MOVING AVERAGES ---------------------------------</t>
  </si>
  <si>
    <t>TO FIRE TOWER  BLM TH</t>
  </si>
  <si>
    <t>BLM TH BEAVERKILL RD</t>
  </si>
  <si>
    <t xml:space="preserve">Mongaup Hardenburgh Trail </t>
  </si>
  <si>
    <t>10-YEAR-AVG-2015</t>
  </si>
  <si>
    <t>Register Sheets lost for most of 2016.</t>
  </si>
  <si>
    <t>10-YEAR-AVG-2016</t>
  </si>
  <si>
    <t>10-YEAR-AVG- 2016</t>
  </si>
  <si>
    <t>10-YEAR-AVG2016</t>
  </si>
  <si>
    <t xml:space="preserve">3 year average used for 2016 estimations </t>
  </si>
  <si>
    <t xml:space="preserve">10 Year Moving Average </t>
  </si>
  <si>
    <t xml:space="preserve">Trail Register Book Missing from Jan-April  2017 - </t>
  </si>
  <si>
    <t xml:space="preserve">Those months derived from averages. </t>
  </si>
  <si>
    <t xml:space="preserve">average used for 2016 estimations </t>
  </si>
  <si>
    <t xml:space="preserve">Trail Register Book Missing from Jan-April  2016 - </t>
  </si>
  <si>
    <t>10-YEAR-AVG-2017</t>
  </si>
  <si>
    <t>10-YEAR-AVG2017</t>
  </si>
  <si>
    <t>10-YEAR-AVG- 2017</t>
  </si>
  <si>
    <t>no Register for 2017 Jan/Feb/Mar</t>
  </si>
  <si>
    <t>10-YEAR-AVG-2018</t>
  </si>
  <si>
    <t>10 Y+AE3:BC3ear Rolling Averages</t>
  </si>
  <si>
    <t>10-YEAR-AVG2018</t>
  </si>
  <si>
    <t>10-YEAR-AVG- 2018</t>
  </si>
  <si>
    <t>10-YEAR-AVG-2019</t>
  </si>
  <si>
    <t>10-YEAR-AVG-2020</t>
  </si>
  <si>
    <t>10-YEAR-AVG 2019</t>
  </si>
  <si>
    <t xml:space="preserve">MONGAUP POND - Out of Campground </t>
  </si>
  <si>
    <t xml:space="preserve">BEAVERKILL (To Fire Tower) </t>
  </si>
  <si>
    <t>MOUNT TREMPER (Fire Tower)</t>
  </si>
  <si>
    <t>OVERLOOK MOUNTAIN (Fire Tower)</t>
  </si>
  <si>
    <t>RED HILL (Fire Tower)</t>
  </si>
  <si>
    <t xml:space="preserve">DRY BROOK RIDGE - to Lean-to from Dry Brook Parking Area -Millbrook Road </t>
  </si>
  <si>
    <t>HARDENBURGH - Mongaup Hardernburgh Trail from Beaverkill Rd</t>
  </si>
  <si>
    <t xml:space="preserve">WOODLAND VALLEY - to Giant Ledge </t>
  </si>
  <si>
    <t>ASHOKAN HIGH POINT - Kanape</t>
  </si>
  <si>
    <t>Hodge Pond Sign-ins 2020</t>
  </si>
  <si>
    <t>Quaker Clearing (Neversink-Hardenburgh)</t>
  </si>
  <si>
    <t>Dry Brook Ridge (Toward Lean-to)</t>
  </si>
  <si>
    <t xml:space="preserve">Beaverkill (Toward Fire Tower) </t>
  </si>
  <si>
    <t xml:space="preserve">Millbrook (Toward Fire Tower) </t>
  </si>
  <si>
    <t>Hardenburgh (Beaverkill Road)</t>
  </si>
  <si>
    <t>Mongaup Pond (From Campground)</t>
  </si>
  <si>
    <t>Red Hill (Dinch Road)</t>
  </si>
  <si>
    <t>MILLBROOK (Dry Brook Parking Area To Fire Tower - Millbrook Road)</t>
  </si>
  <si>
    <t>10 Year Moving Average</t>
  </si>
  <si>
    <t>Slide Mountain WA</t>
  </si>
  <si>
    <t xml:space="preserve">Big Indian WA </t>
  </si>
  <si>
    <t>Balsam Lake Mountain WF</t>
  </si>
  <si>
    <t>Region 3 Catskill Forest Preserve Trail Head Tally - Annual/Monthly</t>
  </si>
  <si>
    <t xml:space="preserve">Region 3 Catskill Forest Preserve Trail Head Tally - Wilderness Areas </t>
  </si>
  <si>
    <t>Region 3 Catskill Forest Preserve Trailhead Tally - Wild Forest Areas</t>
  </si>
  <si>
    <t xml:space="preserve"> </t>
  </si>
  <si>
    <t>ONTEORA LAKE (Interior Register)</t>
  </si>
  <si>
    <t>Trails End Road</t>
  </si>
  <si>
    <t>Bangle Hill</t>
  </si>
  <si>
    <t>Upper Cherrytown Road</t>
  </si>
  <si>
    <t>Cathedral Glen</t>
  </si>
  <si>
    <t>Belleayre</t>
  </si>
  <si>
    <t xml:space="preserve">QUAKER CLEARING - NEVERSINK/
HARDENBURGH TRAIL from BEAVERKILL </t>
  </si>
  <si>
    <t>comparison (current-previous)</t>
  </si>
  <si>
    <t>Total</t>
  </si>
  <si>
    <r>
      <rPr>
        <b/>
        <u/>
        <sz val="14"/>
        <rFont val="Arial"/>
        <family val="2"/>
      </rPr>
      <t xml:space="preserve">Discrepancies from January 2023 to October 2024.
</t>
    </r>
    <r>
      <rPr>
        <b/>
        <sz val="14"/>
        <rFont val="Arial"/>
        <family val="2"/>
      </rPr>
      <t>Below and on the left is the old data found in the spreadsheet. The data in the table above is the new data input on 3/11/2025 from trail registers.
On the rightside of the table below is a comparison of the data above being subtracted from the data below.</t>
    </r>
  </si>
  <si>
    <t>Woodchuck Hollow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</si>
</sst>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0_)"/>
  </numFmts>
  <fonts count="15" x14ac:knownFonts="1">
    <font>
      <sz val="12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b/>
      <sz val="28"/>
      <name val="Arial"/>
      <family val="2"/>
    </font>
    <font>
      <b/>
      <sz val="32"/>
      <name val="Arial"/>
      <family val="2"/>
    </font>
    <font>
      <b/>
      <u/>
      <sz val="1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9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9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9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37" fontId="0" fillId="0" borderId="0"/>
  </cellStyleXfs>
  <cellXfs count="208">
    <xf numFmtId="37" fontId="0" fillId="0" borderId="0" xfId="0"/>
    <xf numFmtId="37" fontId="1" fillId="5" borderId="0" xfId="0" applyFont="1" applyFill="1"/>
    <xf numFmtId="37" fontId="2" fillId="5" borderId="0" xfId="0" applyFont="1" applyFill="1"/>
    <xf numFmtId="37" fontId="2" fillId="5" borderId="0" xfId="0" applyFont="1" applyFill="1" applyAlignment="1">
      <alignment horizontal="right"/>
    </xf>
    <xf numFmtId="37" fontId="4" fillId="5" borderId="0" xfId="0" applyFont="1" applyFill="1"/>
    <xf numFmtId="37" fontId="5" fillId="5" borderId="0" xfId="0" applyFont="1" applyFill="1"/>
    <xf numFmtId="37" fontId="6" fillId="5" borderId="0" xfId="0" applyFont="1" applyFill="1"/>
    <xf numFmtId="37" fontId="1" fillId="4" borderId="0" xfId="0" applyFont="1" applyFill="1" applyAlignment="1">
      <alignment horizontal="left"/>
    </xf>
    <xf numFmtId="37" fontId="9" fillId="5" borderId="0" xfId="0" applyFont="1" applyFill="1"/>
    <xf numFmtId="37" fontId="1" fillId="10" borderId="0" xfId="0" applyFont="1" applyFill="1" applyAlignment="1">
      <alignment horizontal="left"/>
    </xf>
    <xf numFmtId="37" fontId="5" fillId="11" borderId="0" xfId="0" applyFont="1" applyFill="1"/>
    <xf numFmtId="37" fontId="1" fillId="11" borderId="0" xfId="0" applyFont="1" applyFill="1"/>
    <xf numFmtId="37" fontId="8" fillId="6" borderId="1" xfId="0" applyFont="1" applyFill="1" applyBorder="1" applyAlignment="1">
      <alignment horizontal="left"/>
    </xf>
    <xf numFmtId="37" fontId="5" fillId="4" borderId="2" xfId="0" applyFont="1" applyFill="1" applyBorder="1" applyAlignment="1">
      <alignment horizontal="right"/>
    </xf>
    <xf numFmtId="37" fontId="5" fillId="4" borderId="3" xfId="0" applyFont="1" applyFill="1" applyBorder="1" applyAlignment="1">
      <alignment horizontal="right"/>
    </xf>
    <xf numFmtId="37" fontId="5" fillId="5" borderId="3" xfId="0" applyFont="1" applyFill="1" applyBorder="1" applyAlignment="1">
      <alignment horizontal="right"/>
    </xf>
    <xf numFmtId="37" fontId="5" fillId="10" borderId="3" xfId="0" applyFont="1" applyFill="1" applyBorder="1" applyAlignment="1">
      <alignment horizontal="right"/>
    </xf>
    <xf numFmtId="37" fontId="5" fillId="11" borderId="3" xfId="0" applyFont="1" applyFill="1" applyBorder="1" applyAlignment="1">
      <alignment horizontal="right"/>
    </xf>
    <xf numFmtId="37" fontId="1" fillId="6" borderId="3" xfId="0" applyFont="1" applyFill="1" applyBorder="1" applyAlignment="1">
      <alignment horizontal="right"/>
    </xf>
    <xf numFmtId="37" fontId="1" fillId="7" borderId="3" xfId="0" applyFont="1" applyFill="1" applyBorder="1" applyAlignment="1">
      <alignment horizontal="right"/>
    </xf>
    <xf numFmtId="37" fontId="1" fillId="7" borderId="1" xfId="0" applyFont="1" applyFill="1" applyBorder="1"/>
    <xf numFmtId="37" fontId="8" fillId="16" borderId="1" xfId="0" applyFont="1" applyFill="1" applyBorder="1" applyAlignment="1">
      <alignment horizontal="left"/>
    </xf>
    <xf numFmtId="37" fontId="1" fillId="16" borderId="3" xfId="0" applyFont="1" applyFill="1" applyBorder="1" applyAlignment="1">
      <alignment horizontal="right"/>
    </xf>
    <xf numFmtId="37" fontId="1" fillId="17" borderId="3" xfId="0" applyFont="1" applyFill="1" applyBorder="1" applyAlignment="1">
      <alignment horizontal="right"/>
    </xf>
    <xf numFmtId="37" fontId="3" fillId="17" borderId="1" xfId="0" applyFont="1" applyFill="1" applyBorder="1"/>
    <xf numFmtId="37" fontId="1" fillId="17" borderId="1" xfId="0" applyFont="1" applyFill="1" applyBorder="1"/>
    <xf numFmtId="37" fontId="1" fillId="16" borderId="0" xfId="0" applyFont="1" applyFill="1" applyAlignment="1">
      <alignment horizontal="centerContinuous"/>
    </xf>
    <xf numFmtId="0" fontId="1" fillId="16" borderId="3" xfId="0" applyNumberFormat="1" applyFont="1" applyFill="1" applyBorder="1" applyAlignment="1">
      <alignment horizontal="right"/>
    </xf>
    <xf numFmtId="0" fontId="1" fillId="17" borderId="3" xfId="0" applyNumberFormat="1" applyFont="1" applyFill="1" applyBorder="1" applyAlignment="1">
      <alignment horizontal="right"/>
    </xf>
    <xf numFmtId="37" fontId="5" fillId="17" borderId="0" xfId="0" applyFont="1" applyFill="1"/>
    <xf numFmtId="164" fontId="2" fillId="17" borderId="0" xfId="0" applyNumberFormat="1" applyFont="1" applyFill="1"/>
    <xf numFmtId="37" fontId="1" fillId="2" borderId="0" xfId="0" applyFont="1" applyFill="1" applyAlignment="1">
      <alignment horizontal="left"/>
    </xf>
    <xf numFmtId="37" fontId="1" fillId="2" borderId="0" xfId="0" applyFont="1" applyFill="1" applyAlignment="1">
      <alignment horizontal="right"/>
    </xf>
    <xf numFmtId="37" fontId="7" fillId="2" borderId="0" xfId="0" applyFont="1" applyFill="1" applyAlignment="1">
      <alignment horizontal="center" vertical="center"/>
    </xf>
    <xf numFmtId="37" fontId="5" fillId="3" borderId="0" xfId="0" applyFont="1" applyFill="1"/>
    <xf numFmtId="37" fontId="1" fillId="3" borderId="0" xfId="0" applyFont="1" applyFill="1"/>
    <xf numFmtId="37" fontId="7" fillId="3" borderId="0" xfId="0" applyFont="1" applyFill="1"/>
    <xf numFmtId="5" fontId="7" fillId="2" borderId="0" xfId="0" applyNumberFormat="1" applyFont="1" applyFill="1" applyAlignment="1">
      <alignment horizontal="right"/>
    </xf>
    <xf numFmtId="37" fontId="1" fillId="17" borderId="0" xfId="0" applyFont="1" applyFill="1"/>
    <xf numFmtId="37" fontId="5" fillId="10" borderId="3" xfId="0" applyFont="1" applyFill="1" applyBorder="1" applyAlignment="1">
      <alignment horizontal="left"/>
    </xf>
    <xf numFmtId="37" fontId="5" fillId="4" borderId="3" xfId="0" applyFont="1" applyFill="1" applyBorder="1" applyAlignment="1">
      <alignment horizontal="left"/>
    </xf>
    <xf numFmtId="0" fontId="1" fillId="16" borderId="4" xfId="0" applyNumberFormat="1" applyFont="1" applyFill="1" applyBorder="1" applyAlignment="1">
      <alignment horizontal="right"/>
    </xf>
    <xf numFmtId="37" fontId="5" fillId="4" borderId="4" xfId="0" applyFont="1" applyFill="1" applyBorder="1" applyAlignment="1">
      <alignment horizontal="right"/>
    </xf>
    <xf numFmtId="37" fontId="5" fillId="10" borderId="4" xfId="0" applyFont="1" applyFill="1" applyBorder="1" applyAlignment="1">
      <alignment horizontal="left"/>
    </xf>
    <xf numFmtId="37" fontId="5" fillId="4" borderId="4" xfId="0" applyFont="1" applyFill="1" applyBorder="1" applyAlignment="1">
      <alignment horizontal="left"/>
    </xf>
    <xf numFmtId="37" fontId="5" fillId="10" borderId="2" xfId="0" applyFont="1" applyFill="1" applyBorder="1" applyAlignment="1">
      <alignment horizontal="left"/>
    </xf>
    <xf numFmtId="37" fontId="5" fillId="4" borderId="2" xfId="0" applyFont="1" applyFill="1" applyBorder="1" applyAlignment="1">
      <alignment horizontal="left"/>
    </xf>
    <xf numFmtId="37" fontId="5" fillId="4" borderId="0" xfId="0" applyFont="1" applyFill="1" applyAlignment="1">
      <alignment horizontal="right"/>
    </xf>
    <xf numFmtId="37" fontId="5" fillId="10" borderId="0" xfId="0" applyFont="1" applyFill="1" applyAlignment="1">
      <alignment horizontal="left"/>
    </xf>
    <xf numFmtId="37" fontId="5" fillId="4" borderId="0" xfId="0" applyFont="1" applyFill="1" applyAlignment="1">
      <alignment horizontal="left"/>
    </xf>
    <xf numFmtId="0" fontId="1" fillId="16" borderId="3" xfId="0" applyNumberFormat="1" applyFont="1" applyFill="1" applyBorder="1" applyAlignment="1">
      <alignment horizontal="center"/>
    </xf>
    <xf numFmtId="0" fontId="1" fillId="17" borderId="3" xfId="0" applyNumberFormat="1" applyFont="1" applyFill="1" applyBorder="1" applyAlignment="1">
      <alignment horizontal="center"/>
    </xf>
    <xf numFmtId="37" fontId="5" fillId="4" borderId="3" xfId="0" applyFont="1" applyFill="1" applyBorder="1" applyAlignment="1">
      <alignment horizontal="center"/>
    </xf>
    <xf numFmtId="37" fontId="5" fillId="5" borderId="3" xfId="0" applyFont="1" applyFill="1" applyBorder="1" applyAlignment="1">
      <alignment horizontal="center"/>
    </xf>
    <xf numFmtId="37" fontId="5" fillId="10" borderId="3" xfId="0" applyFont="1" applyFill="1" applyBorder="1" applyAlignment="1">
      <alignment horizontal="center"/>
    </xf>
    <xf numFmtId="37" fontId="5" fillId="11" borderId="3" xfId="0" applyFont="1" applyFill="1" applyBorder="1" applyAlignment="1">
      <alignment horizontal="center"/>
    </xf>
    <xf numFmtId="37" fontId="5" fillId="5" borderId="0" xfId="0" applyFont="1" applyFill="1" applyAlignment="1">
      <alignment horizontal="center"/>
    </xf>
    <xf numFmtId="37" fontId="6" fillId="5" borderId="0" xfId="0" applyFont="1" applyFill="1" applyAlignment="1">
      <alignment horizontal="center"/>
    </xf>
    <xf numFmtId="37" fontId="1" fillId="2" borderId="3" xfId="0" applyFont="1" applyFill="1" applyBorder="1" applyAlignment="1">
      <alignment horizontal="center"/>
    </xf>
    <xf numFmtId="37" fontId="1" fillId="2" borderId="2" xfId="0" applyFont="1" applyFill="1" applyBorder="1" applyAlignment="1">
      <alignment horizontal="right"/>
    </xf>
    <xf numFmtId="37" fontId="8" fillId="4" borderId="0" xfId="0" applyFont="1" applyFill="1" applyAlignment="1">
      <alignment horizontal="left"/>
    </xf>
    <xf numFmtId="37" fontId="1" fillId="4" borderId="0" xfId="0" applyFont="1" applyFill="1" applyAlignment="1">
      <alignment horizontal="right"/>
    </xf>
    <xf numFmtId="37" fontId="1" fillId="5" borderId="0" xfId="0" applyFont="1" applyFill="1" applyAlignment="1">
      <alignment horizontal="right"/>
    </xf>
    <xf numFmtId="37" fontId="3" fillId="5" borderId="0" xfId="0" applyFont="1" applyFill="1"/>
    <xf numFmtId="37" fontId="8" fillId="14" borderId="0" xfId="0" applyFont="1" applyFill="1" applyAlignment="1">
      <alignment horizontal="left"/>
    </xf>
    <xf numFmtId="37" fontId="1" fillId="14" borderId="0" xfId="0" applyFont="1" applyFill="1" applyAlignment="1">
      <alignment horizontal="right"/>
    </xf>
    <xf numFmtId="37" fontId="1" fillId="15" borderId="0" xfId="0" applyFont="1" applyFill="1"/>
    <xf numFmtId="37" fontId="8" fillId="12" borderId="0" xfId="0" applyFont="1" applyFill="1" applyAlignment="1">
      <alignment horizontal="left"/>
    </xf>
    <xf numFmtId="37" fontId="1" fillId="12" borderId="0" xfId="0" applyFont="1" applyFill="1" applyAlignment="1">
      <alignment horizontal="right"/>
    </xf>
    <xf numFmtId="37" fontId="1" fillId="13" borderId="0" xfId="0" applyFont="1" applyFill="1"/>
    <xf numFmtId="37" fontId="1" fillId="3" borderId="0" xfId="0" applyFont="1" applyFill="1" applyAlignment="1">
      <alignment horizontal="right"/>
    </xf>
    <xf numFmtId="37" fontId="1" fillId="8" borderId="2" xfId="0" applyFont="1" applyFill="1" applyBorder="1" applyAlignment="1">
      <alignment horizontal="right"/>
    </xf>
    <xf numFmtId="37" fontId="1" fillId="8" borderId="3" xfId="0" applyFont="1" applyFill="1" applyBorder="1" applyAlignment="1">
      <alignment horizontal="center"/>
    </xf>
    <xf numFmtId="37" fontId="1" fillId="9" borderId="0" xfId="0" applyFont="1" applyFill="1"/>
    <xf numFmtId="37" fontId="1" fillId="8" borderId="6" xfId="0" applyFont="1" applyFill="1" applyBorder="1" applyAlignment="1">
      <alignment horizontal="center"/>
    </xf>
    <xf numFmtId="37" fontId="1" fillId="9" borderId="5" xfId="0" applyFont="1" applyFill="1" applyBorder="1"/>
    <xf numFmtId="37" fontId="5" fillId="18" borderId="3" xfId="0" applyFont="1" applyFill="1" applyBorder="1" applyAlignment="1">
      <alignment horizontal="right"/>
    </xf>
    <xf numFmtId="0" fontId="1" fillId="17" borderId="0" xfId="0" applyNumberFormat="1" applyFont="1" applyFill="1"/>
    <xf numFmtId="0" fontId="5" fillId="17" borderId="0" xfId="0" applyNumberFormat="1" applyFont="1" applyFill="1"/>
    <xf numFmtId="37" fontId="5" fillId="5" borderId="4" xfId="0" applyFont="1" applyFill="1" applyBorder="1"/>
    <xf numFmtId="37" fontId="5" fillId="5" borderId="2" xfId="0" applyFont="1" applyFill="1" applyBorder="1"/>
    <xf numFmtId="0" fontId="1" fillId="16" borderId="2" xfId="0" applyNumberFormat="1" applyFont="1" applyFill="1" applyBorder="1" applyAlignment="1">
      <alignment horizontal="center"/>
    </xf>
    <xf numFmtId="37" fontId="5" fillId="4" borderId="2" xfId="0" applyFont="1" applyFill="1" applyBorder="1" applyAlignment="1">
      <alignment horizontal="center"/>
    </xf>
    <xf numFmtId="37" fontId="5" fillId="10" borderId="2" xfId="0" applyFont="1" applyFill="1" applyBorder="1" applyAlignment="1">
      <alignment horizontal="center"/>
    </xf>
    <xf numFmtId="37" fontId="1" fillId="2" borderId="2" xfId="0" applyFont="1" applyFill="1" applyBorder="1" applyAlignment="1">
      <alignment horizontal="center"/>
    </xf>
    <xf numFmtId="37" fontId="7" fillId="2" borderId="4" xfId="0" applyFont="1" applyFill="1" applyBorder="1" applyAlignment="1">
      <alignment horizontal="center" vertical="center"/>
    </xf>
    <xf numFmtId="37" fontId="7" fillId="2" borderId="2" xfId="0" applyFont="1" applyFill="1" applyBorder="1" applyAlignment="1">
      <alignment horizontal="center" vertical="center"/>
    </xf>
    <xf numFmtId="37" fontId="6" fillId="5" borderId="4" xfId="0" applyFont="1" applyFill="1" applyBorder="1"/>
    <xf numFmtId="37" fontId="6" fillId="5" borderId="2" xfId="0" applyFont="1" applyFill="1" applyBorder="1"/>
    <xf numFmtId="0" fontId="1" fillId="11" borderId="0" xfId="0" applyNumberFormat="1" applyFont="1" applyFill="1"/>
    <xf numFmtId="0" fontId="1" fillId="5" borderId="0" xfId="0" applyNumberFormat="1" applyFont="1" applyFill="1"/>
    <xf numFmtId="0" fontId="1" fillId="5" borderId="0" xfId="0" applyNumberFormat="1" applyFont="1" applyFill="1" applyAlignment="1">
      <alignment horizontal="center"/>
    </xf>
    <xf numFmtId="0" fontId="1" fillId="11" borderId="0" xfId="0" applyNumberFormat="1" applyFont="1" applyFill="1" applyAlignment="1">
      <alignment horizontal="center"/>
    </xf>
    <xf numFmtId="37" fontId="1" fillId="7" borderId="11" xfId="0" applyFont="1" applyFill="1" applyBorder="1"/>
    <xf numFmtId="37" fontId="5" fillId="5" borderId="7" xfId="0" applyFont="1" applyFill="1" applyBorder="1"/>
    <xf numFmtId="37" fontId="2" fillId="5" borderId="7" xfId="0" applyFont="1" applyFill="1" applyBorder="1"/>
    <xf numFmtId="37" fontId="0" fillId="0" borderId="7" xfId="0" applyBorder="1"/>
    <xf numFmtId="37" fontId="5" fillId="18" borderId="7" xfId="0" applyFont="1" applyFill="1" applyBorder="1" applyAlignment="1">
      <alignment horizontal="right"/>
    </xf>
    <xf numFmtId="37" fontId="5" fillId="2" borderId="0" xfId="0" applyFont="1" applyFill="1" applyAlignment="1">
      <alignment horizontal="center" vertical="center"/>
    </xf>
    <xf numFmtId="37" fontId="5" fillId="18" borderId="0" xfId="0" applyFont="1" applyFill="1"/>
    <xf numFmtId="37" fontId="5" fillId="11" borderId="7" xfId="0" applyFont="1" applyFill="1" applyBorder="1" applyAlignment="1">
      <alignment horizontal="right"/>
    </xf>
    <xf numFmtId="37" fontId="5" fillId="5" borderId="7" xfId="0" applyFont="1" applyFill="1" applyBorder="1" applyAlignment="1">
      <alignment horizontal="right"/>
    </xf>
    <xf numFmtId="37" fontId="1" fillId="19" borderId="0" xfId="0" applyFont="1" applyFill="1" applyAlignment="1">
      <alignment horizontal="left"/>
    </xf>
    <xf numFmtId="37" fontId="5" fillId="19" borderId="3" xfId="0" applyFont="1" applyFill="1" applyBorder="1" applyAlignment="1">
      <alignment horizontal="right"/>
    </xf>
    <xf numFmtId="37" fontId="5" fillId="20" borderId="3" xfId="0" applyFont="1" applyFill="1" applyBorder="1" applyAlignment="1">
      <alignment horizontal="right"/>
    </xf>
    <xf numFmtId="37" fontId="5" fillId="20" borderId="0" xfId="0" applyFont="1" applyFill="1"/>
    <xf numFmtId="37" fontId="5" fillId="11" borderId="2" xfId="0" applyFont="1" applyFill="1" applyBorder="1"/>
    <xf numFmtId="0" fontId="1" fillId="17" borderId="2" xfId="0" applyNumberFormat="1" applyFont="1" applyFill="1" applyBorder="1" applyAlignment="1">
      <alignment horizontal="right"/>
    </xf>
    <xf numFmtId="37" fontId="2" fillId="5" borderId="3" xfId="0" applyFont="1" applyFill="1" applyBorder="1"/>
    <xf numFmtId="37" fontId="1" fillId="11" borderId="3" xfId="0" applyFont="1" applyFill="1" applyBorder="1"/>
    <xf numFmtId="37" fontId="1" fillId="5" borderId="3" xfId="0" applyFont="1" applyFill="1" applyBorder="1"/>
    <xf numFmtId="37" fontId="5" fillId="5" borderId="3" xfId="0" applyFont="1" applyFill="1" applyBorder="1"/>
    <xf numFmtId="37" fontId="5" fillId="11" borderId="3" xfId="0" applyFont="1" applyFill="1" applyBorder="1"/>
    <xf numFmtId="37" fontId="6" fillId="5" borderId="3" xfId="0" applyFont="1" applyFill="1" applyBorder="1"/>
    <xf numFmtId="0" fontId="1" fillId="17" borderId="0" xfId="0" applyNumberFormat="1" applyFont="1" applyFill="1" applyAlignment="1">
      <alignment horizontal="right"/>
    </xf>
    <xf numFmtId="37" fontId="1" fillId="21" borderId="0" xfId="0" applyFont="1" applyFill="1" applyAlignment="1">
      <alignment horizontal="left"/>
    </xf>
    <xf numFmtId="37" fontId="2" fillId="22" borderId="3" xfId="0" applyFont="1" applyFill="1" applyBorder="1" applyAlignment="1">
      <alignment horizontal="right"/>
    </xf>
    <xf numFmtId="37" fontId="1" fillId="21" borderId="3" xfId="0" applyFont="1" applyFill="1" applyBorder="1" applyAlignment="1">
      <alignment horizontal="right"/>
    </xf>
    <xf numFmtId="37" fontId="5" fillId="21" borderId="3" xfId="0" applyFont="1" applyFill="1" applyBorder="1" applyAlignment="1">
      <alignment horizontal="right"/>
    </xf>
    <xf numFmtId="37" fontId="5" fillId="22" borderId="3" xfId="0" applyFont="1" applyFill="1" applyBorder="1" applyAlignment="1">
      <alignment horizontal="right"/>
    </xf>
    <xf numFmtId="37" fontId="0" fillId="22" borderId="0" xfId="0" applyFill="1"/>
    <xf numFmtId="37" fontId="5" fillId="22" borderId="0" xfId="0" applyFont="1" applyFill="1"/>
    <xf numFmtId="37" fontId="5" fillId="22" borderId="12" xfId="0" applyFont="1" applyFill="1" applyBorder="1"/>
    <xf numFmtId="37" fontId="5" fillId="22" borderId="13" xfId="0" applyFont="1" applyFill="1" applyBorder="1"/>
    <xf numFmtId="37" fontId="0" fillId="5" borderId="0" xfId="0" applyFill="1"/>
    <xf numFmtId="37" fontId="1" fillId="23" borderId="0" xfId="0" applyFont="1" applyFill="1" applyAlignment="1">
      <alignment horizontal="left"/>
    </xf>
    <xf numFmtId="37" fontId="2" fillId="24" borderId="3" xfId="0" applyFont="1" applyFill="1" applyBorder="1" applyAlignment="1">
      <alignment horizontal="right"/>
    </xf>
    <xf numFmtId="37" fontId="1" fillId="23" borderId="3" xfId="0" applyFont="1" applyFill="1" applyBorder="1" applyAlignment="1">
      <alignment horizontal="right"/>
    </xf>
    <xf numFmtId="37" fontId="5" fillId="23" borderId="3" xfId="0" applyFont="1" applyFill="1" applyBorder="1" applyAlignment="1">
      <alignment horizontal="right"/>
    </xf>
    <xf numFmtId="37" fontId="5" fillId="24" borderId="3" xfId="0" applyFont="1" applyFill="1" applyBorder="1" applyAlignment="1">
      <alignment horizontal="right"/>
    </xf>
    <xf numFmtId="37" fontId="5" fillId="24" borderId="0" xfId="0" applyFont="1" applyFill="1"/>
    <xf numFmtId="37" fontId="5" fillId="24" borderId="7" xfId="0" applyFont="1" applyFill="1" applyBorder="1"/>
    <xf numFmtId="37" fontId="0" fillId="24" borderId="0" xfId="0" applyFill="1"/>
    <xf numFmtId="37" fontId="10" fillId="17" borderId="0" xfId="0" applyFont="1" applyFill="1"/>
    <xf numFmtId="37" fontId="0" fillId="18" borderId="0" xfId="0" applyFill="1"/>
    <xf numFmtId="37" fontId="1" fillId="18" borderId="0" xfId="0" applyFont="1" applyFill="1"/>
    <xf numFmtId="37" fontId="5" fillId="18" borderId="3" xfId="0" applyFont="1" applyFill="1" applyBorder="1"/>
    <xf numFmtId="37" fontId="0" fillId="26" borderId="0" xfId="0" applyFill="1"/>
    <xf numFmtId="37" fontId="5" fillId="27" borderId="0" xfId="0" applyFont="1" applyFill="1" applyAlignment="1">
      <alignment horizontal="left"/>
    </xf>
    <xf numFmtId="37" fontId="5" fillId="25" borderId="0" xfId="0" applyFont="1" applyFill="1"/>
    <xf numFmtId="37" fontId="1" fillId="8" borderId="14" xfId="0" applyFont="1" applyFill="1" applyBorder="1" applyAlignment="1">
      <alignment horizontal="left"/>
    </xf>
    <xf numFmtId="37" fontId="1" fillId="8" borderId="15" xfId="0" applyFont="1" applyFill="1" applyBorder="1" applyAlignment="1">
      <alignment horizontal="center"/>
    </xf>
    <xf numFmtId="37" fontId="1" fillId="8" borderId="16" xfId="0" applyFont="1" applyFill="1" applyBorder="1" applyAlignment="1">
      <alignment horizontal="center"/>
    </xf>
    <xf numFmtId="37" fontId="1" fillId="27" borderId="0" xfId="0" applyFont="1" applyFill="1" applyAlignment="1">
      <alignment horizontal="left"/>
    </xf>
    <xf numFmtId="37" fontId="5" fillId="27" borderId="0" xfId="0" applyFont="1" applyFill="1" applyAlignment="1">
      <alignment horizontal="center"/>
    </xf>
    <xf numFmtId="37" fontId="1" fillId="25" borderId="0" xfId="0" applyFont="1" applyFill="1"/>
    <xf numFmtId="37" fontId="5" fillId="25" borderId="0" xfId="0" applyFont="1" applyFill="1" applyAlignment="1">
      <alignment horizontal="center"/>
    </xf>
    <xf numFmtId="37" fontId="2" fillId="25" borderId="0" xfId="0" applyFont="1" applyFill="1"/>
    <xf numFmtId="37" fontId="6" fillId="25" borderId="0" xfId="0" applyFont="1" applyFill="1"/>
    <xf numFmtId="37" fontId="6" fillId="25" borderId="0" xfId="0" applyFont="1" applyFill="1" applyAlignment="1">
      <alignment horizontal="center"/>
    </xf>
    <xf numFmtId="37" fontId="9" fillId="25" borderId="0" xfId="0" applyFont="1" applyFill="1"/>
    <xf numFmtId="37" fontId="11" fillId="2" borderId="0" xfId="0" applyFont="1" applyFill="1" applyAlignment="1">
      <alignment horizontal="left"/>
    </xf>
    <xf numFmtId="37" fontId="12" fillId="2" borderId="0" xfId="0" applyFont="1" applyFill="1" applyAlignment="1">
      <alignment horizontal="left"/>
    </xf>
    <xf numFmtId="37" fontId="11" fillId="2" borderId="0" xfId="0" applyFont="1" applyFill="1" applyAlignment="1">
      <alignment horizontal="right"/>
    </xf>
    <xf numFmtId="37" fontId="13" fillId="2" borderId="0" xfId="0" applyFont="1" applyFill="1" applyAlignment="1">
      <alignment horizontal="left"/>
    </xf>
    <xf numFmtId="37" fontId="13" fillId="2" borderId="0" xfId="0" applyFont="1" applyFill="1" applyAlignment="1">
      <alignment horizontal="right"/>
    </xf>
    <xf numFmtId="37" fontId="13" fillId="2" borderId="0" xfId="0" applyFont="1" applyFill="1" applyAlignment="1">
      <alignment horizontal="center" vertical="center"/>
    </xf>
    <xf numFmtId="37" fontId="13" fillId="2" borderId="8" xfId="0" applyFont="1" applyFill="1" applyBorder="1" applyAlignment="1">
      <alignment horizontal="center" vertical="center"/>
    </xf>
    <xf numFmtId="37" fontId="13" fillId="2" borderId="9" xfId="0" applyFont="1" applyFill="1" applyBorder="1" applyAlignment="1">
      <alignment horizontal="center" vertical="center"/>
    </xf>
    <xf numFmtId="37" fontId="13" fillId="2" borderId="10" xfId="0" applyFont="1" applyFill="1" applyBorder="1" applyAlignment="1">
      <alignment horizontal="center" vertical="center"/>
    </xf>
    <xf numFmtId="37" fontId="0" fillId="5" borderId="3" xfId="0" applyFill="1" applyBorder="1"/>
    <xf numFmtId="37" fontId="0" fillId="18" borderId="3" xfId="0" applyFill="1" applyBorder="1"/>
    <xf numFmtId="49" fontId="5" fillId="5" borderId="3" xfId="0" applyNumberFormat="1" applyFont="1" applyFill="1" applyBorder="1" applyAlignment="1">
      <alignment horizontal="right"/>
    </xf>
    <xf numFmtId="37" fontId="1" fillId="16" borderId="4" xfId="0" applyFont="1" applyFill="1" applyBorder="1" applyAlignment="1">
      <alignment horizontal="right"/>
    </xf>
    <xf numFmtId="37" fontId="1" fillId="16" borderId="2" xfId="0" applyFont="1" applyFill="1" applyBorder="1" applyAlignment="1">
      <alignment horizontal="right"/>
    </xf>
    <xf numFmtId="37" fontId="0" fillId="22" borderId="3" xfId="0" applyFill="1" applyBorder="1"/>
    <xf numFmtId="37" fontId="7" fillId="3" borderId="0" xfId="0" applyFont="1" applyFill="1" applyAlignment="1">
      <alignment wrapText="1"/>
    </xf>
    <xf numFmtId="37" fontId="5" fillId="5" borderId="17" xfId="0" applyFont="1" applyFill="1" applyBorder="1"/>
    <xf numFmtId="3" fontId="5" fillId="11" borderId="19" xfId="0" applyNumberFormat="1" applyFont="1" applyFill="1" applyBorder="1"/>
    <xf numFmtId="3" fontId="5" fillId="11" borderId="20" xfId="0" applyNumberFormat="1" applyFont="1" applyFill="1" applyBorder="1"/>
    <xf numFmtId="3" fontId="5" fillId="5" borderId="19" xfId="0" applyNumberFormat="1" applyFont="1" applyFill="1" applyBorder="1"/>
    <xf numFmtId="3" fontId="5" fillId="5" borderId="20" xfId="0" applyNumberFormat="1" applyFont="1" applyFill="1" applyBorder="1"/>
    <xf numFmtId="37" fontId="0" fillId="5" borderId="23" xfId="0" applyFill="1" applyBorder="1"/>
    <xf numFmtId="37" fontId="5" fillId="5" borderId="23" xfId="0" applyFont="1" applyFill="1" applyBorder="1"/>
    <xf numFmtId="37" fontId="5" fillId="5" borderId="20" xfId="0" applyFont="1" applyFill="1" applyBorder="1"/>
    <xf numFmtId="3" fontId="5" fillId="5" borderId="21" xfId="0" applyNumberFormat="1" applyFont="1" applyFill="1" applyBorder="1"/>
    <xf numFmtId="37" fontId="5" fillId="5" borderId="22" xfId="0" applyFont="1" applyFill="1" applyBorder="1"/>
    <xf numFmtId="37" fontId="1" fillId="4" borderId="23" xfId="0" applyFont="1" applyFill="1" applyBorder="1" applyAlignment="1">
      <alignment horizontal="left"/>
    </xf>
    <xf numFmtId="0" fontId="0" fillId="5" borderId="23" xfId="0" applyNumberFormat="1" applyFill="1" applyBorder="1"/>
    <xf numFmtId="0" fontId="5" fillId="5" borderId="23" xfId="0" applyNumberFormat="1" applyFont="1" applyFill="1" applyBorder="1"/>
    <xf numFmtId="37" fontId="5" fillId="5" borderId="19" xfId="0" applyFont="1" applyFill="1" applyBorder="1"/>
    <xf numFmtId="37" fontId="0" fillId="5" borderId="20" xfId="0" applyFill="1" applyBorder="1"/>
    <xf numFmtId="37" fontId="0" fillId="11" borderId="0" xfId="0" applyFill="1"/>
    <xf numFmtId="37" fontId="5" fillId="5" borderId="21" xfId="0" applyFont="1" applyFill="1" applyBorder="1"/>
    <xf numFmtId="0" fontId="1" fillId="17" borderId="25" xfId="0" applyNumberFormat="1" applyFont="1" applyFill="1" applyBorder="1"/>
    <xf numFmtId="0" fontId="1" fillId="17" borderId="26" xfId="0" applyNumberFormat="1" applyFont="1" applyFill="1" applyBorder="1" applyAlignment="1">
      <alignment horizontal="right"/>
    </xf>
    <xf numFmtId="37" fontId="1" fillId="17" borderId="26" xfId="0" applyFont="1" applyFill="1" applyBorder="1"/>
    <xf numFmtId="164" fontId="2" fillId="17" borderId="26" xfId="0" applyNumberFormat="1" applyFont="1" applyFill="1" applyBorder="1"/>
    <xf numFmtId="37" fontId="5" fillId="17" borderId="26" xfId="0" applyFont="1" applyFill="1" applyBorder="1"/>
    <xf numFmtId="0" fontId="5" fillId="17" borderId="26" xfId="0" applyNumberFormat="1" applyFont="1" applyFill="1" applyBorder="1"/>
    <xf numFmtId="0" fontId="1" fillId="17" borderId="27" xfId="0" applyNumberFormat="1" applyFont="1" applyFill="1" applyBorder="1"/>
    <xf numFmtId="37" fontId="0" fillId="5" borderId="28" xfId="0" applyFill="1" applyBorder="1"/>
    <xf numFmtId="37" fontId="5" fillId="5" borderId="29" xfId="0" applyFont="1" applyFill="1" applyBorder="1"/>
    <xf numFmtId="37" fontId="5" fillId="11" borderId="28" xfId="0" applyFont="1" applyFill="1" applyBorder="1"/>
    <xf numFmtId="37" fontId="0" fillId="0" borderId="29" xfId="0" applyBorder="1"/>
    <xf numFmtId="37" fontId="0" fillId="5" borderId="30" xfId="0" applyFill="1" applyBorder="1"/>
    <xf numFmtId="37" fontId="0" fillId="5" borderId="31" xfId="0" applyFill="1" applyBorder="1"/>
    <xf numFmtId="37" fontId="0" fillId="0" borderId="31" xfId="0" applyBorder="1"/>
    <xf numFmtId="37" fontId="0" fillId="0" borderId="32" xfId="0" applyBorder="1"/>
    <xf numFmtId="37" fontId="0" fillId="11" borderId="3" xfId="0" applyFill="1" applyBorder="1"/>
    <xf numFmtId="37" fontId="0" fillId="5" borderId="3" xfId="0" quotePrefix="1" applyFill="1" applyBorder="1"/>
    <xf numFmtId="37" fontId="5" fillId="5" borderId="0" xfId="0" applyFont="1" applyFill="1" applyAlignment="1">
      <alignment horizontal="center"/>
    </xf>
    <xf numFmtId="37" fontId="8" fillId="4" borderId="17" xfId="0" applyFont="1" applyFill="1" applyBorder="1" applyAlignment="1">
      <alignment horizontal="center" wrapText="1"/>
    </xf>
    <xf numFmtId="37" fontId="1" fillId="4" borderId="24" xfId="0" applyFont="1" applyFill="1" applyBorder="1" applyAlignment="1">
      <alignment horizontal="center" wrapText="1"/>
    </xf>
    <xf numFmtId="37" fontId="1" fillId="4" borderId="18" xfId="0" applyFont="1" applyFill="1" applyBorder="1" applyAlignment="1">
      <alignment horizontal="center" wrapText="1"/>
    </xf>
    <xf numFmtId="37" fontId="1" fillId="4" borderId="19" xfId="0" applyFont="1" applyFill="1" applyBorder="1" applyAlignment="1">
      <alignment horizontal="center" wrapText="1"/>
    </xf>
    <xf numFmtId="37" fontId="1" fillId="4" borderId="0" xfId="0" applyFont="1" applyFill="1" applyAlignment="1">
      <alignment horizontal="center" wrapText="1"/>
    </xf>
    <xf numFmtId="37" fontId="1" fillId="4" borderId="2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9718"/>
      <color rgb="FFD8B3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'Alder Lake'!$A$18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'Alder Lake'!$F$3:$AH$3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'Alder Lake'!$F$18:$AH$18</c:f>
              <c:numCache>
                <c:formatCode>#,##0_);\(#,##0\)</c:formatCode>
                <c:ptCount val="12"/>
                <c:pt idx="0">
                  <c:v>1691</c:v>
                </c:pt>
                <c:pt idx="1">
                  <c:v>0</c:v>
                </c:pt>
                <c:pt idx="2">
                  <c:v>1622</c:v>
                </c:pt>
                <c:pt idx="3">
                  <c:v>1824</c:v>
                </c:pt>
                <c:pt idx="4">
                  <c:v>2678</c:v>
                </c:pt>
                <c:pt idx="5">
                  <c:v>2316</c:v>
                </c:pt>
                <c:pt idx="6">
                  <c:v>2058</c:v>
                </c:pt>
                <c:pt idx="7">
                  <c:v>2242</c:v>
                </c:pt>
                <c:pt idx="8">
                  <c:v>2476</c:v>
                </c:pt>
                <c:pt idx="9">
                  <c:v>2283</c:v>
                </c:pt>
                <c:pt idx="10">
                  <c:v>1723</c:v>
                </c:pt>
                <c:pt idx="11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A-4548-A290-AE1A04C0F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151184"/>
        <c:axId val="-731150640"/>
      </c:barChart>
      <c:catAx>
        <c:axId val="-73115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150640"/>
        <c:crosses val="autoZero"/>
        <c:auto val="1"/>
        <c:lblAlgn val="ctr"/>
        <c:lblOffset val="100"/>
        <c:noMultiLvlLbl val="0"/>
      </c:catAx>
      <c:valAx>
        <c:axId val="-73115064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151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'Beaverkill Road to BLM FT'!$A$18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'Beaverkill Road to BLM FT'!$F$3:$AH$3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'Beaverkill Road to BLM FT'!$F$18:$AH$18</c:f>
              <c:numCache>
                <c:formatCode>#,##0_);\(#,##0\)</c:formatCode>
                <c:ptCount val="12"/>
                <c:pt idx="0">
                  <c:v>1641</c:v>
                </c:pt>
                <c:pt idx="1">
                  <c:v>0</c:v>
                </c:pt>
                <c:pt idx="2">
                  <c:v>1193</c:v>
                </c:pt>
                <c:pt idx="3">
                  <c:v>1307</c:v>
                </c:pt>
                <c:pt idx="4">
                  <c:v>1732</c:v>
                </c:pt>
                <c:pt idx="5">
                  <c:v>1326</c:v>
                </c:pt>
                <c:pt idx="6">
                  <c:v>1340</c:v>
                </c:pt>
                <c:pt idx="7">
                  <c:v>2123.3333333333335</c:v>
                </c:pt>
                <c:pt idx="8">
                  <c:v>1960</c:v>
                </c:pt>
                <c:pt idx="9">
                  <c:v>1973</c:v>
                </c:pt>
                <c:pt idx="10">
                  <c:v>1956</c:v>
                </c:pt>
                <c:pt idx="11">
                  <c:v>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8-4888-9CC8-7764C4B0E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6060832"/>
        <c:axId val="-731147920"/>
      </c:barChart>
      <c:catAx>
        <c:axId val="-73606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147920"/>
        <c:crosses val="autoZero"/>
        <c:auto val="1"/>
        <c:lblAlgn val="ctr"/>
        <c:lblOffset val="100"/>
        <c:noMultiLvlLbl val="0"/>
      </c:catAx>
      <c:valAx>
        <c:axId val="-73114792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606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'Dry Brook Ridge to Lean-to 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'Dry Brook Ridge to Lean-to '!$E$3:$AH$3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'Dry Brook Ridge to Lean-to '!$E$18:$AH$18</c:f>
              <c:numCache>
                <c:formatCode>#,##0_);\(#,##0\)</c:formatCode>
                <c:ptCount val="12"/>
                <c:pt idx="0">
                  <c:v>260</c:v>
                </c:pt>
                <c:pt idx="1">
                  <c:v>161</c:v>
                </c:pt>
                <c:pt idx="2">
                  <c:v>227</c:v>
                </c:pt>
                <c:pt idx="3">
                  <c:v>196</c:v>
                </c:pt>
                <c:pt idx="4">
                  <c:v>251</c:v>
                </c:pt>
                <c:pt idx="5">
                  <c:v>209</c:v>
                </c:pt>
                <c:pt idx="6">
                  <c:v>320</c:v>
                </c:pt>
                <c:pt idx="7">
                  <c:v>362</c:v>
                </c:pt>
                <c:pt idx="8">
                  <c:v>296.99999999999994</c:v>
                </c:pt>
                <c:pt idx="9">
                  <c:v>343</c:v>
                </c:pt>
                <c:pt idx="10">
                  <c:v>299</c:v>
                </c:pt>
                <c:pt idx="1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6-4126-B116-F7011DB5D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6059200"/>
        <c:axId val="-736057024"/>
      </c:barChart>
      <c:catAx>
        <c:axId val="-73605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6057024"/>
        <c:crosses val="autoZero"/>
        <c:auto val="1"/>
        <c:lblAlgn val="ctr"/>
        <c:lblOffset val="100"/>
        <c:noMultiLvlLbl val="0"/>
      </c:catAx>
      <c:valAx>
        <c:axId val="-73605702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6059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547924396334585E-2"/>
          <c:y val="0.13399768250289684"/>
          <c:w val="0.85703847393815535"/>
          <c:h val="0.730505743560733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'Kelly Hollow'!$A$18</c:f>
              <c:strCache>
                <c:ptCount val="1"/>
                <c:pt idx="0">
                  <c:v>Yearly Totals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'Kelly Hollow'!$W$3:$AI$3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'Kelly Hollow'!$B$18:$AI$18</c:f>
              <c:numCache>
                <c:formatCode>#,##0_);\(#,##0\)</c:formatCode>
                <c:ptCount val="13"/>
                <c:pt idx="0">
                  <c:v>901</c:v>
                </c:pt>
                <c:pt idx="1">
                  <c:v>733</c:v>
                </c:pt>
                <c:pt idx="2">
                  <c:v>714</c:v>
                </c:pt>
                <c:pt idx="3">
                  <c:v>760</c:v>
                </c:pt>
                <c:pt idx="4">
                  <c:v>952</c:v>
                </c:pt>
                <c:pt idx="5">
                  <c:v>901</c:v>
                </c:pt>
                <c:pt idx="6">
                  <c:v>974</c:v>
                </c:pt>
                <c:pt idx="7">
                  <c:v>1229</c:v>
                </c:pt>
                <c:pt idx="8">
                  <c:v>2014</c:v>
                </c:pt>
                <c:pt idx="9">
                  <c:v>2380</c:v>
                </c:pt>
                <c:pt idx="10">
                  <c:v>2489</c:v>
                </c:pt>
                <c:pt idx="11">
                  <c:v>1889</c:v>
                </c:pt>
                <c:pt idx="12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D-4999-BA0C-3BBEF7DA8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347752"/>
        <c:axId val="743348472"/>
      </c:barChart>
      <c:catAx>
        <c:axId val="7433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48472"/>
        <c:crosses val="autoZero"/>
        <c:auto val="1"/>
        <c:lblAlgn val="ctr"/>
        <c:lblOffset val="100"/>
        <c:noMultiLvlLbl val="0"/>
      </c:catAx>
      <c:valAx>
        <c:axId val="74334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4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'Millbrook to BLM FT'!$A$18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'Millbrook to BLM FT'!$E$3:$AI$3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'Millbrook to BLM FT'!$E$18:$AI$18</c:f>
              <c:numCache>
                <c:formatCode>#,##0_);\(#,##0\)</c:formatCode>
                <c:ptCount val="13"/>
                <c:pt idx="0">
                  <c:v>1261</c:v>
                </c:pt>
                <c:pt idx="1">
                  <c:v>1662</c:v>
                </c:pt>
                <c:pt idx="2">
                  <c:v>1932</c:v>
                </c:pt>
                <c:pt idx="3">
                  <c:v>2033</c:v>
                </c:pt>
                <c:pt idx="4">
                  <c:v>2525</c:v>
                </c:pt>
                <c:pt idx="5">
                  <c:v>2375</c:v>
                </c:pt>
                <c:pt idx="6">
                  <c:v>2186</c:v>
                </c:pt>
                <c:pt idx="7">
                  <c:v>3316</c:v>
                </c:pt>
                <c:pt idx="8">
                  <c:v>3158</c:v>
                </c:pt>
                <c:pt idx="9">
                  <c:v>2705</c:v>
                </c:pt>
                <c:pt idx="10">
                  <c:v>3212</c:v>
                </c:pt>
                <c:pt idx="11">
                  <c:v>3048</c:v>
                </c:pt>
                <c:pt idx="12">
                  <c:v>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9-4336-B923-C41BEDFC4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6058112"/>
        <c:axId val="-736061376"/>
      </c:barChart>
      <c:catAx>
        <c:axId val="-73605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6061376"/>
        <c:crosses val="autoZero"/>
        <c:auto val="1"/>
        <c:lblAlgn val="ctr"/>
        <c:lblOffset val="100"/>
        <c:noMultiLvlLbl val="0"/>
      </c:catAx>
      <c:valAx>
        <c:axId val="-73606137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6058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'Neversink Hardenburgh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'Neversink Hardenburgh Trail'!$D$3:$AH$3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'Neversink Hardenburgh Trail'!$D$18:$AH$18</c:f>
              <c:numCache>
                <c:formatCode>#,##0_);\(#,##0\)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155</c:v>
                </c:pt>
                <c:pt idx="3">
                  <c:v>237</c:v>
                </c:pt>
                <c:pt idx="4">
                  <c:v>206</c:v>
                </c:pt>
                <c:pt idx="5">
                  <c:v>235</c:v>
                </c:pt>
                <c:pt idx="6">
                  <c:v>203</c:v>
                </c:pt>
                <c:pt idx="7">
                  <c:v>276</c:v>
                </c:pt>
                <c:pt idx="8">
                  <c:v>169.66666666666669</c:v>
                </c:pt>
                <c:pt idx="9">
                  <c:v>187</c:v>
                </c:pt>
                <c:pt idx="10">
                  <c:v>165</c:v>
                </c:pt>
                <c:pt idx="1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7-4982-A967-8AF7B244C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153360"/>
        <c:axId val="-731152816"/>
      </c:barChart>
      <c:catAx>
        <c:axId val="-73115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152816"/>
        <c:crosses val="autoZero"/>
        <c:auto val="1"/>
        <c:lblAlgn val="ctr"/>
        <c:lblOffset val="100"/>
        <c:noMultiLvlLbl val="0"/>
      </c:catAx>
      <c:valAx>
        <c:axId val="-73115281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153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'Cathedral Glen'!$A$18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'Cathedral Glen'!$F$3:$AI$3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'Cathedral Glen'!$F$18:$AI$18</c:f>
              <c:numCache>
                <c:formatCode>#,##0_);\(#,##0\)</c:formatCode>
                <c:ptCount val="4"/>
                <c:pt idx="0">
                  <c:v>18</c:v>
                </c:pt>
                <c:pt idx="1">
                  <c:v>136</c:v>
                </c:pt>
                <c:pt idx="2">
                  <c:v>108</c:v>
                </c:pt>
                <c:pt idx="3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3-4417-99C5-A2BE6397F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0398096"/>
        <c:axId val="-720392112"/>
      </c:barChart>
      <c:catAx>
        <c:axId val="-72039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0392112"/>
        <c:crosses val="autoZero"/>
        <c:auto val="1"/>
        <c:lblAlgn val="ctr"/>
        <c:lblOffset val="100"/>
        <c:noMultiLvlLbl val="0"/>
      </c:catAx>
      <c:valAx>
        <c:axId val="-7203921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039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'Woodchuck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'Woodchuck Hollow'!$F$3:$AI$3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'Woodchuck Hollow'!$F$18:$AI$18</c:f>
              <c:numCache>
                <c:formatCode>#,##0_);\(#,##0\)</c:formatCode>
                <c:ptCount val="9"/>
                <c:pt idx="0">
                  <c:v>8</c:v>
                </c:pt>
                <c:pt idx="1">
                  <c:v>150</c:v>
                </c:pt>
                <c:pt idx="2">
                  <c:v>119</c:v>
                </c:pt>
                <c:pt idx="3">
                  <c:v>141</c:v>
                </c:pt>
                <c:pt idx="4">
                  <c:v>164</c:v>
                </c:pt>
                <c:pt idx="5">
                  <c:v>46</c:v>
                </c:pt>
                <c:pt idx="6">
                  <c:v>12</c:v>
                </c:pt>
                <c:pt idx="7">
                  <c:v>17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D-4181-84C8-3032DF32B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0398096"/>
        <c:axId val="-720392112"/>
      </c:barChart>
      <c:catAx>
        <c:axId val="-72039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0392112"/>
        <c:crosses val="autoZero"/>
        <c:auto val="1"/>
        <c:lblAlgn val="ctr"/>
        <c:lblOffset val="100"/>
        <c:noMultiLvlLbl val="0"/>
      </c:catAx>
      <c:valAx>
        <c:axId val="-7203921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039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7449175638730475E-2"/>
          <c:y val="0.14055595274152716"/>
          <c:w val="0.74958548673461434"/>
          <c:h val="0.7761416999030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'Biscuit Brook'!$A$18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'Biscuit Brook'!$F$3:$AH$3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'Biscuit Brook'!$F$18:$AH$18</c:f>
              <c:numCache>
                <c:formatCode>#,##0_);\(#,##0\)</c:formatCode>
                <c:ptCount val="12"/>
                <c:pt idx="0">
                  <c:v>928</c:v>
                </c:pt>
                <c:pt idx="1">
                  <c:v>890</c:v>
                </c:pt>
                <c:pt idx="2">
                  <c:v>954</c:v>
                </c:pt>
                <c:pt idx="3">
                  <c:v>1096</c:v>
                </c:pt>
                <c:pt idx="4">
                  <c:v>1283</c:v>
                </c:pt>
                <c:pt idx="5">
                  <c:v>1014</c:v>
                </c:pt>
                <c:pt idx="6">
                  <c:v>1039</c:v>
                </c:pt>
                <c:pt idx="7">
                  <c:v>1206</c:v>
                </c:pt>
                <c:pt idx="8">
                  <c:v>1842</c:v>
                </c:pt>
                <c:pt idx="9">
                  <c:v>1592</c:v>
                </c:pt>
                <c:pt idx="10">
                  <c:v>1347</c:v>
                </c:pt>
                <c:pt idx="11">
                  <c:v>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8-4B14-B6AF-4A3A7E0FF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146288"/>
        <c:axId val="-731145744"/>
      </c:barChart>
      <c:catAx>
        <c:axId val="-73114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145744"/>
        <c:crosses val="autoZero"/>
        <c:auto val="1"/>
        <c:lblAlgn val="ctr"/>
        <c:lblOffset val="100"/>
        <c:noMultiLvlLbl val="0"/>
      </c:catAx>
      <c:valAx>
        <c:axId val="-73114574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14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'Hardenburgh- MH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'Hardenburgh- MH Trail'!$D$3:$AH$3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'Hardenburgh- MH Trail'!$D$18:$AH$18</c:f>
              <c:numCache>
                <c:formatCode>#,##0_);\(#,##0\)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69</c:v>
                </c:pt>
                <c:pt idx="3">
                  <c:v>82</c:v>
                </c:pt>
                <c:pt idx="4">
                  <c:v>145</c:v>
                </c:pt>
                <c:pt idx="5">
                  <c:v>131</c:v>
                </c:pt>
                <c:pt idx="6">
                  <c:v>93</c:v>
                </c:pt>
                <c:pt idx="7">
                  <c:v>112</c:v>
                </c:pt>
                <c:pt idx="8">
                  <c:v>169</c:v>
                </c:pt>
                <c:pt idx="9">
                  <c:v>121</c:v>
                </c:pt>
                <c:pt idx="10">
                  <c:v>77</c:v>
                </c:pt>
                <c:pt idx="1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C-4AC0-A6B0-77BD12FE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156624"/>
        <c:axId val="-731144112"/>
      </c:barChart>
      <c:catAx>
        <c:axId val="-73115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144112"/>
        <c:crosses val="autoZero"/>
        <c:auto val="1"/>
        <c:lblAlgn val="ctr"/>
        <c:lblOffset val="100"/>
        <c:noMultiLvlLbl val="0"/>
      </c:catAx>
      <c:valAx>
        <c:axId val="-7311441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15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'McKenley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'McKenley Hollow'!$F$3:$AI$3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'McKenley Hollow'!$F$18:$AI$18</c:f>
              <c:numCache>
                <c:formatCode>#,##0_);\(#,##0\)</c:formatCode>
                <c:ptCount val="13"/>
                <c:pt idx="0">
                  <c:v>675</c:v>
                </c:pt>
                <c:pt idx="1">
                  <c:v>783</c:v>
                </c:pt>
                <c:pt idx="2">
                  <c:v>988</c:v>
                </c:pt>
                <c:pt idx="3">
                  <c:v>985</c:v>
                </c:pt>
                <c:pt idx="4">
                  <c:v>1166</c:v>
                </c:pt>
                <c:pt idx="5">
                  <c:v>835</c:v>
                </c:pt>
                <c:pt idx="6">
                  <c:v>907</c:v>
                </c:pt>
                <c:pt idx="7">
                  <c:v>1026</c:v>
                </c:pt>
                <c:pt idx="8">
                  <c:v>1388</c:v>
                </c:pt>
                <c:pt idx="9">
                  <c:v>1266</c:v>
                </c:pt>
                <c:pt idx="10">
                  <c:v>994</c:v>
                </c:pt>
                <c:pt idx="11">
                  <c:v>1244</c:v>
                </c:pt>
                <c:pt idx="1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3-44CC-8096-E95B7D7AE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157712"/>
        <c:axId val="-731157168"/>
      </c:barChart>
      <c:catAx>
        <c:axId val="-73115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157168"/>
        <c:crosses val="autoZero"/>
        <c:auto val="1"/>
        <c:lblAlgn val="ctr"/>
        <c:lblOffset val="100"/>
        <c:noMultiLvlLbl val="0"/>
      </c:catAx>
      <c:valAx>
        <c:axId val="-73115716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157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'Mongaup Pond'!$A$18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'Mongaup Pond'!$F$3:$AF$3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'Mongaup Pond'!$F$18:$AF$18</c:f>
              <c:numCache>
                <c:formatCode>#,##0_);\(#,##0\)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7937</c:v>
                </c:pt>
                <c:pt idx="3">
                  <c:v>0</c:v>
                </c:pt>
                <c:pt idx="4">
                  <c:v>170</c:v>
                </c:pt>
                <c:pt idx="5">
                  <c:v>233</c:v>
                </c:pt>
                <c:pt idx="6">
                  <c:v>197</c:v>
                </c:pt>
                <c:pt idx="7">
                  <c:v>277</c:v>
                </c:pt>
                <c:pt idx="8">
                  <c:v>201</c:v>
                </c:pt>
                <c:pt idx="9">
                  <c:v>223</c:v>
                </c:pt>
                <c:pt idx="10">
                  <c:v>232</c:v>
                </c:pt>
                <c:pt idx="11">
                  <c:v>172</c:v>
                </c:pt>
                <c:pt idx="12">
                  <c:v>225</c:v>
                </c:pt>
                <c:pt idx="1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9-48E7-8F2A-478492FCC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154992"/>
        <c:axId val="-731154448"/>
      </c:barChart>
      <c:catAx>
        <c:axId val="-7311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154448"/>
        <c:crosses val="autoZero"/>
        <c:auto val="1"/>
        <c:lblAlgn val="ctr"/>
        <c:lblOffset val="100"/>
        <c:noMultiLvlLbl val="0"/>
      </c:catAx>
      <c:valAx>
        <c:axId val="-73115444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154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'Rider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'Rider Hollow'!$F$3:$AI$3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'Rider Hollow'!$F$18:$AI$18</c:f>
              <c:numCache>
                <c:formatCode>#,##0_);\(#,##0\)</c:formatCode>
                <c:ptCount val="13"/>
                <c:pt idx="0">
                  <c:v>1244</c:v>
                </c:pt>
                <c:pt idx="1">
                  <c:v>1092</c:v>
                </c:pt>
                <c:pt idx="2">
                  <c:v>1469</c:v>
                </c:pt>
                <c:pt idx="3">
                  <c:v>1491</c:v>
                </c:pt>
                <c:pt idx="4">
                  <c:v>1884</c:v>
                </c:pt>
                <c:pt idx="5">
                  <c:v>1317</c:v>
                </c:pt>
                <c:pt idx="6">
                  <c:v>1497</c:v>
                </c:pt>
                <c:pt idx="7">
                  <c:v>2040</c:v>
                </c:pt>
                <c:pt idx="8">
                  <c:v>3101</c:v>
                </c:pt>
                <c:pt idx="9">
                  <c:v>2573</c:v>
                </c:pt>
                <c:pt idx="10">
                  <c:v>2022</c:v>
                </c:pt>
                <c:pt idx="11">
                  <c:v>1807</c:v>
                </c:pt>
                <c:pt idx="12">
                  <c:v>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F-440E-B3A2-DB84C6C73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079264"/>
        <c:axId val="-731078720"/>
      </c:barChart>
      <c:catAx>
        <c:axId val="-73107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078720"/>
        <c:crosses val="autoZero"/>
        <c:auto val="1"/>
        <c:lblAlgn val="ctr"/>
        <c:lblOffset val="100"/>
        <c:noMultiLvlLbl val="0"/>
      </c:catAx>
      <c:valAx>
        <c:axId val="-73107872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079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Seager!$A$18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Seager!$F$3:$AI$3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Seager!$F$18:$AI$18</c:f>
              <c:numCache>
                <c:formatCode>#,##0_);\(#,##0\)</c:formatCode>
                <c:ptCount val="13"/>
                <c:pt idx="0">
                  <c:v>1203</c:v>
                </c:pt>
                <c:pt idx="1">
                  <c:v>1217</c:v>
                </c:pt>
                <c:pt idx="2">
                  <c:v>1216</c:v>
                </c:pt>
                <c:pt idx="3">
                  <c:v>1321</c:v>
                </c:pt>
                <c:pt idx="4">
                  <c:v>1666</c:v>
                </c:pt>
                <c:pt idx="5">
                  <c:v>1580</c:v>
                </c:pt>
                <c:pt idx="6">
                  <c:v>1333</c:v>
                </c:pt>
                <c:pt idx="7">
                  <c:v>1446</c:v>
                </c:pt>
                <c:pt idx="8">
                  <c:v>1293</c:v>
                </c:pt>
                <c:pt idx="9">
                  <c:v>814</c:v>
                </c:pt>
                <c:pt idx="10">
                  <c:v>628</c:v>
                </c:pt>
                <c:pt idx="11">
                  <c:v>604</c:v>
                </c:pt>
                <c:pt idx="12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E-4C35-824C-A48BBAFC8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1074368"/>
        <c:axId val="-731078176"/>
      </c:barChart>
      <c:catAx>
        <c:axId val="-7310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1078176"/>
        <c:crosses val="autoZero"/>
        <c:auto val="1"/>
        <c:lblAlgn val="ctr"/>
        <c:lblOffset val="100"/>
        <c:noMultiLvlLbl val="0"/>
      </c:catAx>
      <c:valAx>
        <c:axId val="-73107817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1074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'Onteora Lake'!$A$18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'Onteora Lake'!$D$3:$BZ$3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'Onteora Lake'!$D$18:$BZ$18</c:f>
              <c:numCache>
                <c:formatCode>#,##0_);\(#,##0\)</c:formatCode>
                <c:ptCount val="11"/>
                <c:pt idx="0">
                  <c:v>2016</c:v>
                </c:pt>
                <c:pt idx="1">
                  <c:v>2933</c:v>
                </c:pt>
                <c:pt idx="2">
                  <c:v>3467</c:v>
                </c:pt>
                <c:pt idx="3">
                  <c:v>3449</c:v>
                </c:pt>
                <c:pt idx="4">
                  <c:v>3184</c:v>
                </c:pt>
                <c:pt idx="5">
                  <c:v>3590</c:v>
                </c:pt>
                <c:pt idx="6">
                  <c:v>3407.666666666667</c:v>
                </c:pt>
                <c:pt idx="7">
                  <c:v>0</c:v>
                </c:pt>
                <c:pt idx="8">
                  <c:v>1836</c:v>
                </c:pt>
                <c:pt idx="9">
                  <c:v>1804</c:v>
                </c:pt>
                <c:pt idx="10">
                  <c:v>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2-4361-AA4B-7EEFDD38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6576"/>
        <c:axId val="-717614192"/>
      </c:barChart>
      <c:catAx>
        <c:axId val="-71760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14192"/>
        <c:crosses val="autoZero"/>
        <c:auto val="1"/>
        <c:lblAlgn val="ctr"/>
        <c:lblOffset val="100"/>
        <c:noMultiLvlLbl val="0"/>
      </c:catAx>
      <c:valAx>
        <c:axId val="-71761419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6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Overlook Annual Sign-ins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Overlook!$A$18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Overlook!$B$3:$AH$3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Overlook!$B$18:$AH$18</c:f>
              <c:numCache>
                <c:formatCode>#,##0_);\(#,##0\)</c:formatCode>
                <c:ptCount val="33"/>
                <c:pt idx="0">
                  <c:v>4030</c:v>
                </c:pt>
                <c:pt idx="1">
                  <c:v>2993</c:v>
                </c:pt>
                <c:pt idx="2">
                  <c:v>3251</c:v>
                </c:pt>
                <c:pt idx="3">
                  <c:v>5256</c:v>
                </c:pt>
                <c:pt idx="4">
                  <c:v>4876</c:v>
                </c:pt>
                <c:pt idx="5">
                  <c:v>5005</c:v>
                </c:pt>
                <c:pt idx="6">
                  <c:v>6392</c:v>
                </c:pt>
                <c:pt idx="7">
                  <c:v>6869</c:v>
                </c:pt>
                <c:pt idx="8">
                  <c:v>6088</c:v>
                </c:pt>
                <c:pt idx="9">
                  <c:v>5676</c:v>
                </c:pt>
                <c:pt idx="10">
                  <c:v>7054</c:v>
                </c:pt>
                <c:pt idx="11">
                  <c:v>6673</c:v>
                </c:pt>
                <c:pt idx="12">
                  <c:v>6928</c:v>
                </c:pt>
                <c:pt idx="13">
                  <c:v>7054</c:v>
                </c:pt>
                <c:pt idx="14">
                  <c:v>6042</c:v>
                </c:pt>
                <c:pt idx="15">
                  <c:v>6953</c:v>
                </c:pt>
                <c:pt idx="16">
                  <c:v>7305</c:v>
                </c:pt>
                <c:pt idx="17">
                  <c:v>0</c:v>
                </c:pt>
                <c:pt idx="18">
                  <c:v>0</c:v>
                </c:pt>
                <c:pt idx="19" formatCode="General">
                  <c:v>8088</c:v>
                </c:pt>
                <c:pt idx="20">
                  <c:v>0</c:v>
                </c:pt>
                <c:pt idx="21">
                  <c:v>7491</c:v>
                </c:pt>
                <c:pt idx="22">
                  <c:v>9246</c:v>
                </c:pt>
                <c:pt idx="23">
                  <c:v>10860</c:v>
                </c:pt>
                <c:pt idx="24">
                  <c:v>12610</c:v>
                </c:pt>
                <c:pt idx="25">
                  <c:v>10933.33333333333</c:v>
                </c:pt>
                <c:pt idx="26">
                  <c:v>16658</c:v>
                </c:pt>
                <c:pt idx="27">
                  <c:v>14888</c:v>
                </c:pt>
                <c:pt idx="28">
                  <c:v>12762</c:v>
                </c:pt>
                <c:pt idx="29">
                  <c:v>9107</c:v>
                </c:pt>
                <c:pt idx="30">
                  <c:v>8244</c:v>
                </c:pt>
                <c:pt idx="31">
                  <c:v>8006</c:v>
                </c:pt>
                <c:pt idx="32">
                  <c:v>8153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4-4598-9D49-BC7E149EA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6065728"/>
        <c:axId val="-736053216"/>
      </c:barChart>
      <c:catAx>
        <c:axId val="-73606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-736053216"/>
        <c:crosses val="autoZero"/>
        <c:auto val="1"/>
        <c:lblAlgn val="ctr"/>
        <c:lblOffset val="100"/>
        <c:noMultiLvlLbl val="0"/>
      </c:catAx>
      <c:valAx>
        <c:axId val="-73605321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-736065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'Mt Tremper'!$A$18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'Mt Tremper'!$D$3:$AH$3</c15:sqref>
                  </c15:fullRef>
                </c:ext>
              </c:extLst>
              <c:f>'Mt Tremper'!$D$3:$AH$3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'Mt Tremper'!$D$18:$CA$18</c15:sqref>
                  </c15:fullRef>
                </c:ext>
              </c:extLst>
              <c:f>('Mt Tremper'!$D$18:$AH$18,'Mt Tremper'!$BU$18:$CA$18)</c:f>
              <c:numCache>
                <c:formatCode>#,##0_);\(#,##0\)</c:formatCode>
                <c:ptCount val="21"/>
                <c:pt idx="0">
                  <c:v>2682</c:v>
                </c:pt>
                <c:pt idx="1">
                  <c:v>0</c:v>
                </c:pt>
                <c:pt idx="2">
                  <c:v>2758</c:v>
                </c:pt>
                <c:pt idx="3">
                  <c:v>2606</c:v>
                </c:pt>
                <c:pt idx="4">
                  <c:v>2928</c:v>
                </c:pt>
                <c:pt idx="5">
                  <c:v>3554</c:v>
                </c:pt>
                <c:pt idx="6">
                  <c:v>2967.333333333333</c:v>
                </c:pt>
                <c:pt idx="7">
                  <c:v>3096</c:v>
                </c:pt>
                <c:pt idx="8">
                  <c:v>3496</c:v>
                </c:pt>
                <c:pt idx="9">
                  <c:v>4635</c:v>
                </c:pt>
                <c:pt idx="10">
                  <c:v>3367.3333333333335</c:v>
                </c:pt>
                <c:pt idx="11">
                  <c:v>2808.333333333333</c:v>
                </c:pt>
                <c:pt idx="12">
                  <c:v>3606.7777777777778</c:v>
                </c:pt>
                <c:pt idx="13">
                  <c:v>2833</c:v>
                </c:pt>
                <c:pt idx="18">
                  <c:v>1915.8</c:v>
                </c:pt>
                <c:pt idx="19">
                  <c:v>1987.3333333333333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4-46BF-8630-F6B71617C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6066272"/>
        <c:axId val="-736064096"/>
      </c:barChart>
      <c:catAx>
        <c:axId val="-73606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6064096"/>
        <c:crosses val="autoZero"/>
        <c:auto val="1"/>
        <c:lblAlgn val="ctr"/>
        <c:lblOffset val="100"/>
        <c:noMultiLvlLbl val="0"/>
      </c:catAx>
      <c:valAx>
        <c:axId val="-73606409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606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4.0855229124720824E-2"/>
          <c:y val="0.11995770908671582"/>
          <c:w val="0.8876919828730121"/>
          <c:h val="0.787981813870745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'Rochester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'Rochester Hollow'!$F$3:$AI$3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'Rochester Hollow'!$F$18:$AI$18</c:f>
              <c:numCache>
                <c:formatCode>#,##0_);\(#,##0\)</c:formatCode>
                <c:ptCount val="13"/>
                <c:pt idx="0">
                  <c:v>697</c:v>
                </c:pt>
                <c:pt idx="1">
                  <c:v>1111</c:v>
                </c:pt>
                <c:pt idx="2">
                  <c:v>1378</c:v>
                </c:pt>
                <c:pt idx="3">
                  <c:v>1622</c:v>
                </c:pt>
                <c:pt idx="4">
                  <c:v>1413.8999999999999</c:v>
                </c:pt>
                <c:pt idx="5">
                  <c:v>1870</c:v>
                </c:pt>
                <c:pt idx="6">
                  <c:v>1648</c:v>
                </c:pt>
                <c:pt idx="7">
                  <c:v>1697</c:v>
                </c:pt>
                <c:pt idx="8">
                  <c:v>2167</c:v>
                </c:pt>
                <c:pt idx="9">
                  <c:v>4462</c:v>
                </c:pt>
                <c:pt idx="10">
                  <c:v>1782</c:v>
                </c:pt>
                <c:pt idx="11">
                  <c:v>1777</c:v>
                </c:pt>
                <c:pt idx="12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6-4989-A178-DDFC90D22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12016"/>
        <c:axId val="-717604400"/>
      </c:barChart>
      <c:catAx>
        <c:axId val="-71761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4400"/>
        <c:crosses val="autoZero"/>
        <c:auto val="1"/>
        <c:lblAlgn val="ctr"/>
        <c:lblOffset val="100"/>
        <c:noMultiLvlLbl val="0"/>
      </c:catAx>
      <c:valAx>
        <c:axId val="-71760440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12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0378731499283558"/>
          <c:y val="3.695157878189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Denning!$A$18</c:f>
              <c:strCache>
                <c:ptCount val="1"/>
                <c:pt idx="0">
                  <c:v>Yearly Totals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Denning!$B$3:$AH$3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Denning!$B$18:$AH$18</c:f>
              <c:numCache>
                <c:formatCode>#,##0_);\(#,##0\)</c:formatCode>
                <c:ptCount val="33"/>
                <c:pt idx="0">
                  <c:v>2076</c:v>
                </c:pt>
                <c:pt idx="1">
                  <c:v>1986</c:v>
                </c:pt>
                <c:pt idx="2">
                  <c:v>2214</c:v>
                </c:pt>
                <c:pt idx="3">
                  <c:v>1890</c:v>
                </c:pt>
                <c:pt idx="4">
                  <c:v>2028</c:v>
                </c:pt>
                <c:pt idx="5">
                  <c:v>1630</c:v>
                </c:pt>
                <c:pt idx="6">
                  <c:v>1773</c:v>
                </c:pt>
                <c:pt idx="7">
                  <c:v>2113</c:v>
                </c:pt>
                <c:pt idx="8">
                  <c:v>2021</c:v>
                </c:pt>
                <c:pt idx="9">
                  <c:v>1674</c:v>
                </c:pt>
                <c:pt idx="10">
                  <c:v>865</c:v>
                </c:pt>
                <c:pt idx="11">
                  <c:v>1482</c:v>
                </c:pt>
                <c:pt idx="12">
                  <c:v>1354</c:v>
                </c:pt>
                <c:pt idx="13">
                  <c:v>1280</c:v>
                </c:pt>
                <c:pt idx="14">
                  <c:v>1375</c:v>
                </c:pt>
                <c:pt idx="15">
                  <c:v>1227</c:v>
                </c:pt>
                <c:pt idx="16">
                  <c:v>1452</c:v>
                </c:pt>
                <c:pt idx="17">
                  <c:v>0</c:v>
                </c:pt>
                <c:pt idx="18">
                  <c:v>0</c:v>
                </c:pt>
                <c:pt idx="19">
                  <c:v>1586</c:v>
                </c:pt>
                <c:pt idx="20">
                  <c:v>0</c:v>
                </c:pt>
                <c:pt idx="21">
                  <c:v>2078</c:v>
                </c:pt>
                <c:pt idx="22">
                  <c:v>2107</c:v>
                </c:pt>
                <c:pt idx="23">
                  <c:v>1988</c:v>
                </c:pt>
                <c:pt idx="24">
                  <c:v>2388</c:v>
                </c:pt>
                <c:pt idx="25">
                  <c:v>2568</c:v>
                </c:pt>
                <c:pt idx="26">
                  <c:v>2565</c:v>
                </c:pt>
                <c:pt idx="27">
                  <c:v>2075</c:v>
                </c:pt>
                <c:pt idx="28">
                  <c:v>2504</c:v>
                </c:pt>
                <c:pt idx="29">
                  <c:v>3533</c:v>
                </c:pt>
                <c:pt idx="30">
                  <c:v>2848</c:v>
                </c:pt>
                <c:pt idx="31">
                  <c:v>2641</c:v>
                </c:pt>
                <c:pt idx="32">
                  <c:v>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3-4244-95C0-A8BED0CEE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047056"/>
        <c:axId val="747047416"/>
      </c:barChart>
      <c:catAx>
        <c:axId val="74704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047416"/>
        <c:crosses val="autoZero"/>
        <c:auto val="1"/>
        <c:lblAlgn val="ctr"/>
        <c:lblOffset val="100"/>
        <c:noMultiLvlLbl val="0"/>
      </c:catAx>
      <c:valAx>
        <c:axId val="74704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04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'Fox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'Fox Hollow'!$F$3:$AI$3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'Fox Hollow'!$F$18:$AI$18</c:f>
              <c:numCache>
                <c:formatCode>#,##0_);\(#,##0\)</c:formatCode>
                <c:ptCount val="13"/>
                <c:pt idx="0">
                  <c:v>917</c:v>
                </c:pt>
                <c:pt idx="1">
                  <c:v>818</c:v>
                </c:pt>
                <c:pt idx="2">
                  <c:v>1084</c:v>
                </c:pt>
                <c:pt idx="3">
                  <c:v>927</c:v>
                </c:pt>
                <c:pt idx="4">
                  <c:v>1154</c:v>
                </c:pt>
                <c:pt idx="5">
                  <c:v>1237</c:v>
                </c:pt>
                <c:pt idx="6">
                  <c:v>1012</c:v>
                </c:pt>
                <c:pt idx="7">
                  <c:v>1010</c:v>
                </c:pt>
                <c:pt idx="8">
                  <c:v>1354</c:v>
                </c:pt>
                <c:pt idx="9">
                  <c:v>1320</c:v>
                </c:pt>
                <c:pt idx="10">
                  <c:v>879</c:v>
                </c:pt>
                <c:pt idx="11">
                  <c:v>976</c:v>
                </c:pt>
                <c:pt idx="12">
                  <c:v>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8-4AB0-80A1-17BE1E379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1335936"/>
        <c:axId val="-721340832"/>
      </c:barChart>
      <c:catAx>
        <c:axId val="-72133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1340832"/>
        <c:crosses val="autoZero"/>
        <c:auto val="1"/>
        <c:lblAlgn val="ctr"/>
        <c:lblOffset val="100"/>
        <c:noMultiLvlLbl val="0"/>
      </c:catAx>
      <c:valAx>
        <c:axId val="-72134083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1335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4000"/>
              <a:t>Giant Ledge - Annual Sign-in Totals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375467196458943E-2"/>
          <c:y val="9.5553870758095613E-2"/>
          <c:w val="0.89167649253161885"/>
          <c:h val="0.84781486192245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'Giant Ledge'!$A$18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'Giant Ledge'!$B$3:$AH$3</c:f>
              <c:numCache>
                <c:formatCode>General</c:formatCode>
                <c:ptCount val="3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2010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'Giant Ledge'!$B$18:$AH$18</c:f>
              <c:numCache>
                <c:formatCode>#,##0_);\(#,##0\)</c:formatCode>
                <c:ptCount val="30"/>
                <c:pt idx="0">
                  <c:v>4760</c:v>
                </c:pt>
                <c:pt idx="1">
                  <c:v>4535</c:v>
                </c:pt>
                <c:pt idx="2">
                  <c:v>4439</c:v>
                </c:pt>
                <c:pt idx="3">
                  <c:v>4617</c:v>
                </c:pt>
                <c:pt idx="4">
                  <c:v>5516</c:v>
                </c:pt>
                <c:pt idx="5">
                  <c:v>5120</c:v>
                </c:pt>
                <c:pt idx="6">
                  <c:v>5444</c:v>
                </c:pt>
                <c:pt idx="7">
                  <c:v>5695</c:v>
                </c:pt>
                <c:pt idx="8">
                  <c:v>3944</c:v>
                </c:pt>
                <c:pt idx="9">
                  <c:v>5499</c:v>
                </c:pt>
                <c:pt idx="10">
                  <c:v>5093</c:v>
                </c:pt>
                <c:pt idx="11">
                  <c:v>5210</c:v>
                </c:pt>
                <c:pt idx="12">
                  <c:v>4848</c:v>
                </c:pt>
                <c:pt idx="13">
                  <c:v>5171</c:v>
                </c:pt>
                <c:pt idx="14">
                  <c:v>4206</c:v>
                </c:pt>
                <c:pt idx="15">
                  <c:v>4884</c:v>
                </c:pt>
                <c:pt idx="16">
                  <c:v>4815</c:v>
                </c:pt>
                <c:pt idx="17">
                  <c:v>6837</c:v>
                </c:pt>
                <c:pt idx="18">
                  <c:v>6143</c:v>
                </c:pt>
                <c:pt idx="19">
                  <c:v>7004</c:v>
                </c:pt>
                <c:pt idx="20">
                  <c:v>8318</c:v>
                </c:pt>
                <c:pt idx="21">
                  <c:v>8540</c:v>
                </c:pt>
                <c:pt idx="22">
                  <c:v>10325</c:v>
                </c:pt>
                <c:pt idx="23">
                  <c:v>11456</c:v>
                </c:pt>
                <c:pt idx="24">
                  <c:v>8129</c:v>
                </c:pt>
                <c:pt idx="25">
                  <c:v>9093</c:v>
                </c:pt>
                <c:pt idx="26">
                  <c:v>8906</c:v>
                </c:pt>
                <c:pt idx="27">
                  <c:v>8435</c:v>
                </c:pt>
                <c:pt idx="28">
                  <c:v>6661</c:v>
                </c:pt>
                <c:pt idx="29">
                  <c:v>5962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5-44F9-835C-33041C1AE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1339744"/>
        <c:axId val="-721339200"/>
      </c:barChart>
      <c:catAx>
        <c:axId val="-72133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-721339200"/>
        <c:crosses val="autoZero"/>
        <c:auto val="0"/>
        <c:lblAlgn val="ctr"/>
        <c:lblOffset val="100"/>
        <c:noMultiLvlLbl val="0"/>
      </c:catAx>
      <c:valAx>
        <c:axId val="-72133920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-721339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'Lane Street'!$A$18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'Lane Street'!$F$3:$AI$3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'Lane Street'!$F$18:$AI$18</c:f>
              <c:numCache>
                <c:formatCode>#,##0_);\(#,##0\)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776</c:v>
                </c:pt>
                <c:pt idx="6">
                  <c:v>604</c:v>
                </c:pt>
                <c:pt idx="7">
                  <c:v>760</c:v>
                </c:pt>
                <c:pt idx="8">
                  <c:v>591</c:v>
                </c:pt>
                <c:pt idx="9">
                  <c:v>563</c:v>
                </c:pt>
                <c:pt idx="10">
                  <c:v>623</c:v>
                </c:pt>
                <c:pt idx="11">
                  <c:v>788</c:v>
                </c:pt>
                <c:pt idx="12">
                  <c:v>654</c:v>
                </c:pt>
                <c:pt idx="13">
                  <c:v>545</c:v>
                </c:pt>
                <c:pt idx="14">
                  <c:v>514</c:v>
                </c:pt>
                <c:pt idx="15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5-440A-88BA-5B658D622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1341376"/>
        <c:axId val="-721337024"/>
      </c:barChart>
      <c:catAx>
        <c:axId val="-72134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1337024"/>
        <c:crosses val="autoZero"/>
        <c:auto val="1"/>
        <c:lblAlgn val="ctr"/>
        <c:lblOffset val="100"/>
        <c:noMultiLvlLbl val="0"/>
      </c:catAx>
      <c:valAx>
        <c:axId val="-72133702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1341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Peekamoose!$A$18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Peekamoose!$F$3:$AH$3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Peekamoose!$F$18:$AH$18</c:f>
              <c:numCache>
                <c:formatCode>#,##0_);\(#,##0\)</c:formatCode>
                <c:ptCount val="12"/>
                <c:pt idx="0">
                  <c:v>2219</c:v>
                </c:pt>
                <c:pt idx="1">
                  <c:v>1944</c:v>
                </c:pt>
                <c:pt idx="2">
                  <c:v>2464</c:v>
                </c:pt>
                <c:pt idx="3">
                  <c:v>2866</c:v>
                </c:pt>
                <c:pt idx="4">
                  <c:v>3168</c:v>
                </c:pt>
                <c:pt idx="5">
                  <c:v>2814</c:v>
                </c:pt>
                <c:pt idx="6">
                  <c:v>2334</c:v>
                </c:pt>
                <c:pt idx="7">
                  <c:v>2713</c:v>
                </c:pt>
                <c:pt idx="8">
                  <c:v>3396</c:v>
                </c:pt>
                <c:pt idx="9">
                  <c:v>1813</c:v>
                </c:pt>
                <c:pt idx="10">
                  <c:v>1551</c:v>
                </c:pt>
                <c:pt idx="11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D-45B0-A6ED-6FB88644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1336480"/>
        <c:axId val="-721342464"/>
      </c:barChart>
      <c:catAx>
        <c:axId val="-72133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1342464"/>
        <c:crosses val="autoZero"/>
        <c:auto val="1"/>
        <c:lblAlgn val="ctr"/>
        <c:lblOffset val="100"/>
        <c:noMultiLvlLbl val="0"/>
      </c:catAx>
      <c:valAx>
        <c:axId val="-72134246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1336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'Slide Mt'!$A$18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'Slide Mt'!$F$3:$AH$3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'Slide Mt'!$F$18:$AH$18</c:f>
              <c:numCache>
                <c:formatCode>#,##0_);\(#,##0\)</c:formatCode>
                <c:ptCount val="29"/>
                <c:pt idx="0">
                  <c:v>5896</c:v>
                </c:pt>
                <c:pt idx="1">
                  <c:v>5276</c:v>
                </c:pt>
                <c:pt idx="2">
                  <c:v>5873</c:v>
                </c:pt>
                <c:pt idx="3">
                  <c:v>6258</c:v>
                </c:pt>
                <c:pt idx="4">
                  <c:v>5568</c:v>
                </c:pt>
                <c:pt idx="5">
                  <c:v>5862</c:v>
                </c:pt>
                <c:pt idx="6">
                  <c:v>5399</c:v>
                </c:pt>
                <c:pt idx="7">
                  <c:v>4890</c:v>
                </c:pt>
                <c:pt idx="8">
                  <c:v>5119</c:v>
                </c:pt>
                <c:pt idx="9">
                  <c:v>4884</c:v>
                </c:pt>
                <c:pt idx="10">
                  <c:v>4614</c:v>
                </c:pt>
                <c:pt idx="11">
                  <c:v>4505</c:v>
                </c:pt>
                <c:pt idx="12">
                  <c:v>4789</c:v>
                </c:pt>
                <c:pt idx="13">
                  <c:v>0</c:v>
                </c:pt>
                <c:pt idx="14">
                  <c:v>0</c:v>
                </c:pt>
                <c:pt idx="15">
                  <c:v>5236</c:v>
                </c:pt>
                <c:pt idx="16">
                  <c:v>0</c:v>
                </c:pt>
                <c:pt idx="17">
                  <c:v>5163</c:v>
                </c:pt>
                <c:pt idx="18">
                  <c:v>4992</c:v>
                </c:pt>
                <c:pt idx="19">
                  <c:v>5536</c:v>
                </c:pt>
                <c:pt idx="20">
                  <c:v>6330</c:v>
                </c:pt>
                <c:pt idx="21">
                  <c:v>6522</c:v>
                </c:pt>
                <c:pt idx="22">
                  <c:v>6665</c:v>
                </c:pt>
                <c:pt idx="23">
                  <c:v>4913</c:v>
                </c:pt>
                <c:pt idx="24">
                  <c:v>5702</c:v>
                </c:pt>
                <c:pt idx="25">
                  <c:v>7953</c:v>
                </c:pt>
                <c:pt idx="26">
                  <c:v>7556</c:v>
                </c:pt>
                <c:pt idx="27">
                  <c:v>6706</c:v>
                </c:pt>
                <c:pt idx="28">
                  <c:v>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A-44E7-81B5-356E2338C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0395376"/>
        <c:axId val="-720393744"/>
      </c:barChart>
      <c:catAx>
        <c:axId val="-72039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0393744"/>
        <c:crosses val="autoZero"/>
        <c:auto val="1"/>
        <c:lblAlgn val="ctr"/>
        <c:lblOffset val="100"/>
        <c:noMultiLvlLbl val="0"/>
      </c:catAx>
      <c:valAx>
        <c:axId val="-72039374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039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Wittenberg!$A$18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Wittenberg!$F$3:$AI$3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Wittenberg!$F$18:$AI$18</c:f>
              <c:numCache>
                <c:formatCode>#,##0_);\(#,##0\)</c:formatCode>
                <c:ptCount val="30"/>
                <c:pt idx="0">
                  <c:v>3894</c:v>
                </c:pt>
                <c:pt idx="1">
                  <c:v>3625</c:v>
                </c:pt>
                <c:pt idx="2">
                  <c:v>3742</c:v>
                </c:pt>
                <c:pt idx="3">
                  <c:v>3991</c:v>
                </c:pt>
                <c:pt idx="4">
                  <c:v>3191</c:v>
                </c:pt>
                <c:pt idx="5">
                  <c:v>2823</c:v>
                </c:pt>
                <c:pt idx="6">
                  <c:v>3240</c:v>
                </c:pt>
                <c:pt idx="7">
                  <c:v>3456</c:v>
                </c:pt>
                <c:pt idx="8">
                  <c:v>3028</c:v>
                </c:pt>
                <c:pt idx="9">
                  <c:v>3522</c:v>
                </c:pt>
                <c:pt idx="10">
                  <c:v>3101</c:v>
                </c:pt>
                <c:pt idx="11">
                  <c:v>3084</c:v>
                </c:pt>
                <c:pt idx="12">
                  <c:v>3692</c:v>
                </c:pt>
                <c:pt idx="13">
                  <c:v>0</c:v>
                </c:pt>
                <c:pt idx="14">
                  <c:v>0</c:v>
                </c:pt>
                <c:pt idx="15">
                  <c:v>3850</c:v>
                </c:pt>
                <c:pt idx="16">
                  <c:v>0</c:v>
                </c:pt>
                <c:pt idx="17">
                  <c:v>3944</c:v>
                </c:pt>
                <c:pt idx="18">
                  <c:v>4106</c:v>
                </c:pt>
                <c:pt idx="19">
                  <c:v>4936</c:v>
                </c:pt>
                <c:pt idx="20">
                  <c:v>5074</c:v>
                </c:pt>
                <c:pt idx="21">
                  <c:v>5750</c:v>
                </c:pt>
                <c:pt idx="22">
                  <c:v>5788</c:v>
                </c:pt>
                <c:pt idx="23">
                  <c:v>5949</c:v>
                </c:pt>
                <c:pt idx="24">
                  <c:v>5418</c:v>
                </c:pt>
                <c:pt idx="25">
                  <c:v>5480</c:v>
                </c:pt>
                <c:pt idx="26">
                  <c:v>4675</c:v>
                </c:pt>
                <c:pt idx="27">
                  <c:v>3599</c:v>
                </c:pt>
                <c:pt idx="28">
                  <c:v>3983</c:v>
                </c:pt>
                <c:pt idx="29">
                  <c:v>3887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3-471A-A6DB-DEF52DEA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0398096"/>
        <c:axId val="-720392112"/>
      </c:barChart>
      <c:catAx>
        <c:axId val="-72039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0392112"/>
        <c:crosses val="autoZero"/>
        <c:auto val="1"/>
        <c:lblAlgn val="ctr"/>
        <c:lblOffset val="100"/>
        <c:noMultiLvlLbl val="0"/>
      </c:catAx>
      <c:valAx>
        <c:axId val="-7203921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039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'Woodland Valley'!$A$18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'Woodland Valley'!$C$3:$AI$3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'Woodland Valley'!$C$18:$AI$18</c:f>
              <c:numCache>
                <c:formatCode>#,##0_);\(#,##0\)</c:formatCode>
                <c:ptCount val="13"/>
                <c:pt idx="0">
                  <c:v>1617</c:v>
                </c:pt>
                <c:pt idx="1">
                  <c:v>1656</c:v>
                </c:pt>
                <c:pt idx="2">
                  <c:v>1682</c:v>
                </c:pt>
                <c:pt idx="3">
                  <c:v>2079</c:v>
                </c:pt>
                <c:pt idx="4">
                  <c:v>2208</c:v>
                </c:pt>
                <c:pt idx="5">
                  <c:v>2095</c:v>
                </c:pt>
                <c:pt idx="6">
                  <c:v>1476</c:v>
                </c:pt>
                <c:pt idx="7">
                  <c:v>1530</c:v>
                </c:pt>
                <c:pt idx="8">
                  <c:v>1337</c:v>
                </c:pt>
                <c:pt idx="9">
                  <c:v>1193</c:v>
                </c:pt>
                <c:pt idx="10">
                  <c:v>1260</c:v>
                </c:pt>
                <c:pt idx="11">
                  <c:v>1022</c:v>
                </c:pt>
                <c:pt idx="12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0-4305-9BC5-02C8B726A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20394288"/>
        <c:axId val="-720391568"/>
      </c:barChart>
      <c:catAx>
        <c:axId val="-7203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20391568"/>
        <c:crosses val="autoZero"/>
        <c:auto val="1"/>
        <c:lblAlgn val="ctr"/>
        <c:lblOffset val="100"/>
        <c:noMultiLvlLbl val="0"/>
      </c:catAx>
      <c:valAx>
        <c:axId val="-72039156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20394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9.8303634127590994E-2"/>
          <c:y val="0.12318191655592428"/>
          <c:w val="0.74624276422420399"/>
          <c:h val="0.7761416999030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'Ashokan HP'!$A$18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'Ashokan HP'!$F$3:$AI$3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'Ashokan HP'!$F$18:$AI$18</c:f>
              <c:numCache>
                <c:formatCode>#,##0_);\(#,##0\)</c:formatCode>
                <c:ptCount val="13"/>
                <c:pt idx="0">
                  <c:v>1891</c:v>
                </c:pt>
                <c:pt idx="1">
                  <c:v>1822</c:v>
                </c:pt>
                <c:pt idx="2">
                  <c:v>1813</c:v>
                </c:pt>
                <c:pt idx="3">
                  <c:v>1985</c:v>
                </c:pt>
                <c:pt idx="4">
                  <c:v>1846</c:v>
                </c:pt>
                <c:pt idx="5">
                  <c:v>2051</c:v>
                </c:pt>
                <c:pt idx="6">
                  <c:v>1733</c:v>
                </c:pt>
                <c:pt idx="7">
                  <c:v>1827</c:v>
                </c:pt>
                <c:pt idx="8">
                  <c:v>2537</c:v>
                </c:pt>
                <c:pt idx="9">
                  <c:v>1829</c:v>
                </c:pt>
                <c:pt idx="10">
                  <c:v>1560</c:v>
                </c:pt>
                <c:pt idx="11">
                  <c:v>1376</c:v>
                </c:pt>
                <c:pt idx="12">
                  <c:v>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0-4B48-932C-71739710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3856"/>
        <c:axId val="-717605488"/>
      </c:barChart>
      <c:catAx>
        <c:axId val="-7176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5488"/>
        <c:crosses val="autoZero"/>
        <c:auto val="1"/>
        <c:lblAlgn val="ctr"/>
        <c:lblOffset val="100"/>
        <c:noMultiLvlLbl val="0"/>
      </c:catAx>
      <c:valAx>
        <c:axId val="-7176054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3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9.8303634127590994E-2"/>
          <c:y val="0.12318191655592428"/>
          <c:w val="0.74624276422420399"/>
          <c:h val="0.7761416999030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'Bangle Hill'!$A$18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'Bangle Hill'!$AF$3:$AH$3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'Bangle Hill'!$AF$18:$AH$18</c:f>
              <c:numCache>
                <c:formatCode>#,##0_);\(#,##0\)</c:formatCode>
                <c:ptCount val="3"/>
                <c:pt idx="0">
                  <c:v>0</c:v>
                </c:pt>
                <c:pt idx="1">
                  <c:v>132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3-4FDC-B849-A54139CF6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3856"/>
        <c:axId val="-717605488"/>
      </c:barChart>
      <c:catAx>
        <c:axId val="-7176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5488"/>
        <c:crosses val="autoZero"/>
        <c:auto val="1"/>
        <c:lblAlgn val="ctr"/>
        <c:lblOffset val="100"/>
        <c:noMultiLvlLbl val="0"/>
      </c:catAx>
      <c:valAx>
        <c:axId val="-7176054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3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'Red Hill Dinch Road 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'Red Hill Dinch Road '!$F$3:$AI$3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'Red Hill Dinch Road '!$F$18:$AI$18</c:f>
              <c:numCache>
                <c:formatCode>#,##0_);\(#,##0\)</c:formatCode>
                <c:ptCount val="13"/>
                <c:pt idx="0">
                  <c:v>1058</c:v>
                </c:pt>
                <c:pt idx="1">
                  <c:v>1037</c:v>
                </c:pt>
                <c:pt idx="2">
                  <c:v>1727</c:v>
                </c:pt>
                <c:pt idx="3">
                  <c:v>1807</c:v>
                </c:pt>
                <c:pt idx="4">
                  <c:v>2222</c:v>
                </c:pt>
                <c:pt idx="5">
                  <c:v>2331</c:v>
                </c:pt>
                <c:pt idx="6">
                  <c:v>2270</c:v>
                </c:pt>
                <c:pt idx="7">
                  <c:v>3755</c:v>
                </c:pt>
                <c:pt idx="8">
                  <c:v>3397</c:v>
                </c:pt>
                <c:pt idx="9">
                  <c:v>2257</c:v>
                </c:pt>
                <c:pt idx="10">
                  <c:v>1929</c:v>
                </c:pt>
                <c:pt idx="11">
                  <c:v>1886</c:v>
                </c:pt>
                <c:pt idx="1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D-4978-B1F5-9300C8F9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36056480"/>
        <c:axId val="-736057568"/>
      </c:barChart>
      <c:catAx>
        <c:axId val="-73605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36057568"/>
        <c:crosses val="autoZero"/>
        <c:auto val="1"/>
        <c:lblAlgn val="ctr"/>
        <c:lblOffset val="100"/>
        <c:noMultiLvlLbl val="0"/>
      </c:catAx>
      <c:valAx>
        <c:axId val="-73605756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36056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9.8303634127590994E-2"/>
          <c:y val="0.12318191655592428"/>
          <c:w val="0.74624276422420399"/>
          <c:h val="0.7761416999030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'Trails End Road'!$A$18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'Trails End Road'!$AF$3:$AI$3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'Trails End Road'!$AF$18:$AI$18</c:f>
              <c:numCache>
                <c:formatCode>#,##0_);\(#,##0\)</c:formatCode>
                <c:ptCount val="4"/>
                <c:pt idx="0">
                  <c:v>0</c:v>
                </c:pt>
                <c:pt idx="1">
                  <c:v>878</c:v>
                </c:pt>
                <c:pt idx="2">
                  <c:v>512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A-4C86-853A-B083ACD92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3856"/>
        <c:axId val="-717605488"/>
      </c:barChart>
      <c:catAx>
        <c:axId val="-7176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5488"/>
        <c:crosses val="autoZero"/>
        <c:auto val="1"/>
        <c:lblAlgn val="ctr"/>
        <c:lblOffset val="100"/>
        <c:noMultiLvlLbl val="0"/>
      </c:catAx>
      <c:valAx>
        <c:axId val="-7176054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3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9.8303634127590994E-2"/>
          <c:y val="0.12318191655592428"/>
          <c:w val="0.74624276422420399"/>
          <c:h val="0.7761416999030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'Upper Cherrytown Road'!$A$18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'Upper Cherrytown Road'!$AE$3:$AH$3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'Upper Cherrytown Road'!$AE$18:$AH$18</c:f>
              <c:numCache>
                <c:formatCode>#,##0_);\(#,##0\)</c:formatCode>
                <c:ptCount val="4"/>
                <c:pt idx="0">
                  <c:v>0</c:v>
                </c:pt>
                <c:pt idx="1">
                  <c:v>1025</c:v>
                </c:pt>
                <c:pt idx="2">
                  <c:v>1025</c:v>
                </c:pt>
                <c:pt idx="3">
                  <c:v>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C-49AA-8B6F-DD92771EA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3856"/>
        <c:axId val="-717605488"/>
      </c:barChart>
      <c:catAx>
        <c:axId val="-7176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5488"/>
        <c:crosses val="autoZero"/>
        <c:auto val="1"/>
        <c:lblAlgn val="ctr"/>
        <c:lblOffset val="100"/>
        <c:noMultiLvlLbl val="0"/>
      </c:catAx>
      <c:valAx>
        <c:axId val="-7176054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3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Vernooy!$A$18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Vernooy!$E$3:$BY$3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Vernooy!$E$18:$BY$18</c:f>
              <c:numCache>
                <c:formatCode>#,##0_);\(#,##0\)</c:formatCode>
                <c:ptCount val="12"/>
                <c:pt idx="0">
                  <c:v>1851</c:v>
                </c:pt>
                <c:pt idx="1">
                  <c:v>1912</c:v>
                </c:pt>
                <c:pt idx="2">
                  <c:v>2061</c:v>
                </c:pt>
                <c:pt idx="3">
                  <c:v>2252</c:v>
                </c:pt>
                <c:pt idx="4">
                  <c:v>3441</c:v>
                </c:pt>
                <c:pt idx="5">
                  <c:v>3872</c:v>
                </c:pt>
                <c:pt idx="6">
                  <c:v>3492</c:v>
                </c:pt>
                <c:pt idx="7">
                  <c:v>3170</c:v>
                </c:pt>
                <c:pt idx="8">
                  <c:v>3511.3333333333335</c:v>
                </c:pt>
                <c:pt idx="9">
                  <c:v>0</c:v>
                </c:pt>
                <c:pt idx="10">
                  <c:v>1025</c:v>
                </c:pt>
                <c:pt idx="11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6-4C24-81A2-E07BF7A3F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7664"/>
        <c:axId val="-717601680"/>
      </c:barChart>
      <c:catAx>
        <c:axId val="-7176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1680"/>
        <c:crosses val="autoZero"/>
        <c:auto val="1"/>
        <c:lblAlgn val="ctr"/>
        <c:lblOffset val="100"/>
        <c:noMultiLvlLbl val="0"/>
      </c:catAx>
      <c:valAx>
        <c:axId val="-71760168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7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Flynn!$A$18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Flynn!$F$3:$AG$3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Flynn!$F$18:$AG$18</c:f>
              <c:numCache>
                <c:formatCode>#,##0_);\(#,##0\)</c:formatCode>
                <c:ptCount val="11"/>
                <c:pt idx="0">
                  <c:v>396</c:v>
                </c:pt>
                <c:pt idx="1">
                  <c:v>356</c:v>
                </c:pt>
                <c:pt idx="2">
                  <c:v>470</c:v>
                </c:pt>
                <c:pt idx="3">
                  <c:v>588</c:v>
                </c:pt>
                <c:pt idx="4">
                  <c:v>640</c:v>
                </c:pt>
                <c:pt idx="5">
                  <c:v>888</c:v>
                </c:pt>
                <c:pt idx="6">
                  <c:v>897</c:v>
                </c:pt>
                <c:pt idx="7">
                  <c:v>853</c:v>
                </c:pt>
                <c:pt idx="8">
                  <c:v>966</c:v>
                </c:pt>
                <c:pt idx="9">
                  <c:v>641</c:v>
                </c:pt>
                <c:pt idx="10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6-428F-B2A6-003B718D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0592"/>
        <c:axId val="-717609296"/>
      </c:barChart>
      <c:catAx>
        <c:axId val="-71760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9296"/>
        <c:crosses val="autoZero"/>
        <c:auto val="1"/>
        <c:lblAlgn val="ctr"/>
        <c:lblOffset val="100"/>
        <c:noMultiLvlLbl val="0"/>
      </c:catAx>
      <c:valAx>
        <c:axId val="-71760929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'Frick Pond'!$A$18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'Frick Pond'!$F$3:$AI$3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'Frick Pond'!$F$18:$AI$18</c:f>
              <c:numCache>
                <c:formatCode>#,##0_);\(#,##0\)</c:formatCode>
                <c:ptCount val="30"/>
                <c:pt idx="0">
                  <c:v>1418</c:v>
                </c:pt>
                <c:pt idx="1">
                  <c:v>1279</c:v>
                </c:pt>
                <c:pt idx="2">
                  <c:v>1526</c:v>
                </c:pt>
                <c:pt idx="3">
                  <c:v>1809</c:v>
                </c:pt>
                <c:pt idx="4">
                  <c:v>1517</c:v>
                </c:pt>
                <c:pt idx="5">
                  <c:v>1132</c:v>
                </c:pt>
                <c:pt idx="6">
                  <c:v>1153</c:v>
                </c:pt>
                <c:pt idx="7">
                  <c:v>980</c:v>
                </c:pt>
                <c:pt idx="8">
                  <c:v>773</c:v>
                </c:pt>
                <c:pt idx="9">
                  <c:v>720</c:v>
                </c:pt>
                <c:pt idx="10">
                  <c:v>879</c:v>
                </c:pt>
                <c:pt idx="11">
                  <c:v>692</c:v>
                </c:pt>
                <c:pt idx="12">
                  <c:v>763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692</c:v>
                </c:pt>
                <c:pt idx="19">
                  <c:v>1095</c:v>
                </c:pt>
                <c:pt idx="20">
                  <c:v>1231</c:v>
                </c:pt>
                <c:pt idx="21">
                  <c:v>1575</c:v>
                </c:pt>
                <c:pt idx="22">
                  <c:v>1642</c:v>
                </c:pt>
                <c:pt idx="23">
                  <c:v>1391</c:v>
                </c:pt>
                <c:pt idx="24">
                  <c:v>1650</c:v>
                </c:pt>
                <c:pt idx="25">
                  <c:v>1909</c:v>
                </c:pt>
                <c:pt idx="26">
                  <c:v>1727</c:v>
                </c:pt>
                <c:pt idx="27">
                  <c:v>1432</c:v>
                </c:pt>
                <c:pt idx="28">
                  <c:v>1342</c:v>
                </c:pt>
                <c:pt idx="29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5-4655-9330-6E934FEE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08208"/>
        <c:axId val="-717608752"/>
      </c:barChart>
      <c:catAx>
        <c:axId val="-71760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8752"/>
        <c:crosses val="autoZero"/>
        <c:auto val="1"/>
        <c:lblAlgn val="ctr"/>
        <c:lblOffset val="100"/>
        <c:noMultiLvlLbl val="0"/>
      </c:catAx>
      <c:valAx>
        <c:axId val="-71760875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0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 Pond'!$A$18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'Long Pond'!$F$3:$AF$3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'Long Pond'!$F$18:$AF$18</c:f>
              <c:numCache>
                <c:formatCode>#,##0_);\(#,##0\)</c:formatCode>
                <c:ptCount val="12"/>
                <c:pt idx="0">
                  <c:v>189</c:v>
                </c:pt>
                <c:pt idx="1">
                  <c:v>0</c:v>
                </c:pt>
                <c:pt idx="2">
                  <c:v>256</c:v>
                </c:pt>
                <c:pt idx="3">
                  <c:v>327</c:v>
                </c:pt>
                <c:pt idx="4">
                  <c:v>398</c:v>
                </c:pt>
                <c:pt idx="5">
                  <c:v>306</c:v>
                </c:pt>
                <c:pt idx="6">
                  <c:v>342</c:v>
                </c:pt>
                <c:pt idx="7">
                  <c:v>284</c:v>
                </c:pt>
                <c:pt idx="8">
                  <c:v>255</c:v>
                </c:pt>
                <c:pt idx="9">
                  <c:v>351</c:v>
                </c:pt>
                <c:pt idx="10">
                  <c:v>595</c:v>
                </c:pt>
                <c:pt idx="11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4-4980-8DA1-6DFA0BBD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15824"/>
        <c:axId val="-717607120"/>
      </c:barChart>
      <c:catAx>
        <c:axId val="-7176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717607120"/>
        <c:crosses val="autoZero"/>
        <c:auto val="1"/>
        <c:lblAlgn val="ctr"/>
        <c:lblOffset val="100"/>
        <c:noMultiLvlLbl val="0"/>
      </c:catAx>
      <c:valAx>
        <c:axId val="-71760712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-717615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Yearly  Totals-Wilderness and Wild Forest</a:t>
            </a:r>
          </a:p>
        </c:rich>
      </c:tx>
      <c:layout>
        <c:manualLayout>
          <c:xMode val="edge"/>
          <c:yMode val="edge"/>
          <c:x val="0.12050143934468435"/>
          <c:y val="2.571166207529843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Totals'!$A$19</c:f>
              <c:strCache>
                <c:ptCount val="1"/>
                <c:pt idx="0">
                  <c:v>Wilderness</c:v>
                </c:pt>
              </c:strCache>
            </c:strRef>
          </c:tx>
          <c:invertIfNegative val="0"/>
          <c:cat>
            <c:numRef>
              <c:f>'Yearly Totals'!$B$2:$AE$2</c:f>
              <c:numCache>
                <c:formatCode>General</c:formatCode>
                <c:ptCount val="3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</c:numCache>
            </c:numRef>
          </c:cat>
          <c:val>
            <c:numRef>
              <c:f>'Yearly Totals'!$B$19:$AE$19</c:f>
              <c:numCache>
                <c:formatCode>#,##0_);\(#,##0\)</c:formatCode>
                <c:ptCount val="30"/>
                <c:pt idx="0">
                  <c:v>22700</c:v>
                </c:pt>
                <c:pt idx="1">
                  <c:v>22759</c:v>
                </c:pt>
                <c:pt idx="2">
                  <c:v>24003</c:v>
                </c:pt>
                <c:pt idx="3">
                  <c:v>25128</c:v>
                </c:pt>
                <c:pt idx="4">
                  <c:v>26309</c:v>
                </c:pt>
                <c:pt idx="5">
                  <c:v>24031</c:v>
                </c:pt>
                <c:pt idx="6">
                  <c:v>26212</c:v>
                </c:pt>
                <c:pt idx="7">
                  <c:v>27781</c:v>
                </c:pt>
                <c:pt idx="8">
                  <c:v>23587</c:v>
                </c:pt>
                <c:pt idx="9">
                  <c:v>23830</c:v>
                </c:pt>
                <c:pt idx="10">
                  <c:v>23413</c:v>
                </c:pt>
                <c:pt idx="11">
                  <c:v>23705</c:v>
                </c:pt>
                <c:pt idx="12">
                  <c:v>21909</c:v>
                </c:pt>
                <c:pt idx="13">
                  <c:v>22899</c:v>
                </c:pt>
                <c:pt idx="14">
                  <c:v>20859</c:v>
                </c:pt>
                <c:pt idx="15">
                  <c:v>22710</c:v>
                </c:pt>
                <c:pt idx="16">
                  <c:v>22612</c:v>
                </c:pt>
                <c:pt idx="19">
                  <c:v>29572</c:v>
                </c:pt>
                <c:pt idx="21">
                  <c:v>26301</c:v>
                </c:pt>
                <c:pt idx="22">
                  <c:v>26842</c:v>
                </c:pt>
                <c:pt idx="23">
                  <c:v>31677</c:v>
                </c:pt>
                <c:pt idx="24">
                  <c:v>34060</c:v>
                </c:pt>
                <c:pt idx="25">
                  <c:v>38800</c:v>
                </c:pt>
                <c:pt idx="26">
                  <c:v>38311</c:v>
                </c:pt>
                <c:pt idx="27">
                  <c:v>31552</c:v>
                </c:pt>
                <c:pt idx="28">
                  <c:v>34595</c:v>
                </c:pt>
                <c:pt idx="29">
                  <c:v>40765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3-4107-A7F4-06E452D5A344}"/>
            </c:ext>
          </c:extLst>
        </c:ser>
        <c:ser>
          <c:idx val="1"/>
          <c:order val="1"/>
          <c:tx>
            <c:strRef>
              <c:f>'Yearly Totals'!$A$20</c:f>
              <c:strCache>
                <c:ptCount val="1"/>
                <c:pt idx="0">
                  <c:v>Wild Forest</c:v>
                </c:pt>
              </c:strCache>
            </c:strRef>
          </c:tx>
          <c:invertIfNegative val="0"/>
          <c:cat>
            <c:numRef>
              <c:f>'Yearly Totals'!$B$2:$AE$2</c:f>
              <c:numCache>
                <c:formatCode>General</c:formatCode>
                <c:ptCount val="3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</c:numCache>
            </c:numRef>
          </c:cat>
          <c:val>
            <c:numRef>
              <c:f>'Yearly Totals'!$B$20:$AE$20</c:f>
              <c:numCache>
                <c:formatCode>#,##0_);\(#,##0\)</c:formatCode>
                <c:ptCount val="30"/>
                <c:pt idx="0">
                  <c:v>14971</c:v>
                </c:pt>
                <c:pt idx="1">
                  <c:v>12746</c:v>
                </c:pt>
                <c:pt idx="2">
                  <c:v>14295</c:v>
                </c:pt>
                <c:pt idx="3">
                  <c:v>18977</c:v>
                </c:pt>
                <c:pt idx="4">
                  <c:v>15535</c:v>
                </c:pt>
                <c:pt idx="5">
                  <c:v>15076</c:v>
                </c:pt>
                <c:pt idx="6">
                  <c:v>18387</c:v>
                </c:pt>
                <c:pt idx="7">
                  <c:v>21587</c:v>
                </c:pt>
                <c:pt idx="8">
                  <c:v>20001</c:v>
                </c:pt>
                <c:pt idx="9">
                  <c:v>17314</c:v>
                </c:pt>
                <c:pt idx="10">
                  <c:v>20046</c:v>
                </c:pt>
                <c:pt idx="11">
                  <c:v>20446</c:v>
                </c:pt>
                <c:pt idx="12">
                  <c:v>18596</c:v>
                </c:pt>
                <c:pt idx="13">
                  <c:v>20063</c:v>
                </c:pt>
                <c:pt idx="14">
                  <c:v>18644</c:v>
                </c:pt>
                <c:pt idx="15">
                  <c:v>21724</c:v>
                </c:pt>
                <c:pt idx="16">
                  <c:v>23663</c:v>
                </c:pt>
                <c:pt idx="19">
                  <c:v>13357</c:v>
                </c:pt>
                <c:pt idx="21">
                  <c:v>24511</c:v>
                </c:pt>
                <c:pt idx="22">
                  <c:v>23749</c:v>
                </c:pt>
                <c:pt idx="23">
                  <c:v>30589</c:v>
                </c:pt>
                <c:pt idx="24">
                  <c:v>35245</c:v>
                </c:pt>
                <c:pt idx="25">
                  <c:v>37191.566666666666</c:v>
                </c:pt>
                <c:pt idx="26">
                  <c:v>43503</c:v>
                </c:pt>
                <c:pt idx="27">
                  <c:v>40335</c:v>
                </c:pt>
                <c:pt idx="28">
                  <c:v>43838.333333333336</c:v>
                </c:pt>
                <c:pt idx="29">
                  <c:v>41039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3-4107-A7F4-06E452D5A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7612560"/>
        <c:axId val="-716622800"/>
      </c:barChart>
      <c:catAx>
        <c:axId val="-71761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716622800"/>
        <c:crosses val="autoZero"/>
        <c:auto val="1"/>
        <c:lblAlgn val="ctr"/>
        <c:lblOffset val="100"/>
        <c:noMultiLvlLbl val="0"/>
      </c:catAx>
      <c:valAx>
        <c:axId val="-716622800"/>
        <c:scaling>
          <c:orientation val="minMax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crossAx val="-717612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Totals'!$A$17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vert="horz" wrap="square" lIns="38100" tIns="19050" rIns="38100" bIns="19050" anchor="ctr">
                <a:spAutoFit/>
              </a:bodyPr>
              <a:lstStyle/>
              <a:p>
                <a:pPr>
                  <a:defRPr sz="20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'Yearly Totals'!$B$2:$AI$2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'Yearly Totals'!$B$17:$AI$17</c:f>
              <c:numCache>
                <c:formatCode>#,##0_);\(#,##0\)</c:formatCode>
                <c:ptCount val="34"/>
                <c:pt idx="0">
                  <c:v>37671</c:v>
                </c:pt>
                <c:pt idx="1">
                  <c:v>35505</c:v>
                </c:pt>
                <c:pt idx="2">
                  <c:v>38298</c:v>
                </c:pt>
                <c:pt idx="3">
                  <c:v>44105</c:v>
                </c:pt>
                <c:pt idx="4">
                  <c:v>41844</c:v>
                </c:pt>
                <c:pt idx="5">
                  <c:v>39107</c:v>
                </c:pt>
                <c:pt idx="6">
                  <c:v>44599</c:v>
                </c:pt>
                <c:pt idx="7">
                  <c:v>49368</c:v>
                </c:pt>
                <c:pt idx="8">
                  <c:v>43588</c:v>
                </c:pt>
                <c:pt idx="9">
                  <c:v>41144</c:v>
                </c:pt>
                <c:pt idx="10">
                  <c:v>43459</c:v>
                </c:pt>
                <c:pt idx="11">
                  <c:v>44151</c:v>
                </c:pt>
                <c:pt idx="12">
                  <c:v>40505</c:v>
                </c:pt>
                <c:pt idx="13">
                  <c:v>42962</c:v>
                </c:pt>
                <c:pt idx="14">
                  <c:v>39503</c:v>
                </c:pt>
                <c:pt idx="15">
                  <c:v>44434</c:v>
                </c:pt>
                <c:pt idx="16">
                  <c:v>46275</c:v>
                </c:pt>
                <c:pt idx="19">
                  <c:v>53727</c:v>
                </c:pt>
                <c:pt idx="21">
                  <c:v>50812</c:v>
                </c:pt>
                <c:pt idx="22">
                  <c:v>50591</c:v>
                </c:pt>
                <c:pt idx="23">
                  <c:v>62266</c:v>
                </c:pt>
                <c:pt idx="24">
                  <c:v>69305</c:v>
                </c:pt>
                <c:pt idx="25">
                  <c:v>75991.56666666668</c:v>
                </c:pt>
                <c:pt idx="26">
                  <c:v>81814</c:v>
                </c:pt>
                <c:pt idx="27">
                  <c:v>72142</c:v>
                </c:pt>
                <c:pt idx="28">
                  <c:v>79218.333333333343</c:v>
                </c:pt>
                <c:pt idx="29">
                  <c:v>82170.000000000015</c:v>
                </c:pt>
                <c:pt idx="30">
                  <c:v>67413.333333333328</c:v>
                </c:pt>
                <c:pt idx="31">
                  <c:v>60013.777777777781</c:v>
                </c:pt>
                <c:pt idx="32">
                  <c:v>51878</c:v>
                </c:pt>
                <c:pt idx="33">
                  <c:v>37038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B-4839-AABC-6D322885A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6612464"/>
        <c:axId val="-716621168"/>
      </c:barChart>
      <c:catAx>
        <c:axId val="-71661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-716621168"/>
        <c:crosses val="autoZero"/>
        <c:auto val="1"/>
        <c:lblAlgn val="ctr"/>
        <c:lblOffset val="100"/>
        <c:noMultiLvlLbl val="0"/>
      </c:catAx>
      <c:valAx>
        <c:axId val="-716621168"/>
        <c:scaling>
          <c:orientation val="minMax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-716612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478972</xdr:colOff>
      <xdr:row>42</xdr:row>
      <xdr:rowOff>78922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2653393" y="8708571"/>
          <a:ext cx="968829" cy="179342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**Values highlighted in yellow are estimates</a:t>
          </a:r>
          <a:r>
            <a:rPr lang="en-US" sz="1100" baseline="0"/>
            <a:t> derived from averages.**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19</xdr:row>
      <xdr:rowOff>149678</xdr:rowOff>
    </xdr:from>
    <xdr:to>
      <xdr:col>56</xdr:col>
      <xdr:colOff>476250</xdr:colOff>
      <xdr:row>24</xdr:row>
      <xdr:rowOff>204106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6585857" y="4939392"/>
          <a:ext cx="1292679" cy="12790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**Values highlighted in yellow are estimates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derived from averages.**</a:t>
          </a:r>
          <a:endParaRPr lang="en-US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-1</xdr:colOff>
      <xdr:row>19</xdr:row>
      <xdr:rowOff>54428</xdr:rowOff>
    </xdr:from>
    <xdr:to>
      <xdr:col>81</xdr:col>
      <xdr:colOff>1319893</xdr:colOff>
      <xdr:row>24</xdr:row>
      <xdr:rowOff>108856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8341178" y="4844142"/>
          <a:ext cx="2136322" cy="12790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**Values highlighted in yellow are estimates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derived from averages.**</a:t>
          </a:r>
          <a:endParaRPr lang="en-US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465826</xdr:colOff>
      <xdr:row>22</xdr:row>
      <xdr:rowOff>199571</xdr:rowOff>
    </xdr:from>
    <xdr:to>
      <xdr:col>36</xdr:col>
      <xdr:colOff>13608</xdr:colOff>
      <xdr:row>36</xdr:row>
      <xdr:rowOff>136071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5B95A4-1E2C-D8CA-F64A-0A499DCBE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381000</xdr:colOff>
      <xdr:row>18</xdr:row>
      <xdr:rowOff>149678</xdr:rowOff>
    </xdr:from>
    <xdr:to>
      <xdr:col>109</xdr:col>
      <xdr:colOff>517072</xdr:colOff>
      <xdr:row>23</xdr:row>
      <xdr:rowOff>204106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8368393" y="4694464"/>
          <a:ext cx="2136322" cy="12790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**Values highlighted in yellow are estimates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derived from averages.**</a:t>
          </a:r>
          <a:endParaRPr lang="en-US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263978</xdr:colOff>
      <xdr:row>20</xdr:row>
      <xdr:rowOff>185965</xdr:rowOff>
    </xdr:from>
    <xdr:to>
      <xdr:col>51</xdr:col>
      <xdr:colOff>677183</xdr:colOff>
      <xdr:row>35</xdr:row>
      <xdr:rowOff>166914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440B1-FB08-495B-BCA9-9C8972E8E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263978</xdr:colOff>
      <xdr:row>20</xdr:row>
      <xdr:rowOff>185965</xdr:rowOff>
    </xdr:from>
    <xdr:to>
      <xdr:col>51</xdr:col>
      <xdr:colOff>677183</xdr:colOff>
      <xdr:row>35</xdr:row>
      <xdr:rowOff>166914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3D2D5-C2E4-4DC9-8BD4-1792876B7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204107</xdr:colOff>
      <xdr:row>20</xdr:row>
      <xdr:rowOff>66675</xdr:rowOff>
    </xdr:from>
    <xdr:to>
      <xdr:col>41</xdr:col>
      <xdr:colOff>557894</xdr:colOff>
      <xdr:row>35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680358</xdr:colOff>
      <xdr:row>20</xdr:row>
      <xdr:rowOff>81642</xdr:rowOff>
    </xdr:from>
    <xdr:to>
      <xdr:col>83</xdr:col>
      <xdr:colOff>1183823</xdr:colOff>
      <xdr:row>25</xdr:row>
      <xdr:rowOff>136070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885465" y="5116285"/>
          <a:ext cx="2136322" cy="12790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**Values highlighted in yellow are estimates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derived from averages.**</a:t>
          </a:r>
          <a:endParaRPr lang="en-US">
            <a:effectLst/>
          </a:endParaRPr>
        </a:p>
      </xdr:txBody>
    </xdr:sp>
    <xdr:clientData/>
  </xdr:twoCellAnchor>
  <xdr:twoCellAnchor>
    <xdr:from>
      <xdr:col>77</xdr:col>
      <xdr:colOff>1374322</xdr:colOff>
      <xdr:row>15</xdr:row>
      <xdr:rowOff>231320</xdr:rowOff>
    </xdr:from>
    <xdr:to>
      <xdr:col>80</xdr:col>
      <xdr:colOff>571500</xdr:colOff>
      <xdr:row>28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34CCD08-FA85-47C0-7121-A34FE7E75399}"/>
            </a:ext>
          </a:extLst>
        </xdr:cNvPr>
        <xdr:cNvCxnSpPr/>
      </xdr:nvCxnSpPr>
      <xdr:spPr>
        <a:xfrm flipH="1" flipV="1">
          <a:off x="12722679" y="4041320"/>
          <a:ext cx="4816928" cy="2952751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19</xdr:row>
      <xdr:rowOff>77107</xdr:rowOff>
    </xdr:from>
    <xdr:to>
      <xdr:col>29</xdr:col>
      <xdr:colOff>326572</xdr:colOff>
      <xdr:row>39</xdr:row>
      <xdr:rowOff>43996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593723</xdr:colOff>
      <xdr:row>24</xdr:row>
      <xdr:rowOff>199572</xdr:rowOff>
    </xdr:from>
    <xdr:to>
      <xdr:col>41</xdr:col>
      <xdr:colOff>465816</xdr:colOff>
      <xdr:row>39</xdr:row>
      <xdr:rowOff>186871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68035</xdr:colOff>
      <xdr:row>19</xdr:row>
      <xdr:rowOff>27214</xdr:rowOff>
    </xdr:from>
    <xdr:to>
      <xdr:col>81</xdr:col>
      <xdr:colOff>1020536</xdr:colOff>
      <xdr:row>24</xdr:row>
      <xdr:rowOff>81642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470321" y="4816928"/>
          <a:ext cx="2136322" cy="12790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**Values highlighted in yellow are estimates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derived from averages.**</a:t>
          </a:r>
          <a:endParaRPr lang="en-US">
            <a:effectLst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285751</xdr:colOff>
      <xdr:row>21</xdr:row>
      <xdr:rowOff>83458</xdr:rowOff>
    </xdr:from>
    <xdr:to>
      <xdr:col>42</xdr:col>
      <xdr:colOff>598716</xdr:colOff>
      <xdr:row>36</xdr:row>
      <xdr:rowOff>64407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163295</xdr:colOff>
      <xdr:row>20</xdr:row>
      <xdr:rowOff>204107</xdr:rowOff>
    </xdr:from>
    <xdr:to>
      <xdr:col>25</xdr:col>
      <xdr:colOff>244929</xdr:colOff>
      <xdr:row>35</xdr:row>
      <xdr:rowOff>190498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CA22E6-CA52-E2FF-27F4-FDBF00613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445861</xdr:colOff>
      <xdr:row>18</xdr:row>
      <xdr:rowOff>204107</xdr:rowOff>
    </xdr:from>
    <xdr:to>
      <xdr:col>31</xdr:col>
      <xdr:colOff>693964</xdr:colOff>
      <xdr:row>38</xdr:row>
      <xdr:rowOff>102508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27214</xdr:colOff>
      <xdr:row>3</xdr:row>
      <xdr:rowOff>176893</xdr:rowOff>
    </xdr:from>
    <xdr:to>
      <xdr:col>23</xdr:col>
      <xdr:colOff>13607</xdr:colOff>
      <xdr:row>8</xdr:row>
      <xdr:rowOff>231322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/>
      </xdr:nvSpPr>
      <xdr:spPr>
        <a:xfrm>
          <a:off x="3211285" y="1047750"/>
          <a:ext cx="1455965" cy="1279072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Lane Street Trailhead installed June of 2014 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136711</xdr:colOff>
      <xdr:row>19</xdr:row>
      <xdr:rowOff>145117</xdr:rowOff>
    </xdr:from>
    <xdr:to>
      <xdr:col>114</xdr:col>
      <xdr:colOff>618565</xdr:colOff>
      <xdr:row>34</xdr:row>
      <xdr:rowOff>126067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195943</xdr:colOff>
      <xdr:row>21</xdr:row>
      <xdr:rowOff>131537</xdr:rowOff>
    </xdr:from>
    <xdr:to>
      <xdr:col>41</xdr:col>
      <xdr:colOff>445862</xdr:colOff>
      <xdr:row>36</xdr:row>
      <xdr:rowOff>112485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100693</xdr:colOff>
      <xdr:row>21</xdr:row>
      <xdr:rowOff>90715</xdr:rowOff>
    </xdr:from>
    <xdr:to>
      <xdr:col>34</xdr:col>
      <xdr:colOff>55336</xdr:colOff>
      <xdr:row>36</xdr:row>
      <xdr:rowOff>71664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112032</xdr:colOff>
      <xdr:row>20</xdr:row>
      <xdr:rowOff>204107</xdr:rowOff>
    </xdr:from>
    <xdr:to>
      <xdr:col>44</xdr:col>
      <xdr:colOff>170542</xdr:colOff>
      <xdr:row>36</xdr:row>
      <xdr:rowOff>118836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180066</xdr:colOff>
      <xdr:row>21</xdr:row>
      <xdr:rowOff>25854</xdr:rowOff>
    </xdr:from>
    <xdr:to>
      <xdr:col>39</xdr:col>
      <xdr:colOff>700313</xdr:colOff>
      <xdr:row>36</xdr:row>
      <xdr:rowOff>6803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197F9-25FB-42BA-98CB-5F587086C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372833</xdr:colOff>
      <xdr:row>19</xdr:row>
      <xdr:rowOff>124278</xdr:rowOff>
    </xdr:from>
    <xdr:to>
      <xdr:col>38</xdr:col>
      <xdr:colOff>421820</xdr:colOff>
      <xdr:row>36</xdr:row>
      <xdr:rowOff>204107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323397</xdr:colOff>
      <xdr:row>20</xdr:row>
      <xdr:rowOff>86632</xdr:rowOff>
    </xdr:from>
    <xdr:to>
      <xdr:col>44</xdr:col>
      <xdr:colOff>408213</xdr:colOff>
      <xdr:row>35</xdr:row>
      <xdr:rowOff>67581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82F3A-8B0F-4CD9-90F2-762A88137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340179</xdr:colOff>
      <xdr:row>19</xdr:row>
      <xdr:rowOff>131535</xdr:rowOff>
    </xdr:from>
    <xdr:to>
      <xdr:col>44</xdr:col>
      <xdr:colOff>24039</xdr:colOff>
      <xdr:row>34</xdr:row>
      <xdr:rowOff>118835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56599-7092-435A-875B-ED49E8E8A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182331</xdr:colOff>
      <xdr:row>23</xdr:row>
      <xdr:rowOff>86632</xdr:rowOff>
    </xdr:from>
    <xdr:to>
      <xdr:col>77</xdr:col>
      <xdr:colOff>1020535</xdr:colOff>
      <xdr:row>38</xdr:row>
      <xdr:rowOff>67582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</xdr:colOff>
      <xdr:row>21</xdr:row>
      <xdr:rowOff>0</xdr:rowOff>
    </xdr:from>
    <xdr:to>
      <xdr:col>78</xdr:col>
      <xdr:colOff>476251</xdr:colOff>
      <xdr:row>22</xdr:row>
      <xdr:rowOff>108857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592537" y="5538107"/>
          <a:ext cx="4599214" cy="36739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**Values highlighted in yellow are estimates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derived from averages.**</a:t>
          </a:r>
          <a:endParaRPr lang="en-US">
            <a:effectLst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449036</xdr:colOff>
      <xdr:row>21</xdr:row>
      <xdr:rowOff>25854</xdr:rowOff>
    </xdr:from>
    <xdr:to>
      <xdr:col>47</xdr:col>
      <xdr:colOff>488949</xdr:colOff>
      <xdr:row>36</xdr:row>
      <xdr:rowOff>6803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43996</xdr:colOff>
      <xdr:row>22</xdr:row>
      <xdr:rowOff>12247</xdr:rowOff>
    </xdr:from>
    <xdr:to>
      <xdr:col>29</xdr:col>
      <xdr:colOff>39912</xdr:colOff>
      <xdr:row>36</xdr:row>
      <xdr:rowOff>251733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87992</xdr:colOff>
      <xdr:row>20</xdr:row>
      <xdr:rowOff>202747</xdr:rowOff>
    </xdr:from>
    <xdr:to>
      <xdr:col>43</xdr:col>
      <xdr:colOff>693964</xdr:colOff>
      <xdr:row>35</xdr:row>
      <xdr:rowOff>183696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31295</xdr:rowOff>
    </xdr:from>
    <xdr:to>
      <xdr:col>6</xdr:col>
      <xdr:colOff>163285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17690</xdr:rowOff>
    </xdr:from>
    <xdr:to>
      <xdr:col>32</xdr:col>
      <xdr:colOff>163285</xdr:colOff>
      <xdr:row>40</xdr:row>
      <xdr:rowOff>10431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231321</xdr:rowOff>
    </xdr:from>
    <xdr:to>
      <xdr:col>9</xdr:col>
      <xdr:colOff>150585</xdr:colOff>
      <xdr:row>44</xdr:row>
      <xdr:rowOff>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0"/>
          <a:ext cx="9280071" cy="515710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149679</xdr:rowOff>
    </xdr:from>
    <xdr:to>
      <xdr:col>8</xdr:col>
      <xdr:colOff>680357</xdr:colOff>
      <xdr:row>61</xdr:row>
      <xdr:rowOff>176464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95608"/>
          <a:ext cx="10409464" cy="7129713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transitionEvaluation="1" codeName="Sheet1">
    <tabColor theme="3"/>
  </sheetPr>
  <dimension ref="A1:DG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I11" sqref="AI11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8" width="5.7109375" style="5" customWidth="1"/>
    <col min="29" max="29" width="7.5703125" style="5" customWidth="1"/>
    <col min="30" max="30" width="6.5703125" style="5" customWidth="1"/>
    <col min="31" max="52" width="9.42578125" customWidth="1"/>
    <col min="53" max="74" width="9.42578125" style="5" customWidth="1"/>
    <col min="75" max="75" width="4.7109375" style="5" customWidth="1"/>
    <col min="76" max="76" width="9.85546875" style="5" customWidth="1"/>
    <col min="77" max="77" width="20.140625" style="5" customWidth="1"/>
    <col min="78" max="79" width="16.7109375" style="5" customWidth="1"/>
    <col min="80" max="81" width="16.5703125" style="5" customWidth="1"/>
    <col min="82" max="82" width="16.85546875" style="5" customWidth="1"/>
    <col min="83" max="111" width="9.42578125" style="5" hidden="1" customWidth="1"/>
    <col min="112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 t="e">
        <f>+BL:AAE:AV</f>
        <v>#NAME?</v>
      </c>
      <c r="BE1" s="35"/>
    </row>
    <row r="2" spans="1:108" s="34" customFormat="1" ht="25" customHeight="1" x14ac:dyDescent="0.25">
      <c r="A2" s="36" t="s">
        <v>33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>
        <v>34</v>
      </c>
      <c r="D5" s="16">
        <v>19</v>
      </c>
      <c r="E5" s="16">
        <v>2</v>
      </c>
      <c r="F5" s="16">
        <v>2</v>
      </c>
      <c r="G5" s="16">
        <v>5</v>
      </c>
      <c r="H5" s="16">
        <v>0</v>
      </c>
      <c r="I5" s="16">
        <v>41</v>
      </c>
      <c r="J5" s="16">
        <v>14</v>
      </c>
      <c r="K5" s="16">
        <v>48</v>
      </c>
      <c r="L5" s="16">
        <v>7</v>
      </c>
      <c r="M5" s="16">
        <v>0</v>
      </c>
      <c r="N5" s="16">
        <v>34</v>
      </c>
      <c r="O5" s="16">
        <v>21</v>
      </c>
      <c r="P5" s="16">
        <v>25</v>
      </c>
      <c r="Q5" s="16">
        <v>24</v>
      </c>
      <c r="R5" s="16">
        <v>46</v>
      </c>
      <c r="S5" s="16"/>
      <c r="T5" s="16"/>
      <c r="U5" s="17">
        <v>25</v>
      </c>
      <c r="V5" s="17"/>
      <c r="W5" s="17">
        <v>19</v>
      </c>
      <c r="X5" s="17"/>
      <c r="Y5" s="76">
        <v>25</v>
      </c>
      <c r="Z5" s="17">
        <v>24</v>
      </c>
      <c r="AA5" s="17">
        <v>36</v>
      </c>
      <c r="AB5" s="17">
        <v>26</v>
      </c>
      <c r="AC5" s="17">
        <v>26</v>
      </c>
      <c r="AD5" s="17">
        <v>31</v>
      </c>
      <c r="AE5" s="10">
        <v>39</v>
      </c>
      <c r="AF5" s="10">
        <v>90</v>
      </c>
      <c r="AG5" s="10">
        <v>22</v>
      </c>
      <c r="AH5" s="10">
        <f>8+32</f>
        <v>40</v>
      </c>
      <c r="AI5" s="10">
        <f>(2+6+1+2+1+1+6)+(2+1+2+2+1+1+2+2+1)</f>
        <v>33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18.333333333333332</v>
      </c>
      <c r="BK5">
        <f t="shared" ref="BK5:DD16" si="0">AVERAGE(C5:L5)</f>
        <v>17.2</v>
      </c>
      <c r="BL5">
        <f>AVERAGE(D5:M5)</f>
        <v>13.8</v>
      </c>
      <c r="BM5">
        <f t="shared" si="0"/>
        <v>15.3</v>
      </c>
      <c r="BN5">
        <f t="shared" si="0"/>
        <v>17.2</v>
      </c>
      <c r="BO5">
        <f t="shared" si="0"/>
        <v>19.5</v>
      </c>
      <c r="BP5">
        <f t="shared" si="0"/>
        <v>21.4</v>
      </c>
      <c r="BQ5">
        <f t="shared" si="0"/>
        <v>26</v>
      </c>
      <c r="BR5">
        <f t="shared" si="0"/>
        <v>24.333333333333332</v>
      </c>
      <c r="BS5">
        <f t="shared" si="0"/>
        <v>25.625</v>
      </c>
      <c r="BT5">
        <f t="shared" si="0"/>
        <v>22.75</v>
      </c>
      <c r="BU5">
        <f t="shared" si="0"/>
        <v>25</v>
      </c>
      <c r="BV5">
        <f t="shared" si="0"/>
        <v>27.714285714285715</v>
      </c>
      <c r="BW5">
        <f t="shared" si="0"/>
        <v>26.666666666666668</v>
      </c>
      <c r="BX5">
        <f t="shared" si="0"/>
        <v>27.333333333333332</v>
      </c>
      <c r="BY5">
        <f t="shared" si="0"/>
        <v>27.166666666666668</v>
      </c>
      <c r="BZ5">
        <f t="shared" si="0"/>
        <v>29.166666666666668</v>
      </c>
      <c r="CA5">
        <f t="shared" si="0"/>
        <v>25.833333333333332</v>
      </c>
      <c r="CB5">
        <f t="shared" si="0"/>
        <v>25.857142857142858</v>
      </c>
      <c r="CC5">
        <f t="shared" si="0"/>
        <v>26.5</v>
      </c>
      <c r="CD5">
        <f t="shared" si="0"/>
        <v>28.25</v>
      </c>
      <c r="CE5">
        <f t="shared" si="0"/>
        <v>35.111111111111114</v>
      </c>
      <c r="CF5">
        <f t="shared" si="0"/>
        <v>35.444444444444443</v>
      </c>
      <c r="CG5">
        <f t="shared" si="0"/>
        <v>35.9</v>
      </c>
      <c r="CH5">
        <f t="shared" si="0"/>
        <v>36.700000000000003</v>
      </c>
      <c r="CI5">
        <f t="shared" si="0"/>
        <v>38.111111111111114</v>
      </c>
      <c r="CJ5">
        <f t="shared" si="0"/>
        <v>38.375</v>
      </c>
      <c r="CK5">
        <f t="shared" si="0"/>
        <v>40.142857142857146</v>
      </c>
      <c r="CL5">
        <f t="shared" si="0"/>
        <v>42.5</v>
      </c>
      <c r="CM5">
        <f t="shared" si="0"/>
        <v>44.8</v>
      </c>
      <c r="CN5">
        <f t="shared" si="0"/>
        <v>46.25</v>
      </c>
      <c r="CO5">
        <f t="shared" si="0"/>
        <v>31.666666666666668</v>
      </c>
      <c r="CP5">
        <f t="shared" si="0"/>
        <v>36.5</v>
      </c>
      <c r="CQ5">
        <f t="shared" si="0"/>
        <v>33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/>
      <c r="C6" s="14">
        <v>21</v>
      </c>
      <c r="D6" s="14">
        <v>21</v>
      </c>
      <c r="E6" s="14">
        <v>6</v>
      </c>
      <c r="F6" s="14">
        <v>10</v>
      </c>
      <c r="G6" s="14">
        <v>10</v>
      </c>
      <c r="H6" s="14">
        <v>0</v>
      </c>
      <c r="I6" s="14">
        <v>28</v>
      </c>
      <c r="J6" s="14">
        <v>10</v>
      </c>
      <c r="K6" s="14">
        <v>51</v>
      </c>
      <c r="L6" s="14">
        <v>9</v>
      </c>
      <c r="M6" s="14">
        <v>21</v>
      </c>
      <c r="N6" s="14">
        <v>20</v>
      </c>
      <c r="O6" s="14">
        <v>13</v>
      </c>
      <c r="P6" s="14">
        <v>24</v>
      </c>
      <c r="Q6" s="14">
        <v>11</v>
      </c>
      <c r="R6" s="14">
        <v>23</v>
      </c>
      <c r="S6" s="14"/>
      <c r="T6" s="14"/>
      <c r="U6" s="15">
        <v>45</v>
      </c>
      <c r="V6" s="15"/>
      <c r="W6" s="15">
        <v>27</v>
      </c>
      <c r="X6" s="15"/>
      <c r="Y6" s="76">
        <v>24</v>
      </c>
      <c r="Z6" s="15">
        <v>12</v>
      </c>
      <c r="AA6" s="15">
        <v>44</v>
      </c>
      <c r="AB6" s="15">
        <v>10</v>
      </c>
      <c r="AC6" s="15">
        <v>10</v>
      </c>
      <c r="AD6" s="15">
        <v>15</v>
      </c>
      <c r="AE6" s="124">
        <v>38</v>
      </c>
      <c r="AF6" s="124">
        <v>36</v>
      </c>
      <c r="AG6" s="124">
        <v>31</v>
      </c>
      <c r="AH6" s="124">
        <f>11+48-14</f>
        <v>45</v>
      </c>
      <c r="AI6" s="124">
        <f>(2+2+2+3+5+4+2+1+2+2)+(1+2+5+2+2+1+2+2+1+2+5+2)+(2)+(1)</f>
        <v>55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17.444444444444443</v>
      </c>
      <c r="BK6">
        <f t="shared" si="0"/>
        <v>16.600000000000001</v>
      </c>
      <c r="BL6">
        <f t="shared" ref="BL6:BL16" si="2">AVERAGE(D6:M6)</f>
        <v>16.600000000000001</v>
      </c>
      <c r="BM6">
        <f t="shared" si="0"/>
        <v>16.5</v>
      </c>
      <c r="BN6">
        <f t="shared" si="0"/>
        <v>17.2</v>
      </c>
      <c r="BO6">
        <f t="shared" si="0"/>
        <v>18.600000000000001</v>
      </c>
      <c r="BP6">
        <f t="shared" si="0"/>
        <v>18.7</v>
      </c>
      <c r="BQ6">
        <f t="shared" si="0"/>
        <v>21</v>
      </c>
      <c r="BR6">
        <f t="shared" ref="BR6:BS16" si="3">AVERAGE(J6:S6)</f>
        <v>20.222222222222221</v>
      </c>
      <c r="BS6">
        <f t="shared" si="3"/>
        <v>21.5</v>
      </c>
      <c r="BT6">
        <f t="shared" si="0"/>
        <v>20.75</v>
      </c>
      <c r="BU6">
        <f t="shared" si="0"/>
        <v>22.428571428571427</v>
      </c>
      <c r="BV6">
        <f t="shared" si="0"/>
        <v>23.285714285714285</v>
      </c>
      <c r="BW6">
        <f t="shared" si="0"/>
        <v>23.833333333333332</v>
      </c>
      <c r="BX6">
        <f t="shared" si="0"/>
        <v>25.666666666666668</v>
      </c>
      <c r="BY6">
        <f t="shared" si="0"/>
        <v>23.666666666666668</v>
      </c>
      <c r="BZ6">
        <f t="shared" si="0"/>
        <v>29.166666666666668</v>
      </c>
      <c r="CA6">
        <f t="shared" si="0"/>
        <v>27</v>
      </c>
      <c r="CB6">
        <f t="shared" si="0"/>
        <v>24.571428571428573</v>
      </c>
      <c r="CC6">
        <f t="shared" si="0"/>
        <v>23.375</v>
      </c>
      <c r="CD6">
        <f t="shared" si="0"/>
        <v>22.5</v>
      </c>
      <c r="CE6">
        <f t="shared" si="0"/>
        <v>24</v>
      </c>
      <c r="CF6">
        <f t="shared" ref="CF6:CF16" si="4">AVERAGE(X6:AG6)</f>
        <v>24.444444444444443</v>
      </c>
      <c r="CG6">
        <f t="shared" ref="CG6:CG16" si="5">AVERAGE(Y6:AH6)</f>
        <v>26.5</v>
      </c>
      <c r="CH6">
        <f t="shared" ref="CH6:CH16" si="6">AVERAGE(Z6:AI6)</f>
        <v>29.6</v>
      </c>
      <c r="CI6">
        <f t="shared" ref="CI6:CI16" si="7">AVERAGE(AA6:AJ6)</f>
        <v>31.555555555555557</v>
      </c>
      <c r="CJ6">
        <f t="shared" ref="CJ6:CJ16" si="8">AVERAGE(AB6:AK6)</f>
        <v>30</v>
      </c>
      <c r="CK6">
        <f t="shared" ref="CK6:CK16" si="9">AVERAGE(AC6:AL6)</f>
        <v>32.857142857142854</v>
      </c>
      <c r="CL6">
        <f t="shared" ref="CL6:CL16" si="10">AVERAGE(AD6:AM6)</f>
        <v>36.666666666666664</v>
      </c>
      <c r="CM6">
        <f t="shared" ref="CM6:CM16" si="11">AVERAGE(AE6:AN6)</f>
        <v>41</v>
      </c>
      <c r="CN6">
        <f t="shared" ref="CN6:CN16" si="12">AVERAGE(AF6:AO6)</f>
        <v>41.75</v>
      </c>
      <c r="CO6">
        <f t="shared" ref="CO6:CO16" si="13">AVERAGE(AG6:AP6)</f>
        <v>43.666666666666664</v>
      </c>
      <c r="CP6">
        <f t="shared" ref="CP6:CP16" si="14">AVERAGE(AH6:AQ6)</f>
        <v>50</v>
      </c>
      <c r="CQ6">
        <f t="shared" ref="CQ6:CQ16" si="15">AVERAGE(AI6:AR6)</f>
        <v>55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/>
      <c r="C7" s="16">
        <v>12</v>
      </c>
      <c r="D7" s="16">
        <v>1</v>
      </c>
      <c r="E7" s="16">
        <v>6</v>
      </c>
      <c r="F7" s="16">
        <v>29</v>
      </c>
      <c r="G7" s="16">
        <v>10</v>
      </c>
      <c r="H7" s="16">
        <v>14</v>
      </c>
      <c r="I7" s="16">
        <v>38</v>
      </c>
      <c r="J7" s="16">
        <v>16</v>
      </c>
      <c r="K7" s="16">
        <v>23</v>
      </c>
      <c r="L7" s="16">
        <v>9</v>
      </c>
      <c r="M7" s="16">
        <v>69</v>
      </c>
      <c r="N7" s="16">
        <v>9</v>
      </c>
      <c r="O7" s="16">
        <v>24</v>
      </c>
      <c r="P7" s="16">
        <v>14</v>
      </c>
      <c r="Q7" s="16">
        <v>20</v>
      </c>
      <c r="R7" s="16">
        <v>43</v>
      </c>
      <c r="S7" s="16"/>
      <c r="T7" s="16"/>
      <c r="U7" s="17">
        <v>13</v>
      </c>
      <c r="V7" s="17"/>
      <c r="W7" s="17">
        <v>87</v>
      </c>
      <c r="X7" s="17"/>
      <c r="Y7" s="17">
        <v>8</v>
      </c>
      <c r="Z7" s="17">
        <v>10</v>
      </c>
      <c r="AA7" s="17">
        <v>47</v>
      </c>
      <c r="AB7" s="17">
        <v>6</v>
      </c>
      <c r="AC7" s="17">
        <v>6</v>
      </c>
      <c r="AD7" s="17">
        <v>59</v>
      </c>
      <c r="AE7" s="10">
        <v>108</v>
      </c>
      <c r="AF7" s="10">
        <v>85</v>
      </c>
      <c r="AG7" s="10">
        <v>42</v>
      </c>
      <c r="AH7" s="10">
        <f>14+37</f>
        <v>51</v>
      </c>
      <c r="AI7" s="10">
        <f>(4)+(1+2+2+1+1+1+2+1)+(2+2+1+2+4+4+1+2+1+3+9+3+2+2+1+3+1+2)+(2+1)</f>
        <v>63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16.555555555555557</v>
      </c>
      <c r="BK7">
        <f t="shared" si="0"/>
        <v>15.8</v>
      </c>
      <c r="BL7">
        <f t="shared" si="2"/>
        <v>21.5</v>
      </c>
      <c r="BM7">
        <f t="shared" si="0"/>
        <v>22.3</v>
      </c>
      <c r="BN7">
        <f t="shared" si="0"/>
        <v>24.1</v>
      </c>
      <c r="BO7">
        <f t="shared" si="0"/>
        <v>22.6</v>
      </c>
      <c r="BP7">
        <f t="shared" si="0"/>
        <v>23.6</v>
      </c>
      <c r="BQ7">
        <f t="shared" si="0"/>
        <v>26.5</v>
      </c>
      <c r="BR7">
        <f t="shared" si="3"/>
        <v>25.222222222222221</v>
      </c>
      <c r="BS7">
        <f t="shared" si="3"/>
        <v>26.375</v>
      </c>
      <c r="BT7">
        <f t="shared" si="0"/>
        <v>25.125</v>
      </c>
      <c r="BU7">
        <f t="shared" si="0"/>
        <v>27.428571428571427</v>
      </c>
      <c r="BV7">
        <f t="shared" si="0"/>
        <v>30</v>
      </c>
      <c r="BW7">
        <f t="shared" si="0"/>
        <v>33.5</v>
      </c>
      <c r="BX7">
        <f>AVERAGE(P7:Y7)</f>
        <v>30.833333333333332</v>
      </c>
      <c r="BY7">
        <f t="shared" si="0"/>
        <v>30.166666666666668</v>
      </c>
      <c r="BZ7">
        <f t="shared" si="0"/>
        <v>34.666666666666664</v>
      </c>
      <c r="CA7">
        <f t="shared" si="0"/>
        <v>28.5</v>
      </c>
      <c r="CB7">
        <f t="shared" si="0"/>
        <v>25.285714285714285</v>
      </c>
      <c r="CC7">
        <f t="shared" si="0"/>
        <v>29.5</v>
      </c>
      <c r="CD7">
        <f t="shared" si="0"/>
        <v>41.375</v>
      </c>
      <c r="CE7">
        <f>AVERAGE(W7:AF7)</f>
        <v>46.222222222222221</v>
      </c>
      <c r="CF7">
        <f t="shared" si="4"/>
        <v>41.222222222222221</v>
      </c>
      <c r="CG7">
        <f t="shared" si="5"/>
        <v>42.2</v>
      </c>
      <c r="CH7">
        <f t="shared" si="6"/>
        <v>47.7</v>
      </c>
      <c r="CI7">
        <f t="shared" si="7"/>
        <v>51.888888888888886</v>
      </c>
      <c r="CJ7">
        <f t="shared" si="8"/>
        <v>52.5</v>
      </c>
      <c r="CK7">
        <f t="shared" si="9"/>
        <v>59.142857142857146</v>
      </c>
      <c r="CL7">
        <f t="shared" si="10"/>
        <v>68</v>
      </c>
      <c r="CM7">
        <f t="shared" si="11"/>
        <v>69.8</v>
      </c>
      <c r="CN7">
        <f t="shared" si="12"/>
        <v>60.25</v>
      </c>
      <c r="CO7">
        <f t="shared" si="13"/>
        <v>52</v>
      </c>
      <c r="CP7">
        <f t="shared" si="14"/>
        <v>57</v>
      </c>
      <c r="CQ7">
        <f t="shared" si="15"/>
        <v>63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144</v>
      </c>
      <c r="C8" s="14">
        <v>50</v>
      </c>
      <c r="D8" s="14">
        <v>48</v>
      </c>
      <c r="E8" s="14">
        <v>50</v>
      </c>
      <c r="F8" s="14">
        <v>90</v>
      </c>
      <c r="G8" s="14">
        <v>60</v>
      </c>
      <c r="H8" s="14">
        <v>110</v>
      </c>
      <c r="I8" s="14">
        <v>148</v>
      </c>
      <c r="J8" s="14">
        <v>116</v>
      </c>
      <c r="K8" s="14">
        <v>95</v>
      </c>
      <c r="L8" s="14">
        <v>59</v>
      </c>
      <c r="M8" s="14">
        <v>69</v>
      </c>
      <c r="N8" s="14">
        <v>88</v>
      </c>
      <c r="O8" s="14">
        <v>73</v>
      </c>
      <c r="P8" s="14">
        <v>53</v>
      </c>
      <c r="Q8" s="14">
        <v>137</v>
      </c>
      <c r="R8" s="14">
        <v>68</v>
      </c>
      <c r="S8" s="14"/>
      <c r="T8" s="14"/>
      <c r="U8" s="15">
        <v>156</v>
      </c>
      <c r="V8" s="15"/>
      <c r="W8" s="15">
        <v>110</v>
      </c>
      <c r="X8" s="15"/>
      <c r="Y8" s="15">
        <v>66</v>
      </c>
      <c r="Z8" s="15">
        <v>94</v>
      </c>
      <c r="AA8" s="15">
        <v>113</v>
      </c>
      <c r="AB8" s="15">
        <v>168</v>
      </c>
      <c r="AC8" s="15">
        <v>168</v>
      </c>
      <c r="AD8" s="15">
        <v>34</v>
      </c>
      <c r="AE8" s="124">
        <v>105</v>
      </c>
      <c r="AF8" s="124">
        <v>209</v>
      </c>
      <c r="AG8" s="124">
        <f>49+37</f>
        <v>86</v>
      </c>
      <c r="AH8" s="124">
        <f>10+43+57+24</f>
        <v>134</v>
      </c>
      <c r="AI8" s="124">
        <f>(1+2+2+2+1+2+2+4+4+2+1+1+3+2+1+3+12+4)+(2+7+1+3+8+1+1+5+2+5+2+2+4+4+3+4+3)+(1+2+1+1)+(1+1+2+2+6+2+2)</f>
        <v>127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91.1</v>
      </c>
      <c r="BK8">
        <f t="shared" si="0"/>
        <v>82.6</v>
      </c>
      <c r="BL8">
        <f t="shared" si="2"/>
        <v>84.5</v>
      </c>
      <c r="BM8">
        <f t="shared" si="0"/>
        <v>88.5</v>
      </c>
      <c r="BN8">
        <f t="shared" si="0"/>
        <v>90.8</v>
      </c>
      <c r="BO8">
        <f t="shared" si="0"/>
        <v>87.1</v>
      </c>
      <c r="BP8">
        <f t="shared" si="0"/>
        <v>94.8</v>
      </c>
      <c r="BQ8">
        <f t="shared" si="0"/>
        <v>90.6</v>
      </c>
      <c r="BR8">
        <f t="shared" si="3"/>
        <v>84.222222222222229</v>
      </c>
      <c r="BS8">
        <f t="shared" si="3"/>
        <v>80.25</v>
      </c>
      <c r="BT8">
        <f>AVERAGE(L8:U8)</f>
        <v>87.875</v>
      </c>
      <c r="BU8">
        <f t="shared" si="0"/>
        <v>92</v>
      </c>
      <c r="BV8">
        <f t="shared" si="0"/>
        <v>97.857142857142861</v>
      </c>
      <c r="BW8">
        <f t="shared" si="0"/>
        <v>99.5</v>
      </c>
      <c r="BX8">
        <f t="shared" si="0"/>
        <v>98.333333333333329</v>
      </c>
      <c r="BY8">
        <f t="shared" si="0"/>
        <v>105.16666666666667</v>
      </c>
      <c r="BZ8">
        <f t="shared" si="0"/>
        <v>101.16666666666667</v>
      </c>
      <c r="CA8">
        <f t="shared" si="0"/>
        <v>117.83333333333333</v>
      </c>
      <c r="CB8">
        <f t="shared" si="0"/>
        <v>125</v>
      </c>
      <c r="CC8">
        <f t="shared" si="0"/>
        <v>113.625</v>
      </c>
      <c r="CD8">
        <f t="shared" si="0"/>
        <v>107.25</v>
      </c>
      <c r="CE8">
        <f t="shared" si="0"/>
        <v>118.55555555555556</v>
      </c>
      <c r="CF8">
        <f t="shared" si="4"/>
        <v>115.88888888888889</v>
      </c>
      <c r="CG8">
        <f t="shared" si="5"/>
        <v>117.7</v>
      </c>
      <c r="CH8">
        <f t="shared" si="6"/>
        <v>123.8</v>
      </c>
      <c r="CI8">
        <f t="shared" si="7"/>
        <v>127.11111111111111</v>
      </c>
      <c r="CJ8">
        <f t="shared" si="8"/>
        <v>128.875</v>
      </c>
      <c r="CK8">
        <f t="shared" si="9"/>
        <v>123.28571428571429</v>
      </c>
      <c r="CL8">
        <f t="shared" si="10"/>
        <v>115.83333333333333</v>
      </c>
      <c r="CM8">
        <f t="shared" si="11"/>
        <v>132.19999999999999</v>
      </c>
      <c r="CN8">
        <f t="shared" si="12"/>
        <v>139</v>
      </c>
      <c r="CO8">
        <f t="shared" si="13"/>
        <v>115.66666666666667</v>
      </c>
      <c r="CP8">
        <f t="shared" si="14"/>
        <v>130.5</v>
      </c>
      <c r="CQ8">
        <f t="shared" si="15"/>
        <v>127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218</v>
      </c>
      <c r="C9" s="16">
        <v>75</v>
      </c>
      <c r="D9" s="16">
        <v>174</v>
      </c>
      <c r="E9" s="16">
        <v>129</v>
      </c>
      <c r="F9" s="16">
        <v>313</v>
      </c>
      <c r="G9" s="16">
        <v>94</v>
      </c>
      <c r="H9" s="16">
        <v>190</v>
      </c>
      <c r="I9" s="16">
        <v>266</v>
      </c>
      <c r="J9" s="16">
        <v>208</v>
      </c>
      <c r="K9" s="16">
        <v>130</v>
      </c>
      <c r="L9" s="16">
        <v>165</v>
      </c>
      <c r="M9" s="16">
        <v>238</v>
      </c>
      <c r="N9" s="16">
        <v>125</v>
      </c>
      <c r="O9" s="16">
        <v>52</v>
      </c>
      <c r="P9" s="16">
        <v>119</v>
      </c>
      <c r="Q9" s="16">
        <v>225</v>
      </c>
      <c r="R9" s="16">
        <v>172</v>
      </c>
      <c r="S9" s="16"/>
      <c r="T9" s="16"/>
      <c r="U9" s="17">
        <v>250</v>
      </c>
      <c r="V9" s="17"/>
      <c r="W9" s="17">
        <v>154</v>
      </c>
      <c r="X9" s="17"/>
      <c r="Y9" s="17">
        <v>208</v>
      </c>
      <c r="Z9" s="17">
        <v>183</v>
      </c>
      <c r="AA9" s="17">
        <v>176</v>
      </c>
      <c r="AB9" s="17">
        <v>179</v>
      </c>
      <c r="AC9" s="17">
        <v>179</v>
      </c>
      <c r="AD9" s="17">
        <v>300</v>
      </c>
      <c r="AE9" s="10">
        <v>241</v>
      </c>
      <c r="AF9" s="10">
        <v>246</v>
      </c>
      <c r="AG9" s="10">
        <f>52+46+56+41+11</f>
        <v>206</v>
      </c>
      <c r="AH9" s="10">
        <f>32+5+(1+1+2+2+9+2+2+1+7+3+2+3+3+2+2+4+1+1+2+4)+(2+2+2+2+7+1+2+9+2+1+2+4+3+4+8+2+1+2+5+4)+(2+2+2+2+1+3+2)</f>
        <v>170</v>
      </c>
      <c r="AI9" s="10">
        <f>(2+1+4+1+3+2+2+3+3+1+3+2+8+1+6)+(4+1+2+12+2+5+2+2+5+1+1+2+3+2+2+2+1+2+3+2)+(3+2+2+1+2+2+2+2+2+3+2+3+1+2+10+1+3)+(2+1+1+2)</f>
        <v>147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179.7</v>
      </c>
      <c r="BK9">
        <f t="shared" si="0"/>
        <v>174.4</v>
      </c>
      <c r="BL9">
        <f t="shared" si="2"/>
        <v>190.7</v>
      </c>
      <c r="BM9">
        <f t="shared" si="0"/>
        <v>185.8</v>
      </c>
      <c r="BN9">
        <f t="shared" si="0"/>
        <v>178.1</v>
      </c>
      <c r="BO9">
        <f t="shared" si="0"/>
        <v>158.69999999999999</v>
      </c>
      <c r="BP9">
        <f t="shared" si="0"/>
        <v>171.8</v>
      </c>
      <c r="BQ9">
        <f t="shared" si="0"/>
        <v>170</v>
      </c>
      <c r="BR9">
        <f t="shared" si="3"/>
        <v>159.33333333333334</v>
      </c>
      <c r="BS9">
        <f t="shared" si="3"/>
        <v>153.25</v>
      </c>
      <c r="BT9">
        <f t="shared" si="0"/>
        <v>168.25</v>
      </c>
      <c r="BU9">
        <f t="shared" si="0"/>
        <v>168.71428571428572</v>
      </c>
      <c r="BV9">
        <f t="shared" si="0"/>
        <v>156.71428571428572</v>
      </c>
      <c r="BW9">
        <f t="shared" si="0"/>
        <v>162</v>
      </c>
      <c r="BX9">
        <f t="shared" si="0"/>
        <v>188</v>
      </c>
      <c r="BY9">
        <f t="shared" si="0"/>
        <v>198.66666666666666</v>
      </c>
      <c r="BZ9">
        <f t="shared" si="0"/>
        <v>190.5</v>
      </c>
      <c r="CA9">
        <f t="shared" si="0"/>
        <v>191.66666666666666</v>
      </c>
      <c r="CB9">
        <f t="shared" si="0"/>
        <v>189.85714285714286</v>
      </c>
      <c r="CC9">
        <f t="shared" si="0"/>
        <v>203.625</v>
      </c>
      <c r="CD9">
        <f t="shared" si="0"/>
        <v>202.5</v>
      </c>
      <c r="CE9">
        <f t="shared" si="0"/>
        <v>207.33333333333334</v>
      </c>
      <c r="CF9">
        <f t="shared" si="4"/>
        <v>213.11111111111111</v>
      </c>
      <c r="CG9">
        <f t="shared" si="5"/>
        <v>208.8</v>
      </c>
      <c r="CH9">
        <f t="shared" si="6"/>
        <v>202.7</v>
      </c>
      <c r="CI9">
        <f t="shared" si="7"/>
        <v>204.88888888888889</v>
      </c>
      <c r="CJ9">
        <f t="shared" si="8"/>
        <v>208.5</v>
      </c>
      <c r="CK9">
        <f t="shared" si="9"/>
        <v>212.71428571428572</v>
      </c>
      <c r="CL9">
        <f t="shared" si="10"/>
        <v>218.33333333333334</v>
      </c>
      <c r="CM9">
        <f t="shared" si="11"/>
        <v>202</v>
      </c>
      <c r="CN9">
        <f t="shared" si="12"/>
        <v>192.25</v>
      </c>
      <c r="CO9">
        <f t="shared" si="13"/>
        <v>174.33333333333334</v>
      </c>
      <c r="CP9">
        <f t="shared" si="14"/>
        <v>158.5</v>
      </c>
      <c r="CQ9">
        <f t="shared" si="15"/>
        <v>147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165</v>
      </c>
      <c r="C10" s="14">
        <v>75</v>
      </c>
      <c r="D10" s="14">
        <v>123</v>
      </c>
      <c r="E10" s="14">
        <v>124</v>
      </c>
      <c r="F10" s="14">
        <v>101</v>
      </c>
      <c r="G10" s="14">
        <v>117</v>
      </c>
      <c r="H10" s="14">
        <v>146</v>
      </c>
      <c r="I10" s="14">
        <v>182</v>
      </c>
      <c r="J10" s="14">
        <v>647</v>
      </c>
      <c r="K10" s="14">
        <v>86</v>
      </c>
      <c r="L10" s="14">
        <v>211</v>
      </c>
      <c r="M10" s="14">
        <v>287</v>
      </c>
      <c r="N10" s="14">
        <v>252</v>
      </c>
      <c r="O10" s="14">
        <v>224</v>
      </c>
      <c r="P10" s="14">
        <v>198</v>
      </c>
      <c r="Q10" s="14">
        <v>197</v>
      </c>
      <c r="R10" s="14">
        <v>243</v>
      </c>
      <c r="S10" s="14"/>
      <c r="T10" s="14"/>
      <c r="U10" s="15">
        <v>264</v>
      </c>
      <c r="V10" s="15"/>
      <c r="W10" s="15">
        <v>238</v>
      </c>
      <c r="X10" s="15"/>
      <c r="Y10" s="15">
        <v>239</v>
      </c>
      <c r="Z10" s="15">
        <v>282</v>
      </c>
      <c r="AA10" s="15">
        <v>332</v>
      </c>
      <c r="AB10" s="15">
        <v>328</v>
      </c>
      <c r="AC10" s="15">
        <v>328</v>
      </c>
      <c r="AD10" s="15">
        <v>282</v>
      </c>
      <c r="AE10" s="124">
        <v>313</v>
      </c>
      <c r="AF10" s="124">
        <v>264</v>
      </c>
      <c r="AG10" s="124">
        <f>27+47+38+77+39</f>
        <v>228</v>
      </c>
      <c r="AH10" s="124">
        <f>(2+2+1+2+3+8+5+4+3+3+1)+(3+1+2+2+2+1+2+13+3+2+2+3+3+5+2+1+2+6)+(2+3+1+2+2+4+4+4+1+2+4+3+5+1+2+9+3+2+6+2)+(4+1+1+3+9+3+2+1+4+2+2)+(8+10+2+2+13+9+6+1)</f>
        <v>234</v>
      </c>
      <c r="AI10" s="124">
        <f>(2)+(1)+(1+2+2+2+2+1+1+1+1+3+1+3+2+2+1+3+2+2+1+4)+(2+1+1+8+1+3+2+2+3+2+3+4+1+10+4+2+1+4+2+1)+(1+4+4+3+1+2+7+4+2+4+2+7+4+2+10+2+4+3)+(5)</f>
        <v>168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176.6</v>
      </c>
      <c r="BK10">
        <f t="shared" si="0"/>
        <v>181.2</v>
      </c>
      <c r="BL10">
        <f t="shared" si="2"/>
        <v>202.4</v>
      </c>
      <c r="BM10">
        <f t="shared" si="0"/>
        <v>215.3</v>
      </c>
      <c r="BN10">
        <f t="shared" si="0"/>
        <v>225.3</v>
      </c>
      <c r="BO10">
        <f t="shared" si="0"/>
        <v>235</v>
      </c>
      <c r="BP10">
        <f t="shared" si="0"/>
        <v>243</v>
      </c>
      <c r="BQ10">
        <f t="shared" si="0"/>
        <v>252.7</v>
      </c>
      <c r="BR10">
        <f t="shared" si="3"/>
        <v>260.55555555555554</v>
      </c>
      <c r="BS10">
        <f t="shared" si="3"/>
        <v>212.25</v>
      </c>
      <c r="BT10">
        <f t="shared" si="0"/>
        <v>234.5</v>
      </c>
      <c r="BU10">
        <f t="shared" si="0"/>
        <v>237.85714285714286</v>
      </c>
      <c r="BV10">
        <f t="shared" si="0"/>
        <v>230.85714285714286</v>
      </c>
      <c r="BW10">
        <f t="shared" si="0"/>
        <v>227.33333333333334</v>
      </c>
      <c r="BX10">
        <f t="shared" si="0"/>
        <v>229.83333333333334</v>
      </c>
      <c r="BY10">
        <f t="shared" si="0"/>
        <v>243.83333333333334</v>
      </c>
      <c r="BZ10">
        <f t="shared" si="0"/>
        <v>266.33333333333331</v>
      </c>
      <c r="CA10">
        <f t="shared" si="0"/>
        <v>280.5</v>
      </c>
      <c r="CB10">
        <f t="shared" si="0"/>
        <v>287.28571428571428</v>
      </c>
      <c r="CC10">
        <f t="shared" si="0"/>
        <v>286.625</v>
      </c>
      <c r="CD10">
        <f t="shared" si="0"/>
        <v>292.75</v>
      </c>
      <c r="CE10">
        <f t="shared" si="0"/>
        <v>289.55555555555554</v>
      </c>
      <c r="CF10">
        <f t="shared" si="4"/>
        <v>288.44444444444446</v>
      </c>
      <c r="CG10">
        <f t="shared" si="5"/>
        <v>283</v>
      </c>
      <c r="CH10">
        <f t="shared" si="6"/>
        <v>275.89999999999998</v>
      </c>
      <c r="CI10">
        <f t="shared" si="7"/>
        <v>275.22222222222223</v>
      </c>
      <c r="CJ10">
        <f t="shared" si="8"/>
        <v>268.125</v>
      </c>
      <c r="CK10">
        <f t="shared" si="9"/>
        <v>259.57142857142856</v>
      </c>
      <c r="CL10">
        <f t="shared" si="10"/>
        <v>248.16666666666666</v>
      </c>
      <c r="CM10">
        <f t="shared" si="11"/>
        <v>241.4</v>
      </c>
      <c r="CN10">
        <f t="shared" si="12"/>
        <v>223.5</v>
      </c>
      <c r="CO10">
        <f t="shared" si="13"/>
        <v>210</v>
      </c>
      <c r="CP10">
        <f t="shared" si="14"/>
        <v>201</v>
      </c>
      <c r="CQ10">
        <f t="shared" si="15"/>
        <v>168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320</v>
      </c>
      <c r="C11" s="16">
        <v>108</v>
      </c>
      <c r="D11" s="16">
        <v>269</v>
      </c>
      <c r="E11" s="16">
        <v>85</v>
      </c>
      <c r="F11" s="16">
        <v>321</v>
      </c>
      <c r="G11" s="16">
        <v>231</v>
      </c>
      <c r="H11" s="16">
        <v>255</v>
      </c>
      <c r="I11" s="16">
        <v>372</v>
      </c>
      <c r="J11" s="16">
        <v>322</v>
      </c>
      <c r="K11" s="16">
        <v>216</v>
      </c>
      <c r="L11" s="16">
        <v>355</v>
      </c>
      <c r="M11" s="16">
        <v>404</v>
      </c>
      <c r="N11" s="16">
        <v>349</v>
      </c>
      <c r="O11" s="16">
        <v>366</v>
      </c>
      <c r="P11" s="16">
        <v>272</v>
      </c>
      <c r="Q11" s="16">
        <v>239</v>
      </c>
      <c r="R11" s="16">
        <v>351</v>
      </c>
      <c r="S11" s="16"/>
      <c r="T11" s="16"/>
      <c r="U11" s="17">
        <v>549</v>
      </c>
      <c r="V11" s="17"/>
      <c r="W11" s="17">
        <v>331</v>
      </c>
      <c r="X11" s="17"/>
      <c r="Y11" s="17">
        <v>349</v>
      </c>
      <c r="Z11" s="17">
        <v>295</v>
      </c>
      <c r="AA11" s="17">
        <v>649</v>
      </c>
      <c r="AB11" s="17">
        <v>446</v>
      </c>
      <c r="AC11" s="17">
        <v>446</v>
      </c>
      <c r="AD11" s="17">
        <v>393</v>
      </c>
      <c r="AE11" s="10">
        <v>378</v>
      </c>
      <c r="AF11" s="10">
        <v>408</v>
      </c>
      <c r="AG11" s="10">
        <f>41+69+58+60+66+24</f>
        <v>318</v>
      </c>
      <c r="AH11" s="10">
        <f>(1+6+3+2+2+6+2+2)+(8+6+12+1+2+3+2+2+2+1+1+1)+(2+5+6+2+4+4+5+7+4+2+2+4+4+4+1+2+1+3+2)+(7+2+5+3+2+2+2+1+7+1+2+5+1+2+4+2+2+2)+(4+2+5+3+4+2+3+4+2+5+3+3+5+2+2+1+4+2)+(3+1+2+2+11+4+5+2+1+1+1+2+1+2+5+3+4)+(4+5+1+2)+2+3+2+2+2</f>
        <v>310</v>
      </c>
      <c r="AI11" s="10">
        <f>(1+2+4+2+2+3+2+3+2+5+2+3+2+2+3+2+2+2+5+2)+(3+4+2+2+2+2+4+1+2+3+1+2+1+2+1+1+2+2)+(2+1+4+2+1+1+3+6+2+1+3+2+1+2+2+2+1+3+2)+(2+2+4+4+6+2+4+1+2+2+2+6+1+1+2+4+4)+(4+5+5+3+3+2+3+2+4+5+1+1+2+1+4+3+2+1+5+4)+(2+2+2+4+7+2+1+1+2+17+2+3+2)+(2)+(2+3+3+1)+(2+1)</f>
        <v>299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249.9</v>
      </c>
      <c r="BK11">
        <f t="shared" si="0"/>
        <v>253.4</v>
      </c>
      <c r="BL11">
        <f t="shared" si="2"/>
        <v>283</v>
      </c>
      <c r="BM11">
        <f t="shared" si="0"/>
        <v>291</v>
      </c>
      <c r="BN11">
        <f t="shared" si="0"/>
        <v>319.10000000000002</v>
      </c>
      <c r="BO11">
        <f t="shared" si="0"/>
        <v>314.2</v>
      </c>
      <c r="BP11">
        <f t="shared" si="0"/>
        <v>315</v>
      </c>
      <c r="BQ11">
        <f t="shared" si="0"/>
        <v>324.60000000000002</v>
      </c>
      <c r="BR11">
        <f t="shared" si="3"/>
        <v>319.33333333333331</v>
      </c>
      <c r="BS11">
        <f t="shared" si="3"/>
        <v>319</v>
      </c>
      <c r="BT11">
        <f t="shared" si="0"/>
        <v>360.625</v>
      </c>
      <c r="BU11">
        <f t="shared" si="0"/>
        <v>361.42857142857144</v>
      </c>
      <c r="BV11">
        <f t="shared" si="0"/>
        <v>351</v>
      </c>
      <c r="BW11">
        <f t="shared" si="0"/>
        <v>351.33333333333331</v>
      </c>
      <c r="BX11">
        <f t="shared" si="0"/>
        <v>348.5</v>
      </c>
      <c r="BY11">
        <f t="shared" si="0"/>
        <v>352.33333333333331</v>
      </c>
      <c r="BZ11">
        <f t="shared" si="0"/>
        <v>420.66666666666669</v>
      </c>
      <c r="CA11">
        <f t="shared" si="0"/>
        <v>436.5</v>
      </c>
      <c r="CB11">
        <f t="shared" si="0"/>
        <v>437.85714285714283</v>
      </c>
      <c r="CC11">
        <f t="shared" si="0"/>
        <v>432.25</v>
      </c>
      <c r="CD11">
        <f t="shared" si="0"/>
        <v>410.875</v>
      </c>
      <c r="CE11">
        <f t="shared" si="0"/>
        <v>410.55555555555554</v>
      </c>
      <c r="CF11">
        <f t="shared" si="4"/>
        <v>409.11111111111109</v>
      </c>
      <c r="CG11">
        <f t="shared" si="5"/>
        <v>399.2</v>
      </c>
      <c r="CH11">
        <f t="shared" si="6"/>
        <v>394.2</v>
      </c>
      <c r="CI11">
        <f t="shared" si="7"/>
        <v>405.22222222222223</v>
      </c>
      <c r="CJ11">
        <f t="shared" si="8"/>
        <v>374.75</v>
      </c>
      <c r="CK11">
        <f t="shared" si="9"/>
        <v>364.57142857142856</v>
      </c>
      <c r="CL11">
        <f t="shared" si="10"/>
        <v>351</v>
      </c>
      <c r="CM11">
        <f t="shared" si="11"/>
        <v>342.6</v>
      </c>
      <c r="CN11">
        <f t="shared" si="12"/>
        <v>333.75</v>
      </c>
      <c r="CO11">
        <f t="shared" si="13"/>
        <v>309</v>
      </c>
      <c r="CP11">
        <f t="shared" si="14"/>
        <v>304.5</v>
      </c>
      <c r="CQ11">
        <f t="shared" si="15"/>
        <v>299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216</v>
      </c>
      <c r="C12" s="14">
        <v>182</v>
      </c>
      <c r="D12" s="14">
        <v>217</v>
      </c>
      <c r="E12" s="14">
        <v>163</v>
      </c>
      <c r="F12" s="14">
        <v>219</v>
      </c>
      <c r="G12" s="14">
        <v>359</v>
      </c>
      <c r="H12" s="14">
        <v>211</v>
      </c>
      <c r="I12" s="14">
        <v>375</v>
      </c>
      <c r="J12" s="14">
        <v>328</v>
      </c>
      <c r="K12" s="14">
        <v>354</v>
      </c>
      <c r="L12" s="14">
        <v>346</v>
      </c>
      <c r="M12" s="14">
        <v>379</v>
      </c>
      <c r="N12" s="14">
        <v>377</v>
      </c>
      <c r="O12" s="14">
        <v>289</v>
      </c>
      <c r="P12" s="14">
        <v>236</v>
      </c>
      <c r="Q12" s="14">
        <v>380</v>
      </c>
      <c r="R12" s="14">
        <v>351</v>
      </c>
      <c r="S12" s="14"/>
      <c r="T12" s="14"/>
      <c r="U12" s="15">
        <v>274</v>
      </c>
      <c r="V12" s="15"/>
      <c r="W12" s="15">
        <v>335</v>
      </c>
      <c r="X12" s="15"/>
      <c r="Y12" s="15">
        <v>277</v>
      </c>
      <c r="Z12" s="15">
        <v>342</v>
      </c>
      <c r="AA12" s="15">
        <v>553</v>
      </c>
      <c r="AB12" s="15">
        <v>452</v>
      </c>
      <c r="AC12" s="15">
        <v>452</v>
      </c>
      <c r="AD12" s="15">
        <v>521</v>
      </c>
      <c r="AE12" s="124">
        <v>387</v>
      </c>
      <c r="AF12" s="124">
        <v>290</v>
      </c>
      <c r="AG12" s="124">
        <f>30+45+46+47+55+40+40+17</f>
        <v>320</v>
      </c>
      <c r="AH12" s="124">
        <f>(1+2+7+2+5+2+2+3+4+5+5+3+2)+(3+2+3+4+7+2+2+3+2+3+2+2+5+2+2+1)+(3+1+1+9+3+4+5+12+2+7+5+7+2+2+2+2)+(2+4+4+2+2+2+2+2+2+3+1+4+3+2+2+4+2+4+1+2)+(4+6+1+9+2+2+5+2+12+2+1+4+1+2+1+6+2+1)+(1+2+2+4+2)+(1)</f>
        <v>280</v>
      </c>
      <c r="AI12" s="124">
        <f>(3)+(2+2+2+2+7+1)+(2+2+2+5+2+2+1+3+4+3+4+3+1+8+2+1)+(3+6+2+4+1+2+2+2+1+2+4+2+3+1+4+2+3+2+2)+(4+1+9+2+9+2+4+1+2+6+2+2+1+3+3+2+2+4+1)+(5+1+2+2+3+1+9+1+2+8+1+2+2+2+3+6+2+3)+(3+3+2+2+2+3+3+1+1+2+4+2+2+1+4+4+2+1)+(4+1+6+6+2+4+2+2+4+2)+(1)</f>
        <v>303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262.39999999999998</v>
      </c>
      <c r="BK12">
        <f t="shared" si="0"/>
        <v>275.39999999999998</v>
      </c>
      <c r="BL12">
        <f t="shared" si="2"/>
        <v>295.10000000000002</v>
      </c>
      <c r="BM12">
        <f t="shared" si="0"/>
        <v>311.10000000000002</v>
      </c>
      <c r="BN12">
        <f t="shared" si="0"/>
        <v>323.7</v>
      </c>
      <c r="BO12">
        <f t="shared" si="0"/>
        <v>325.39999999999998</v>
      </c>
      <c r="BP12">
        <f t="shared" si="0"/>
        <v>327.5</v>
      </c>
      <c r="BQ12">
        <f t="shared" si="0"/>
        <v>341.5</v>
      </c>
      <c r="BR12">
        <f t="shared" si="3"/>
        <v>337.77777777777777</v>
      </c>
      <c r="BS12">
        <f t="shared" si="3"/>
        <v>339</v>
      </c>
      <c r="BT12">
        <f t="shared" si="0"/>
        <v>329</v>
      </c>
      <c r="BU12">
        <f t="shared" si="0"/>
        <v>326.57142857142856</v>
      </c>
      <c r="BV12">
        <f t="shared" si="0"/>
        <v>320.28571428571428</v>
      </c>
      <c r="BW12">
        <f t="shared" si="0"/>
        <v>310.83333333333331</v>
      </c>
      <c r="BX12">
        <f t="shared" si="0"/>
        <v>308.83333333333331</v>
      </c>
      <c r="BY12">
        <f t="shared" si="0"/>
        <v>326.5</v>
      </c>
      <c r="BZ12">
        <f t="shared" si="0"/>
        <v>355.33333333333331</v>
      </c>
      <c r="CA12">
        <f t="shared" si="0"/>
        <v>372.16666666666669</v>
      </c>
      <c r="CB12">
        <f t="shared" si="0"/>
        <v>383.57142857142856</v>
      </c>
      <c r="CC12">
        <f t="shared" si="0"/>
        <v>400.75</v>
      </c>
      <c r="CD12">
        <f t="shared" si="0"/>
        <v>414.875</v>
      </c>
      <c r="CE12">
        <f t="shared" si="0"/>
        <v>401</v>
      </c>
      <c r="CF12">
        <f t="shared" si="4"/>
        <v>399.33333333333331</v>
      </c>
      <c r="CG12">
        <f t="shared" si="5"/>
        <v>387.4</v>
      </c>
      <c r="CH12">
        <f t="shared" si="6"/>
        <v>390</v>
      </c>
      <c r="CI12">
        <f t="shared" si="7"/>
        <v>395.33333333333331</v>
      </c>
      <c r="CJ12">
        <f t="shared" si="8"/>
        <v>375.625</v>
      </c>
      <c r="CK12">
        <f t="shared" si="9"/>
        <v>364.71428571428572</v>
      </c>
      <c r="CL12">
        <f t="shared" si="10"/>
        <v>350.16666666666669</v>
      </c>
      <c r="CM12">
        <f t="shared" si="11"/>
        <v>316</v>
      </c>
      <c r="CN12">
        <f t="shared" si="12"/>
        <v>298.25</v>
      </c>
      <c r="CO12">
        <f t="shared" si="13"/>
        <v>301</v>
      </c>
      <c r="CP12">
        <f t="shared" si="14"/>
        <v>291.5</v>
      </c>
      <c r="CQ12">
        <f t="shared" si="15"/>
        <v>303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118</v>
      </c>
      <c r="C13" s="16">
        <v>102</v>
      </c>
      <c r="D13" s="16">
        <v>148</v>
      </c>
      <c r="E13" s="16">
        <v>113</v>
      </c>
      <c r="F13" s="16">
        <v>117</v>
      </c>
      <c r="G13" s="16">
        <v>63</v>
      </c>
      <c r="H13" s="16">
        <v>124</v>
      </c>
      <c r="I13" s="16">
        <v>214</v>
      </c>
      <c r="J13" s="16">
        <v>240</v>
      </c>
      <c r="K13" s="16">
        <v>210</v>
      </c>
      <c r="L13" s="16">
        <v>246</v>
      </c>
      <c r="M13" s="16">
        <v>190</v>
      </c>
      <c r="N13" s="16">
        <v>91</v>
      </c>
      <c r="O13" s="16">
        <v>129</v>
      </c>
      <c r="P13" s="16">
        <v>216</v>
      </c>
      <c r="Q13" s="16">
        <v>133</v>
      </c>
      <c r="R13" s="16">
        <v>196</v>
      </c>
      <c r="S13" s="16"/>
      <c r="T13" s="16"/>
      <c r="U13" s="17">
        <v>123</v>
      </c>
      <c r="V13" s="17"/>
      <c r="W13" s="17">
        <v>181</v>
      </c>
      <c r="X13" s="17"/>
      <c r="Y13" s="17">
        <v>177</v>
      </c>
      <c r="Z13" s="17">
        <v>272</v>
      </c>
      <c r="AA13" s="17">
        <v>260</v>
      </c>
      <c r="AB13" s="17">
        <v>299</v>
      </c>
      <c r="AC13" s="17">
        <v>299</v>
      </c>
      <c r="AD13" s="17">
        <v>284</v>
      </c>
      <c r="AE13" s="10">
        <v>444</v>
      </c>
      <c r="AF13" s="10">
        <v>261</v>
      </c>
      <c r="AG13" s="10">
        <f>40+40+39+38+19</f>
        <v>176</v>
      </c>
      <c r="AH13" s="10">
        <f>(3+7+1+2+2+1+1+1+3+10+3+2+2+1+1)+(2+2+1+1+2+4+2+2+2+14+4+3+3+2+2+2+3+1)+(2+1+3+2+3+4+2+5+2+3+2+1+1+2+1+5+6+2)+(1+2+4+2+2+3+2+2+1+3+5+2+1+3+6+1+2+2+2+17)+(2+2+2)</f>
        <v>208</v>
      </c>
      <c r="AI13" s="10">
        <f>(1+2+4+3+2+2)+(5+2+5+2+6+2+1+2+2+3+2+1+2+2+1+4+1+1+5)+(2+2+1+4+2+2+3+2+3+1+2+4+1+2+2+2+2+2+6)+(5+1+1+2+2+1+2+2+1+1+1+1+2+2+2+4+2+2)+(2+3+4+6+3+1+2+2+2+2+1+2+2+2+1+4+1+2+1)+(2+2+6+2+2+3+4+5+2+3+2+3+2+2+2+1+1)</f>
        <v>229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144.9</v>
      </c>
      <c r="BK13">
        <f t="shared" si="0"/>
        <v>157.69999999999999</v>
      </c>
      <c r="BL13">
        <f t="shared" si="2"/>
        <v>166.5</v>
      </c>
      <c r="BM13">
        <f t="shared" si="0"/>
        <v>160.80000000000001</v>
      </c>
      <c r="BN13">
        <f t="shared" si="0"/>
        <v>162.4</v>
      </c>
      <c r="BO13">
        <f t="shared" si="0"/>
        <v>172.3</v>
      </c>
      <c r="BP13">
        <f t="shared" si="0"/>
        <v>179.3</v>
      </c>
      <c r="BQ13">
        <f t="shared" si="0"/>
        <v>186.5</v>
      </c>
      <c r="BR13">
        <f t="shared" si="3"/>
        <v>183.44444444444446</v>
      </c>
      <c r="BS13">
        <f t="shared" si="3"/>
        <v>176.375</v>
      </c>
      <c r="BT13">
        <f t="shared" si="0"/>
        <v>165.5</v>
      </c>
      <c r="BU13">
        <f t="shared" si="0"/>
        <v>154</v>
      </c>
      <c r="BV13">
        <f t="shared" si="0"/>
        <v>152.71428571428572</v>
      </c>
      <c r="BW13">
        <f t="shared" si="0"/>
        <v>163</v>
      </c>
      <c r="BX13">
        <f t="shared" si="0"/>
        <v>171</v>
      </c>
      <c r="BY13">
        <f t="shared" si="0"/>
        <v>180.33333333333334</v>
      </c>
      <c r="BZ13">
        <f t="shared" si="0"/>
        <v>201.5</v>
      </c>
      <c r="CA13">
        <f t="shared" si="0"/>
        <v>218.66666666666666</v>
      </c>
      <c r="CB13">
        <f t="shared" si="0"/>
        <v>230.14285714285714</v>
      </c>
      <c r="CC13">
        <f t="shared" si="0"/>
        <v>236.875</v>
      </c>
      <c r="CD13">
        <f t="shared" si="0"/>
        <v>277</v>
      </c>
      <c r="CE13">
        <f t="shared" si="0"/>
        <v>275.22222222222223</v>
      </c>
      <c r="CF13">
        <f t="shared" si="4"/>
        <v>274.66666666666669</v>
      </c>
      <c r="CG13">
        <f t="shared" si="5"/>
        <v>268</v>
      </c>
      <c r="CH13">
        <f t="shared" si="6"/>
        <v>273.2</v>
      </c>
      <c r="CI13">
        <f t="shared" si="7"/>
        <v>273.33333333333331</v>
      </c>
      <c r="CJ13">
        <f t="shared" si="8"/>
        <v>275</v>
      </c>
      <c r="CK13">
        <f t="shared" si="9"/>
        <v>271.57142857142856</v>
      </c>
      <c r="CL13">
        <f t="shared" si="10"/>
        <v>267</v>
      </c>
      <c r="CM13">
        <f t="shared" si="11"/>
        <v>263.60000000000002</v>
      </c>
      <c r="CN13">
        <f t="shared" si="12"/>
        <v>218.5</v>
      </c>
      <c r="CO13">
        <f t="shared" si="13"/>
        <v>204.33333333333334</v>
      </c>
      <c r="CP13">
        <f t="shared" si="14"/>
        <v>218.5</v>
      </c>
      <c r="CQ13">
        <f t="shared" si="15"/>
        <v>229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83</v>
      </c>
      <c r="C14" s="14">
        <v>90</v>
      </c>
      <c r="D14" s="14">
        <v>95</v>
      </c>
      <c r="E14" s="14">
        <v>93</v>
      </c>
      <c r="F14" s="14">
        <v>54</v>
      </c>
      <c r="G14" s="14">
        <v>143</v>
      </c>
      <c r="H14" s="14">
        <v>122</v>
      </c>
      <c r="I14" s="14">
        <v>215</v>
      </c>
      <c r="J14" s="14">
        <v>143</v>
      </c>
      <c r="K14" s="14">
        <v>130</v>
      </c>
      <c r="L14" s="14">
        <v>99</v>
      </c>
      <c r="M14" s="14">
        <v>100</v>
      </c>
      <c r="N14" s="14">
        <v>153</v>
      </c>
      <c r="O14" s="14">
        <v>182</v>
      </c>
      <c r="P14" s="14">
        <v>122</v>
      </c>
      <c r="Q14" s="14">
        <v>124</v>
      </c>
      <c r="R14" s="14">
        <v>91</v>
      </c>
      <c r="S14" s="14"/>
      <c r="T14" s="14"/>
      <c r="U14" s="15">
        <v>61</v>
      </c>
      <c r="V14" s="15"/>
      <c r="W14" s="15">
        <v>124</v>
      </c>
      <c r="X14" s="15"/>
      <c r="Y14" s="15">
        <v>186</v>
      </c>
      <c r="Z14" s="15">
        <v>196</v>
      </c>
      <c r="AA14" s="15">
        <v>274</v>
      </c>
      <c r="AB14" s="15">
        <v>261</v>
      </c>
      <c r="AC14" s="15">
        <v>82</v>
      </c>
      <c r="AD14" s="15">
        <v>242</v>
      </c>
      <c r="AE14" s="124">
        <v>241</v>
      </c>
      <c r="AF14" s="124">
        <v>226</v>
      </c>
      <c r="AG14" s="124">
        <f>25+54+49+55+20</f>
        <v>203</v>
      </c>
      <c r="AH14" s="124">
        <f>(2+2+1+1+2+1+2+1+2+4+2+2+4+2+2+2+2)+(4+2+2+2+2+2+5+4+2+2+1+1+1+2+2+2+2+2+2+2)+(2+3+4+1+2+2+2+4+2+2+2+2+1+1+3+2+1)+(2+1+1+2+1+1+2+2+2+1+3+2+2+2+3+3+2+1)</f>
        <v>147</v>
      </c>
      <c r="AI14" s="124">
        <f>(2+2+2+2+2+4+2+1)</f>
        <v>17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116.8</v>
      </c>
      <c r="BK14">
        <f t="shared" si="0"/>
        <v>118.4</v>
      </c>
      <c r="BL14">
        <f t="shared" si="2"/>
        <v>119.4</v>
      </c>
      <c r="BM14">
        <f t="shared" si="0"/>
        <v>125.2</v>
      </c>
      <c r="BN14">
        <f t="shared" si="0"/>
        <v>134.1</v>
      </c>
      <c r="BO14">
        <f t="shared" si="0"/>
        <v>140.9</v>
      </c>
      <c r="BP14">
        <f t="shared" si="0"/>
        <v>139</v>
      </c>
      <c r="BQ14">
        <f t="shared" si="0"/>
        <v>135.9</v>
      </c>
      <c r="BR14">
        <f t="shared" si="3"/>
        <v>127.11111111111111</v>
      </c>
      <c r="BS14">
        <f t="shared" si="3"/>
        <v>125.125</v>
      </c>
      <c r="BT14">
        <f t="shared" si="0"/>
        <v>116.5</v>
      </c>
      <c r="BU14">
        <f t="shared" si="0"/>
        <v>119</v>
      </c>
      <c r="BV14">
        <f t="shared" si="0"/>
        <v>122.42857142857143</v>
      </c>
      <c r="BW14">
        <f t="shared" si="0"/>
        <v>117.33333333333333</v>
      </c>
      <c r="BX14">
        <f t="shared" si="0"/>
        <v>118</v>
      </c>
      <c r="BY14">
        <f t="shared" si="0"/>
        <v>130.33333333333334</v>
      </c>
      <c r="BZ14">
        <f t="shared" si="0"/>
        <v>155.33333333333334</v>
      </c>
      <c r="CA14">
        <f t="shared" si="0"/>
        <v>183.66666666666666</v>
      </c>
      <c r="CB14">
        <f t="shared" si="0"/>
        <v>169.14285714285714</v>
      </c>
      <c r="CC14">
        <f t="shared" si="0"/>
        <v>178.25</v>
      </c>
      <c r="CD14">
        <f t="shared" si="0"/>
        <v>200.75</v>
      </c>
      <c r="CE14">
        <f t="shared" si="0"/>
        <v>203.55555555555554</v>
      </c>
      <c r="CF14">
        <f t="shared" si="4"/>
        <v>212.33333333333334</v>
      </c>
      <c r="CG14">
        <f t="shared" si="5"/>
        <v>205.8</v>
      </c>
      <c r="CH14">
        <f t="shared" si="6"/>
        <v>188.9</v>
      </c>
      <c r="CI14">
        <f t="shared" si="7"/>
        <v>188.11111111111111</v>
      </c>
      <c r="CJ14">
        <f t="shared" si="8"/>
        <v>177.375</v>
      </c>
      <c r="CK14">
        <f t="shared" si="9"/>
        <v>165.42857142857142</v>
      </c>
      <c r="CL14">
        <f t="shared" si="10"/>
        <v>179.33333333333334</v>
      </c>
      <c r="CM14">
        <f t="shared" si="11"/>
        <v>166.8</v>
      </c>
      <c r="CN14">
        <f t="shared" si="12"/>
        <v>148.25</v>
      </c>
      <c r="CO14">
        <f t="shared" si="13"/>
        <v>122.33333333333333</v>
      </c>
      <c r="CP14">
        <f t="shared" si="14"/>
        <v>82</v>
      </c>
      <c r="CQ14">
        <f t="shared" si="15"/>
        <v>17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77</v>
      </c>
      <c r="C15" s="16">
        <v>67</v>
      </c>
      <c r="D15" s="16">
        <v>48</v>
      </c>
      <c r="E15" s="16">
        <v>42</v>
      </c>
      <c r="F15" s="16">
        <v>22</v>
      </c>
      <c r="G15" s="16">
        <v>49</v>
      </c>
      <c r="H15" s="16">
        <v>56</v>
      </c>
      <c r="I15" s="16">
        <v>86</v>
      </c>
      <c r="J15" s="16">
        <v>57</v>
      </c>
      <c r="K15" s="16">
        <v>76</v>
      </c>
      <c r="L15" s="16">
        <v>54</v>
      </c>
      <c r="M15" s="16">
        <v>57</v>
      </c>
      <c r="N15" s="16">
        <v>119</v>
      </c>
      <c r="O15" s="16">
        <v>49</v>
      </c>
      <c r="P15" s="16">
        <v>79</v>
      </c>
      <c r="Q15" s="16">
        <v>91</v>
      </c>
      <c r="R15" s="16">
        <v>24</v>
      </c>
      <c r="S15" s="16"/>
      <c r="T15" s="16"/>
      <c r="U15" s="17">
        <v>0</v>
      </c>
      <c r="V15" s="17"/>
      <c r="W15" s="17">
        <v>63</v>
      </c>
      <c r="X15" s="17"/>
      <c r="Y15" s="17">
        <v>49</v>
      </c>
      <c r="Z15" s="17">
        <v>77</v>
      </c>
      <c r="AA15" s="17">
        <v>168</v>
      </c>
      <c r="AB15" s="17">
        <v>118</v>
      </c>
      <c r="AC15" s="17">
        <v>23</v>
      </c>
      <c r="AD15" s="17">
        <v>61</v>
      </c>
      <c r="AE15" s="10">
        <v>170</v>
      </c>
      <c r="AF15" s="10">
        <v>106</v>
      </c>
      <c r="AG15" s="10">
        <f>16+24</f>
        <v>40</v>
      </c>
      <c r="AH15" s="10">
        <f>(2+4)+(4+2+2+2+2+1+2+2+1+4+2+2+2+5+3+2+1+2)+(2+1+2+3+4+2+5+1+1+2)</f>
        <v>70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58</v>
      </c>
      <c r="BK15">
        <f t="shared" si="0"/>
        <v>55.7</v>
      </c>
      <c r="BL15">
        <f t="shared" si="2"/>
        <v>54.7</v>
      </c>
      <c r="BM15">
        <f t="shared" si="0"/>
        <v>61.8</v>
      </c>
      <c r="BN15">
        <f t="shared" si="0"/>
        <v>62.5</v>
      </c>
      <c r="BO15">
        <f t="shared" si="0"/>
        <v>68.2</v>
      </c>
      <c r="BP15">
        <f t="shared" si="0"/>
        <v>72.400000000000006</v>
      </c>
      <c r="BQ15">
        <f t="shared" si="0"/>
        <v>69.2</v>
      </c>
      <c r="BR15">
        <f t="shared" si="3"/>
        <v>67.333333333333329</v>
      </c>
      <c r="BS15">
        <f t="shared" si="3"/>
        <v>68.625</v>
      </c>
      <c r="BT15">
        <f t="shared" si="0"/>
        <v>59.125</v>
      </c>
      <c r="BU15">
        <f t="shared" si="0"/>
        <v>59.857142857142854</v>
      </c>
      <c r="BV15">
        <f t="shared" si="0"/>
        <v>60.714285714285715</v>
      </c>
      <c r="BW15">
        <f t="shared" si="0"/>
        <v>51</v>
      </c>
      <c r="BX15">
        <f t="shared" si="0"/>
        <v>51</v>
      </c>
      <c r="BY15">
        <f t="shared" si="0"/>
        <v>50.666666666666664</v>
      </c>
      <c r="BZ15">
        <f t="shared" si="0"/>
        <v>63.5</v>
      </c>
      <c r="CA15">
        <f t="shared" si="0"/>
        <v>79.166666666666671</v>
      </c>
      <c r="CB15">
        <f t="shared" si="0"/>
        <v>71.142857142857139</v>
      </c>
      <c r="CC15">
        <f t="shared" si="0"/>
        <v>69.875</v>
      </c>
      <c r="CD15">
        <f t="shared" si="0"/>
        <v>91.125</v>
      </c>
      <c r="CE15">
        <f t="shared" si="0"/>
        <v>92.777777777777771</v>
      </c>
      <c r="CF15">
        <f t="shared" si="4"/>
        <v>90.222222222222229</v>
      </c>
      <c r="CG15">
        <f t="shared" si="5"/>
        <v>88.2</v>
      </c>
      <c r="CH15">
        <f t="shared" si="6"/>
        <v>92.555555555555557</v>
      </c>
      <c r="CI15">
        <f t="shared" si="7"/>
        <v>94.5</v>
      </c>
      <c r="CJ15">
        <f t="shared" si="8"/>
        <v>84</v>
      </c>
      <c r="CK15">
        <f t="shared" si="9"/>
        <v>78.333333333333329</v>
      </c>
      <c r="CL15">
        <f t="shared" si="10"/>
        <v>89.4</v>
      </c>
      <c r="CM15">
        <f t="shared" si="11"/>
        <v>96.5</v>
      </c>
      <c r="CN15">
        <f t="shared" si="12"/>
        <v>72</v>
      </c>
      <c r="CO15">
        <f t="shared" si="13"/>
        <v>55</v>
      </c>
      <c r="CP15">
        <f t="shared" si="14"/>
        <v>70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7</v>
      </c>
      <c r="C16" s="14">
        <v>7</v>
      </c>
      <c r="D16" s="14">
        <v>7</v>
      </c>
      <c r="E16" s="14">
        <v>13</v>
      </c>
      <c r="F16" s="14">
        <v>18</v>
      </c>
      <c r="G16" s="14">
        <v>10</v>
      </c>
      <c r="H16" s="14">
        <v>22</v>
      </c>
      <c r="I16" s="14">
        <v>48</v>
      </c>
      <c r="J16" s="14">
        <v>34</v>
      </c>
      <c r="K16" s="14">
        <v>53</v>
      </c>
      <c r="L16" s="14">
        <v>19</v>
      </c>
      <c r="M16" s="14">
        <v>14</v>
      </c>
      <c r="N16" s="14">
        <v>13</v>
      </c>
      <c r="O16" s="14">
        <v>18</v>
      </c>
      <c r="P16" s="14">
        <v>10</v>
      </c>
      <c r="Q16" s="14">
        <v>27</v>
      </c>
      <c r="R16" s="14">
        <v>8</v>
      </c>
      <c r="S16" s="14"/>
      <c r="T16" s="14"/>
      <c r="U16" s="15">
        <v>0</v>
      </c>
      <c r="V16" s="15"/>
      <c r="W16" s="15">
        <v>22</v>
      </c>
      <c r="X16" s="15"/>
      <c r="Y16" s="15">
        <v>14</v>
      </c>
      <c r="Z16" s="15">
        <v>37</v>
      </c>
      <c r="AA16" s="15">
        <v>26</v>
      </c>
      <c r="AB16" s="15">
        <v>23</v>
      </c>
      <c r="AC16" s="15">
        <v>39</v>
      </c>
      <c r="AD16" s="15">
        <v>20</v>
      </c>
      <c r="AE16" s="124">
        <v>12</v>
      </c>
      <c r="AF16" s="124">
        <v>62</v>
      </c>
      <c r="AG16" s="124">
        <f>10+41</f>
        <v>51</v>
      </c>
      <c r="AH16" s="124">
        <f>(2+2+1+1+1+1+3+4)+(5+6+5+2+2+1+3+2+2+2)</f>
        <v>45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21.9</v>
      </c>
      <c r="BK16">
        <f t="shared" si="0"/>
        <v>23.1</v>
      </c>
      <c r="BL16">
        <f t="shared" si="2"/>
        <v>23.8</v>
      </c>
      <c r="BM16">
        <f t="shared" si="0"/>
        <v>24.4</v>
      </c>
      <c r="BN16">
        <f t="shared" si="0"/>
        <v>24.9</v>
      </c>
      <c r="BO16">
        <f t="shared" si="0"/>
        <v>24.1</v>
      </c>
      <c r="BP16">
        <f t="shared" si="0"/>
        <v>25.8</v>
      </c>
      <c r="BQ16">
        <f t="shared" si="0"/>
        <v>24.4</v>
      </c>
      <c r="BR16">
        <f t="shared" si="3"/>
        <v>21.777777777777779</v>
      </c>
      <c r="BS16">
        <f t="shared" si="3"/>
        <v>20.25</v>
      </c>
      <c r="BT16">
        <f t="shared" si="0"/>
        <v>13.625</v>
      </c>
      <c r="BU16">
        <f t="shared" si="0"/>
        <v>12.857142857142858</v>
      </c>
      <c r="BV16">
        <f t="shared" si="0"/>
        <v>14</v>
      </c>
      <c r="BW16">
        <f t="shared" si="0"/>
        <v>14.166666666666666</v>
      </c>
      <c r="BX16">
        <f t="shared" si="0"/>
        <v>13.5</v>
      </c>
      <c r="BY16">
        <f t="shared" si="0"/>
        <v>18</v>
      </c>
      <c r="BZ16">
        <f t="shared" si="0"/>
        <v>17.833333333333332</v>
      </c>
      <c r="CA16">
        <f t="shared" si="0"/>
        <v>20.333333333333332</v>
      </c>
      <c r="CB16">
        <f t="shared" si="0"/>
        <v>23</v>
      </c>
      <c r="CC16">
        <f t="shared" si="0"/>
        <v>22.625</v>
      </c>
      <c r="CD16">
        <f t="shared" si="0"/>
        <v>24.125</v>
      </c>
      <c r="CE16">
        <f t="shared" si="0"/>
        <v>28.333333333333332</v>
      </c>
      <c r="CF16">
        <f t="shared" si="4"/>
        <v>31.555555555555557</v>
      </c>
      <c r="CG16">
        <f t="shared" si="5"/>
        <v>32.9</v>
      </c>
      <c r="CH16">
        <f t="shared" si="6"/>
        <v>35</v>
      </c>
      <c r="CI16">
        <f t="shared" si="7"/>
        <v>34.75</v>
      </c>
      <c r="CJ16">
        <f t="shared" si="8"/>
        <v>36</v>
      </c>
      <c r="CK16">
        <f t="shared" si="9"/>
        <v>38.166666666666664</v>
      </c>
      <c r="CL16">
        <f t="shared" si="10"/>
        <v>38</v>
      </c>
      <c r="CM16">
        <f t="shared" si="11"/>
        <v>42.5</v>
      </c>
      <c r="CN16">
        <f t="shared" si="12"/>
        <v>52.666666666666664</v>
      </c>
      <c r="CO16">
        <f t="shared" si="13"/>
        <v>48</v>
      </c>
      <c r="CP16">
        <f t="shared" si="14"/>
        <v>45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1348</v>
      </c>
      <c r="C18" s="22">
        <f t="shared" ref="C18:AZ18" si="29">SUM(C5:C16)</f>
        <v>823</v>
      </c>
      <c r="D18" s="22">
        <f t="shared" si="29"/>
        <v>1170</v>
      </c>
      <c r="E18" s="22">
        <f t="shared" si="29"/>
        <v>826</v>
      </c>
      <c r="F18" s="22">
        <f t="shared" si="29"/>
        <v>1296</v>
      </c>
      <c r="G18" s="22">
        <f t="shared" si="29"/>
        <v>1151</v>
      </c>
      <c r="H18" s="22">
        <f t="shared" si="29"/>
        <v>1250</v>
      </c>
      <c r="I18" s="22">
        <f t="shared" si="29"/>
        <v>2013</v>
      </c>
      <c r="J18" s="22">
        <f t="shared" si="29"/>
        <v>2135</v>
      </c>
      <c r="K18" s="22">
        <f t="shared" si="29"/>
        <v>1472</v>
      </c>
      <c r="L18" s="22">
        <f t="shared" si="29"/>
        <v>1579</v>
      </c>
      <c r="M18" s="22">
        <f t="shared" si="29"/>
        <v>1828</v>
      </c>
      <c r="N18" s="22">
        <f t="shared" si="29"/>
        <v>1630</v>
      </c>
      <c r="O18" s="22">
        <f t="shared" si="29"/>
        <v>1440</v>
      </c>
      <c r="P18" s="22">
        <f t="shared" si="29"/>
        <v>1368</v>
      </c>
      <c r="Q18" s="22">
        <f t="shared" si="29"/>
        <v>1608</v>
      </c>
      <c r="R18" s="22">
        <f t="shared" si="29"/>
        <v>1616</v>
      </c>
      <c r="S18" s="22">
        <f t="shared" si="29"/>
        <v>0</v>
      </c>
      <c r="T18" s="22">
        <f t="shared" si="29"/>
        <v>0</v>
      </c>
      <c r="U18" s="22">
        <f t="shared" si="29"/>
        <v>1760</v>
      </c>
      <c r="V18" s="22">
        <f t="shared" si="29"/>
        <v>0</v>
      </c>
      <c r="W18" s="22">
        <f t="shared" si="29"/>
        <v>1691</v>
      </c>
      <c r="X18" s="22">
        <f t="shared" si="29"/>
        <v>0</v>
      </c>
      <c r="Y18" s="22">
        <f t="shared" si="29"/>
        <v>1622</v>
      </c>
      <c r="Z18" s="22">
        <f t="shared" si="29"/>
        <v>1824</v>
      </c>
      <c r="AA18" s="22">
        <f t="shared" si="29"/>
        <v>2678</v>
      </c>
      <c r="AB18" s="22">
        <f t="shared" si="29"/>
        <v>2316</v>
      </c>
      <c r="AC18" s="22">
        <f t="shared" si="29"/>
        <v>2058</v>
      </c>
      <c r="AD18" s="22">
        <f t="shared" si="29"/>
        <v>2242</v>
      </c>
      <c r="AE18" s="22">
        <f t="shared" si="29"/>
        <v>2476</v>
      </c>
      <c r="AF18" s="22">
        <f t="shared" si="29"/>
        <v>2283</v>
      </c>
      <c r="AG18" s="22">
        <f t="shared" si="29"/>
        <v>1723</v>
      </c>
      <c r="AH18" s="22">
        <f t="shared" si="29"/>
        <v>1734</v>
      </c>
      <c r="AI18" s="22">
        <f t="shared" si="29"/>
        <v>1441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1012.1</v>
      </c>
      <c r="BZ18" s="25">
        <f>AVERAGE(R18:AA18)</f>
        <v>1119.0999999999999</v>
      </c>
      <c r="CA18" s="25">
        <f>AVERAGE(S18:AB18)</f>
        <v>1189.0999999999999</v>
      </c>
      <c r="CB18" s="25">
        <f>AVERAGE(T18:AC18)</f>
        <v>1394.9</v>
      </c>
      <c r="CC18" s="25">
        <f>AVERAGE(U18:AD18)</f>
        <v>1619.1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transitionEvaluation="1" codeName="Sheet2">
    <tabColor theme="3"/>
  </sheetPr>
  <dimension ref="A1:DE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I15" sqref="AI15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6" width="5.7109375" style="5" customWidth="1"/>
    <col min="27" max="28" width="5.85546875" style="5" customWidth="1"/>
    <col min="29" max="29" width="6.5703125" style="5" customWidth="1"/>
    <col min="30" max="30" width="6" style="5" customWidth="1"/>
    <col min="31" max="31" width="6.42578125" customWidth="1"/>
    <col min="32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7" width="21" style="5" customWidth="1"/>
    <col min="78" max="78" width="17.7109375" style="5" customWidth="1"/>
    <col min="79" max="79" width="17.28515625" style="5" customWidth="1"/>
    <col min="80" max="80" width="17.7109375" style="5" customWidth="1"/>
    <col min="81" max="81" width="9.425781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104</v>
      </c>
      <c r="C2" s="34" t="s">
        <v>78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84</v>
      </c>
      <c r="CA3" s="77" t="s">
        <v>94</v>
      </c>
      <c r="CB3" s="77" t="s">
        <v>99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>
        <v>29</v>
      </c>
      <c r="G5" s="16">
        <v>4</v>
      </c>
      <c r="H5" s="16">
        <v>10</v>
      </c>
      <c r="I5" s="16">
        <v>27</v>
      </c>
      <c r="J5" s="16">
        <v>7</v>
      </c>
      <c r="K5" s="16">
        <v>23</v>
      </c>
      <c r="L5" s="16">
        <v>23</v>
      </c>
      <c r="M5" s="16">
        <v>10</v>
      </c>
      <c r="N5" s="16">
        <v>61</v>
      </c>
      <c r="O5" s="16">
        <v>18</v>
      </c>
      <c r="P5" s="16">
        <v>10</v>
      </c>
      <c r="Q5" s="16">
        <v>25</v>
      </c>
      <c r="R5" s="16">
        <v>38</v>
      </c>
      <c r="S5" s="16"/>
      <c r="T5" s="16"/>
      <c r="U5" s="17">
        <v>17</v>
      </c>
      <c r="V5" s="17"/>
      <c r="W5" s="17">
        <v>79</v>
      </c>
      <c r="X5" s="17"/>
      <c r="Y5" s="76">
        <v>28</v>
      </c>
      <c r="Z5" s="76">
        <v>41</v>
      </c>
      <c r="AA5" s="17">
        <v>30</v>
      </c>
      <c r="AB5" s="17">
        <v>21</v>
      </c>
      <c r="AC5" s="17">
        <v>26</v>
      </c>
      <c r="AD5" s="136">
        <f>AVERAGE(AA5:AC5)</f>
        <v>25.666666666666668</v>
      </c>
      <c r="AE5" s="10">
        <v>23</v>
      </c>
      <c r="AF5" s="10">
        <v>119</v>
      </c>
      <c r="AG5" s="10">
        <f>38+28</f>
        <v>66</v>
      </c>
      <c r="AH5" s="10">
        <f>32+27</f>
        <v>59</v>
      </c>
      <c r="AI5" s="10">
        <f>(2+2+1+2+2+1+2+2+1+1+2+2+2+2+2+1+1+3)+(2)</f>
        <v>33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16.666666666666668</v>
      </c>
      <c r="BK5">
        <f t="shared" ref="BK5:DD16" si="0">AVERAGE(C5:L5)</f>
        <v>17.571428571428573</v>
      </c>
      <c r="BL5">
        <f>AVERAGE(D5:M5)</f>
        <v>16.625</v>
      </c>
      <c r="BM5">
        <f t="shared" si="0"/>
        <v>21.555555555555557</v>
      </c>
      <c r="BN5">
        <f t="shared" si="0"/>
        <v>21.2</v>
      </c>
      <c r="BO5">
        <f t="shared" si="0"/>
        <v>19.3</v>
      </c>
      <c r="BP5">
        <f t="shared" si="0"/>
        <v>21.4</v>
      </c>
      <c r="BQ5">
        <f t="shared" si="0"/>
        <v>24.2</v>
      </c>
      <c r="BR5">
        <f t="shared" si="0"/>
        <v>23.888888888888889</v>
      </c>
      <c r="BS5">
        <f t="shared" si="0"/>
        <v>26</v>
      </c>
      <c r="BT5">
        <f t="shared" si="0"/>
        <v>25.25</v>
      </c>
      <c r="BU5">
        <f t="shared" si="0"/>
        <v>25.571428571428573</v>
      </c>
      <c r="BV5">
        <f t="shared" si="0"/>
        <v>35.428571428571431</v>
      </c>
      <c r="BW5">
        <f t="shared" si="0"/>
        <v>31.166666666666668</v>
      </c>
      <c r="BX5">
        <f t="shared" si="0"/>
        <v>32.833333333333336</v>
      </c>
      <c r="BY5">
        <f t="shared" si="0"/>
        <v>38</v>
      </c>
      <c r="BZ5">
        <f t="shared" si="0"/>
        <v>38.833333333333336</v>
      </c>
      <c r="CA5">
        <f t="shared" si="0"/>
        <v>36</v>
      </c>
      <c r="CB5">
        <f t="shared" si="0"/>
        <v>34.571428571428569</v>
      </c>
      <c r="CC5">
        <f t="shared" si="0"/>
        <v>33.458333333333336</v>
      </c>
      <c r="CD5">
        <f t="shared" si="0"/>
        <v>34.208333333333329</v>
      </c>
      <c r="CE5">
        <f t="shared" ref="CE5:CE16" si="1">AVERAGE(W5:AF5)</f>
        <v>43.629629629629626</v>
      </c>
      <c r="CF5">
        <f t="shared" si="0"/>
        <v>42.185185185185183</v>
      </c>
      <c r="CG5">
        <f t="shared" si="0"/>
        <v>43.86666666666666</v>
      </c>
      <c r="CH5">
        <f t="shared" si="0"/>
        <v>44.36666666666666</v>
      </c>
      <c r="CI5">
        <f t="shared" si="0"/>
        <v>44.74074074074074</v>
      </c>
      <c r="CJ5">
        <f t="shared" si="0"/>
        <v>46.583333333333336</v>
      </c>
      <c r="CK5">
        <f t="shared" si="0"/>
        <v>50.238095238095241</v>
      </c>
      <c r="CL5">
        <f t="shared" si="0"/>
        <v>54.277777777777779</v>
      </c>
      <c r="CM5">
        <f t="shared" si="0"/>
        <v>60</v>
      </c>
      <c r="CN5">
        <f t="shared" ref="CN5:CN16" si="2">AVERAGE(AF5:AO5)</f>
        <v>69.25</v>
      </c>
      <c r="CO5">
        <f t="shared" si="0"/>
        <v>52.666666666666664</v>
      </c>
      <c r="CP5">
        <f t="shared" si="0"/>
        <v>46</v>
      </c>
      <c r="CQ5">
        <f t="shared" si="0"/>
        <v>33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>
        <v>5</v>
      </c>
      <c r="G6" s="14">
        <v>16</v>
      </c>
      <c r="H6" s="14">
        <v>10</v>
      </c>
      <c r="I6" s="14">
        <v>41</v>
      </c>
      <c r="J6" s="14">
        <v>39</v>
      </c>
      <c r="K6" s="14">
        <v>20</v>
      </c>
      <c r="L6" s="14">
        <v>11</v>
      </c>
      <c r="M6" s="14">
        <v>30</v>
      </c>
      <c r="N6" s="14">
        <v>14</v>
      </c>
      <c r="O6" s="14">
        <v>40</v>
      </c>
      <c r="P6" s="14">
        <v>20</v>
      </c>
      <c r="Q6" s="14">
        <v>27</v>
      </c>
      <c r="R6" s="14">
        <v>44</v>
      </c>
      <c r="S6" s="14"/>
      <c r="T6" s="14"/>
      <c r="U6" s="15">
        <v>33</v>
      </c>
      <c r="V6" s="15"/>
      <c r="W6" s="15">
        <v>184</v>
      </c>
      <c r="X6" s="15"/>
      <c r="Y6" s="76">
        <v>42</v>
      </c>
      <c r="Z6" s="15">
        <v>7</v>
      </c>
      <c r="AA6" s="15">
        <v>39</v>
      </c>
      <c r="AB6" s="15">
        <v>30</v>
      </c>
      <c r="AC6" s="15">
        <v>34</v>
      </c>
      <c r="AD6" s="136">
        <f t="shared" ref="AD6:AD7" si="3">AVERAGE(AA6:AC6)</f>
        <v>34.333333333333336</v>
      </c>
      <c r="AE6" s="124">
        <v>30</v>
      </c>
      <c r="AF6" s="124">
        <v>73</v>
      </c>
      <c r="AG6" s="124">
        <f>10+44+12</f>
        <v>66</v>
      </c>
      <c r="AH6" s="124">
        <f>4+49+18</f>
        <v>71</v>
      </c>
      <c r="AI6" s="124">
        <f>(4+2+2+3+2+2+2+2+2+4+3+1+1+1+2+1+2+2)+(6+2+2+2+3+2+2+3+1+2+2+2+2+2+1+2+2+1+2+1)+(1)</f>
        <v>81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4">AVERAGE(B6:K6)</f>
        <v>21.833333333333332</v>
      </c>
      <c r="BK6">
        <f t="shared" si="0"/>
        <v>20.285714285714285</v>
      </c>
      <c r="BL6">
        <f t="shared" ref="BL6:BL16" si="5">AVERAGE(D6:M6)</f>
        <v>21.5</v>
      </c>
      <c r="BM6">
        <f t="shared" si="0"/>
        <v>20.666666666666668</v>
      </c>
      <c r="BN6">
        <f t="shared" si="0"/>
        <v>22.6</v>
      </c>
      <c r="BO6">
        <f t="shared" si="0"/>
        <v>24.1</v>
      </c>
      <c r="BP6">
        <f t="shared" si="0"/>
        <v>25.2</v>
      </c>
      <c r="BQ6">
        <f t="shared" si="0"/>
        <v>28.6</v>
      </c>
      <c r="BR6">
        <f t="shared" ref="BR6:BS16" si="6">AVERAGE(J6:S6)</f>
        <v>27.222222222222221</v>
      </c>
      <c r="BS6">
        <f t="shared" si="6"/>
        <v>25.75</v>
      </c>
      <c r="BT6">
        <f t="shared" si="0"/>
        <v>27.375</v>
      </c>
      <c r="BU6">
        <f t="shared" si="0"/>
        <v>29.714285714285715</v>
      </c>
      <c r="BV6">
        <f t="shared" si="0"/>
        <v>51.714285714285715</v>
      </c>
      <c r="BW6">
        <f t="shared" si="0"/>
        <v>58</v>
      </c>
      <c r="BX6">
        <f t="shared" si="0"/>
        <v>58.333333333333336</v>
      </c>
      <c r="BY6">
        <f t="shared" si="0"/>
        <v>56.166666666666664</v>
      </c>
      <c r="BZ6">
        <f t="shared" si="0"/>
        <v>58.166666666666664</v>
      </c>
      <c r="CA6">
        <f t="shared" si="0"/>
        <v>55.833333333333336</v>
      </c>
      <c r="CB6">
        <f t="shared" si="0"/>
        <v>52.714285714285715</v>
      </c>
      <c r="CC6">
        <f t="shared" si="0"/>
        <v>50.416666666666664</v>
      </c>
      <c r="CD6">
        <f t="shared" si="0"/>
        <v>50.041666666666664</v>
      </c>
      <c r="CE6">
        <f t="shared" si="1"/>
        <v>52.592592592592588</v>
      </c>
      <c r="CF6">
        <f t="shared" ref="CF6:CF16" si="7">AVERAGE(X6:AG6)</f>
        <v>39.481481481481488</v>
      </c>
      <c r="CG6">
        <f t="shared" ref="CG6:CG16" si="8">AVERAGE(Y6:AH6)</f>
        <v>42.63333333333334</v>
      </c>
      <c r="CH6">
        <f t="shared" ref="CH6:CH16" si="9">AVERAGE(Z6:AI6)</f>
        <v>46.533333333333339</v>
      </c>
      <c r="CI6">
        <f t="shared" ref="CI6:CI16" si="10">AVERAGE(AA6:AJ6)</f>
        <v>50.925925925925931</v>
      </c>
      <c r="CJ6">
        <f t="shared" ref="CJ6:CJ16" si="11">AVERAGE(AB6:AK6)</f>
        <v>52.416666666666671</v>
      </c>
      <c r="CK6">
        <f t="shared" ref="CK6:CK16" si="12">AVERAGE(AC6:AL6)</f>
        <v>55.619047619047628</v>
      </c>
      <c r="CL6">
        <f t="shared" ref="CL6:CL16" si="13">AVERAGE(AD6:AM6)</f>
        <v>59.222222222222229</v>
      </c>
      <c r="CM6">
        <f t="shared" ref="CM6:CM16" si="14">AVERAGE(AE6:AN6)</f>
        <v>64.2</v>
      </c>
      <c r="CN6">
        <f t="shared" si="2"/>
        <v>72.75</v>
      </c>
      <c r="CO6">
        <f t="shared" ref="CO6:CO16" si="15">AVERAGE(AG6:AP6)</f>
        <v>72.666666666666671</v>
      </c>
      <c r="CP6">
        <f t="shared" ref="CP6:CP16" si="16">AVERAGE(AH6:AQ6)</f>
        <v>76</v>
      </c>
      <c r="CQ6">
        <f t="shared" ref="CQ6:CQ16" si="17">AVERAGE(AI6:AR6)</f>
        <v>81</v>
      </c>
      <c r="CR6" t="e">
        <f t="shared" ref="CR6:CR16" si="18">AVERAGE(AJ6:AS6)</f>
        <v>#DIV/0!</v>
      </c>
      <c r="CS6" t="e">
        <f t="shared" ref="CS6:CS16" si="19">AVERAGE(AK6:AT6)</f>
        <v>#DIV/0!</v>
      </c>
      <c r="CT6" t="e">
        <f t="shared" ref="CT6:CT16" si="20">AVERAGE(AL6:AU6)</f>
        <v>#DIV/0!</v>
      </c>
      <c r="CU6" t="e">
        <f t="shared" ref="CU6:CU16" si="21">AVERAGE(AM6:AV6)</f>
        <v>#DIV/0!</v>
      </c>
      <c r="CV6" t="e">
        <f t="shared" ref="CV6:CV16" si="22">AVERAGE(AN6:AW6)</f>
        <v>#DIV/0!</v>
      </c>
      <c r="CW6" t="e">
        <f t="shared" ref="CW6:CW16" si="23">AVERAGE(AO6:AX6)</f>
        <v>#DIV/0!</v>
      </c>
      <c r="CX6" t="e">
        <f t="shared" ref="CX6:CX16" si="24">AVERAGE(AP6:AY6)</f>
        <v>#DIV/0!</v>
      </c>
      <c r="CY6" t="e">
        <f t="shared" ref="CY6:CY16" si="25">AVERAGE(AQ6:AZ6)</f>
        <v>#DIV/0!</v>
      </c>
      <c r="CZ6" t="e">
        <f t="shared" ref="CZ6:CZ16" si="26">AVERAGE(AR6:BA6)</f>
        <v>#N/A</v>
      </c>
      <c r="DA6" t="e">
        <f t="shared" ref="DA6:DA16" si="27">AVERAGE(AS6:BB6)</f>
        <v>#N/A</v>
      </c>
      <c r="DB6" t="e">
        <f t="shared" ref="DB6:DB16" si="28">AVERAGE(AT6:BC6)</f>
        <v>#N/A</v>
      </c>
      <c r="DC6" t="e">
        <f t="shared" ref="DC6:DC16" si="29">AVERAGE(AU6:BD6)</f>
        <v>#N/A</v>
      </c>
      <c r="DD6" t="e">
        <f t="shared" ref="DD6:DD16" si="30">AVERAGE(AV6:BE6)</f>
        <v>#N/A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>
        <v>16</v>
      </c>
      <c r="G7" s="16">
        <v>10</v>
      </c>
      <c r="H7" s="16">
        <v>14</v>
      </c>
      <c r="I7" s="16">
        <v>34</v>
      </c>
      <c r="J7" s="16">
        <v>22</v>
      </c>
      <c r="K7" s="16">
        <v>33</v>
      </c>
      <c r="L7" s="16">
        <v>25</v>
      </c>
      <c r="M7" s="16">
        <v>14</v>
      </c>
      <c r="N7" s="16">
        <v>31</v>
      </c>
      <c r="O7" s="16">
        <v>29</v>
      </c>
      <c r="P7" s="16">
        <v>11</v>
      </c>
      <c r="Q7" s="16">
        <v>21</v>
      </c>
      <c r="R7" s="16">
        <v>20</v>
      </c>
      <c r="S7" s="16"/>
      <c r="T7" s="16"/>
      <c r="U7" s="17">
        <v>20</v>
      </c>
      <c r="V7" s="17"/>
      <c r="W7" s="17">
        <v>111</v>
      </c>
      <c r="X7" s="17"/>
      <c r="Y7" s="76">
        <v>31</v>
      </c>
      <c r="Z7" s="17">
        <v>23</v>
      </c>
      <c r="AA7" s="17">
        <v>67</v>
      </c>
      <c r="AB7" s="17">
        <v>8</v>
      </c>
      <c r="AC7" s="17">
        <v>22</v>
      </c>
      <c r="AD7" s="136">
        <f t="shared" si="3"/>
        <v>32.333333333333336</v>
      </c>
      <c r="AE7" s="10">
        <v>80</v>
      </c>
      <c r="AF7" s="10">
        <v>105</v>
      </c>
      <c r="AG7" s="10">
        <f>24+20</f>
        <v>44</v>
      </c>
      <c r="AH7" s="10">
        <f>11+14</f>
        <v>25</v>
      </c>
      <c r="AI7" s="10">
        <f>(2)+(2+2+3+1+1+1+1+2+1+2+3+1+4+1+1+2+3+3+1)+(2+5+1+2+2+2+2+2+2+1+2+3+2+2+2+2+4+2)+(2+2+1)</f>
        <v>82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4"/>
        <v>21.5</v>
      </c>
      <c r="BK7">
        <f t="shared" si="0"/>
        <v>22</v>
      </c>
      <c r="BL7">
        <f t="shared" si="5"/>
        <v>21</v>
      </c>
      <c r="BM7">
        <f t="shared" si="0"/>
        <v>22.111111111111111</v>
      </c>
      <c r="BN7">
        <f t="shared" si="0"/>
        <v>22.8</v>
      </c>
      <c r="BO7">
        <f t="shared" si="0"/>
        <v>22.3</v>
      </c>
      <c r="BP7">
        <f t="shared" si="0"/>
        <v>23.4</v>
      </c>
      <c r="BQ7">
        <f t="shared" si="0"/>
        <v>24</v>
      </c>
      <c r="BR7">
        <f t="shared" si="6"/>
        <v>22.888888888888889</v>
      </c>
      <c r="BS7">
        <f t="shared" si="6"/>
        <v>23</v>
      </c>
      <c r="BT7">
        <f t="shared" si="0"/>
        <v>21.375</v>
      </c>
      <c r="BU7">
        <f t="shared" si="0"/>
        <v>20.857142857142858</v>
      </c>
      <c r="BV7">
        <f t="shared" si="0"/>
        <v>34.714285714285715</v>
      </c>
      <c r="BW7">
        <f t="shared" si="0"/>
        <v>35.333333333333336</v>
      </c>
      <c r="BX7">
        <f>AVERAGE(P7:Y7)</f>
        <v>35.666666666666664</v>
      </c>
      <c r="BY7">
        <f t="shared" si="0"/>
        <v>37.666666666666664</v>
      </c>
      <c r="BZ7">
        <f t="shared" si="0"/>
        <v>45.333333333333336</v>
      </c>
      <c r="CA7">
        <f t="shared" si="0"/>
        <v>43.333333333333336</v>
      </c>
      <c r="CB7">
        <f t="shared" si="0"/>
        <v>40.285714285714285</v>
      </c>
      <c r="CC7">
        <f t="shared" si="0"/>
        <v>39.291666666666664</v>
      </c>
      <c r="CD7">
        <f t="shared" si="0"/>
        <v>46.791666666666664</v>
      </c>
      <c r="CE7">
        <f t="shared" si="1"/>
        <v>53.25925925925926</v>
      </c>
      <c r="CF7">
        <f t="shared" si="7"/>
        <v>45.814814814814817</v>
      </c>
      <c r="CG7">
        <f t="shared" si="8"/>
        <v>43.733333333333334</v>
      </c>
      <c r="CH7">
        <f t="shared" si="9"/>
        <v>48.833333333333336</v>
      </c>
      <c r="CI7">
        <f t="shared" si="10"/>
        <v>51.703703703703709</v>
      </c>
      <c r="CJ7">
        <f t="shared" si="11"/>
        <v>49.791666666666671</v>
      </c>
      <c r="CK7">
        <f t="shared" si="12"/>
        <v>55.761904761904766</v>
      </c>
      <c r="CL7">
        <f t="shared" si="13"/>
        <v>61.388888888888893</v>
      </c>
      <c r="CM7">
        <f t="shared" si="14"/>
        <v>67.2</v>
      </c>
      <c r="CN7">
        <f t="shared" si="2"/>
        <v>64</v>
      </c>
      <c r="CO7">
        <f t="shared" si="15"/>
        <v>50.333333333333336</v>
      </c>
      <c r="CP7">
        <f t="shared" si="16"/>
        <v>53.5</v>
      </c>
      <c r="CQ7">
        <f t="shared" si="17"/>
        <v>82</v>
      </c>
      <c r="CR7" t="e">
        <f t="shared" si="18"/>
        <v>#DIV/0!</v>
      </c>
      <c r="CS7" t="e">
        <f t="shared" si="19"/>
        <v>#DIV/0!</v>
      </c>
      <c r="CT7" t="e">
        <f t="shared" si="20"/>
        <v>#DIV/0!</v>
      </c>
      <c r="CU7" t="e">
        <f t="shared" si="21"/>
        <v>#DIV/0!</v>
      </c>
      <c r="CV7" t="e">
        <f t="shared" si="22"/>
        <v>#DIV/0!</v>
      </c>
      <c r="CW7" t="e">
        <f t="shared" si="23"/>
        <v>#DIV/0!</v>
      </c>
      <c r="CX7" t="e">
        <f t="shared" si="24"/>
        <v>#DIV/0!</v>
      </c>
      <c r="CY7" t="e">
        <f t="shared" si="25"/>
        <v>#DIV/0!</v>
      </c>
      <c r="CZ7" t="e">
        <f t="shared" si="26"/>
        <v>#N/A</v>
      </c>
      <c r="DA7" t="e">
        <f t="shared" si="27"/>
        <v>#N/A</v>
      </c>
      <c r="DB7" t="e">
        <f t="shared" si="28"/>
        <v>#N/A</v>
      </c>
      <c r="DC7" t="e">
        <f t="shared" si="29"/>
        <v>#N/A</v>
      </c>
      <c r="DD7" t="e">
        <f t="shared" si="30"/>
        <v>#N/A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>
        <v>48</v>
      </c>
      <c r="G8" s="14">
        <v>21</v>
      </c>
      <c r="H8" s="14">
        <v>35</v>
      </c>
      <c r="I8" s="14">
        <v>51</v>
      </c>
      <c r="J8" s="14">
        <v>24</v>
      </c>
      <c r="K8" s="14">
        <v>34</v>
      </c>
      <c r="L8" s="14">
        <v>23</v>
      </c>
      <c r="M8" s="14">
        <v>57</v>
      </c>
      <c r="N8" s="14">
        <v>52</v>
      </c>
      <c r="O8" s="14">
        <v>47</v>
      </c>
      <c r="P8" s="14">
        <v>52</v>
      </c>
      <c r="Q8" s="14">
        <v>91</v>
      </c>
      <c r="R8" s="14">
        <v>49</v>
      </c>
      <c r="S8" s="14"/>
      <c r="T8" s="14"/>
      <c r="U8" s="15">
        <v>71</v>
      </c>
      <c r="V8" s="15"/>
      <c r="W8" s="15">
        <v>114</v>
      </c>
      <c r="X8" s="15"/>
      <c r="Y8" s="76">
        <v>55</v>
      </c>
      <c r="Z8" s="15">
        <v>77</v>
      </c>
      <c r="AA8" s="15">
        <v>152</v>
      </c>
      <c r="AB8" s="15">
        <v>81</v>
      </c>
      <c r="AC8" s="15">
        <v>47</v>
      </c>
      <c r="AD8" s="111">
        <v>69</v>
      </c>
      <c r="AE8" s="124">
        <v>72</v>
      </c>
      <c r="AF8" s="124">
        <v>152</v>
      </c>
      <c r="AG8" s="124">
        <f>24+41+35+31+2</f>
        <v>133</v>
      </c>
      <c r="AH8" s="124">
        <f>26+46+29+7</f>
        <v>108</v>
      </c>
      <c r="AI8" s="124">
        <f>(1+3+1+2+2+2+9+1+1+2+1+1+1+1+1+3)+(1+3+2+12+1+1+1+2+2+6+1+1+1+2+2+2+1+3+2)+(3+1+3+2+1+6+2+9+2+2+1)</f>
        <v>110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4"/>
        <v>35.5</v>
      </c>
      <c r="BK8">
        <f t="shared" si="0"/>
        <v>33.714285714285715</v>
      </c>
      <c r="BL8">
        <f t="shared" si="5"/>
        <v>36.625</v>
      </c>
      <c r="BM8">
        <f t="shared" si="0"/>
        <v>38.333333333333336</v>
      </c>
      <c r="BN8">
        <f t="shared" si="0"/>
        <v>39.200000000000003</v>
      </c>
      <c r="BO8">
        <f t="shared" si="0"/>
        <v>39.6</v>
      </c>
      <c r="BP8">
        <f t="shared" si="0"/>
        <v>46.6</v>
      </c>
      <c r="BQ8">
        <f t="shared" si="0"/>
        <v>48</v>
      </c>
      <c r="BR8">
        <f t="shared" si="6"/>
        <v>47.666666666666664</v>
      </c>
      <c r="BS8">
        <f t="shared" si="6"/>
        <v>50.625</v>
      </c>
      <c r="BT8">
        <f>AVERAGE(L8:U8)</f>
        <v>55.25</v>
      </c>
      <c r="BU8">
        <f t="shared" si="0"/>
        <v>59.857142857142854</v>
      </c>
      <c r="BV8">
        <f t="shared" si="0"/>
        <v>68</v>
      </c>
      <c r="BW8">
        <f t="shared" si="0"/>
        <v>70.666666666666671</v>
      </c>
      <c r="BX8">
        <f t="shared" si="0"/>
        <v>72</v>
      </c>
      <c r="BY8">
        <f t="shared" si="0"/>
        <v>76.166666666666671</v>
      </c>
      <c r="BZ8">
        <f t="shared" si="0"/>
        <v>86.333333333333329</v>
      </c>
      <c r="CA8">
        <f t="shared" si="0"/>
        <v>91.666666666666671</v>
      </c>
      <c r="CB8">
        <f t="shared" si="0"/>
        <v>85.285714285714292</v>
      </c>
      <c r="CC8">
        <f t="shared" si="0"/>
        <v>83.25</v>
      </c>
      <c r="CD8">
        <f t="shared" si="0"/>
        <v>83.375</v>
      </c>
      <c r="CE8">
        <f t="shared" si="1"/>
        <v>91</v>
      </c>
      <c r="CF8">
        <f t="shared" si="7"/>
        <v>93.111111111111114</v>
      </c>
      <c r="CG8">
        <f t="shared" si="8"/>
        <v>94.6</v>
      </c>
      <c r="CH8">
        <f t="shared" si="9"/>
        <v>100.1</v>
      </c>
      <c r="CI8">
        <f t="shared" si="10"/>
        <v>102.66666666666667</v>
      </c>
      <c r="CJ8">
        <f t="shared" si="11"/>
        <v>96.5</v>
      </c>
      <c r="CK8">
        <f t="shared" si="12"/>
        <v>98.714285714285708</v>
      </c>
      <c r="CL8">
        <f t="shared" si="13"/>
        <v>107.33333333333333</v>
      </c>
      <c r="CM8">
        <f t="shared" si="14"/>
        <v>115</v>
      </c>
      <c r="CN8">
        <f t="shared" si="2"/>
        <v>125.75</v>
      </c>
      <c r="CO8">
        <f t="shared" si="15"/>
        <v>117</v>
      </c>
      <c r="CP8">
        <f t="shared" si="16"/>
        <v>109</v>
      </c>
      <c r="CQ8">
        <f t="shared" si="17"/>
        <v>110</v>
      </c>
      <c r="CR8" t="e">
        <f t="shared" si="18"/>
        <v>#DIV/0!</v>
      </c>
      <c r="CS8" t="e">
        <f t="shared" si="19"/>
        <v>#DIV/0!</v>
      </c>
      <c r="CT8" t="e">
        <f t="shared" si="20"/>
        <v>#DIV/0!</v>
      </c>
      <c r="CU8" t="e">
        <f t="shared" si="21"/>
        <v>#DIV/0!</v>
      </c>
      <c r="CV8" t="e">
        <f t="shared" si="22"/>
        <v>#DIV/0!</v>
      </c>
      <c r="CW8" t="e">
        <f t="shared" si="23"/>
        <v>#DIV/0!</v>
      </c>
      <c r="CX8" t="e">
        <f t="shared" si="24"/>
        <v>#DIV/0!</v>
      </c>
      <c r="CY8" t="e">
        <f t="shared" si="25"/>
        <v>#DIV/0!</v>
      </c>
      <c r="CZ8" t="e">
        <f t="shared" si="26"/>
        <v>#N/A</v>
      </c>
      <c r="DA8" t="e">
        <f t="shared" si="27"/>
        <v>#N/A</v>
      </c>
      <c r="DB8" t="e">
        <f t="shared" si="28"/>
        <v>#N/A</v>
      </c>
      <c r="DC8" t="e">
        <f t="shared" si="29"/>
        <v>#N/A</v>
      </c>
      <c r="DD8" t="e">
        <f t="shared" si="30"/>
        <v>#N/A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/>
      <c r="F9" s="16">
        <v>59</v>
      </c>
      <c r="G9" s="16">
        <v>79</v>
      </c>
      <c r="H9" s="16">
        <v>86</v>
      </c>
      <c r="I9" s="16">
        <v>121</v>
      </c>
      <c r="J9" s="16">
        <v>117</v>
      </c>
      <c r="K9" s="16">
        <v>110</v>
      </c>
      <c r="L9" s="16">
        <v>151</v>
      </c>
      <c r="M9" s="16">
        <v>83</v>
      </c>
      <c r="N9" s="16">
        <v>142</v>
      </c>
      <c r="O9" s="16">
        <v>47</v>
      </c>
      <c r="P9" s="16">
        <v>90</v>
      </c>
      <c r="Q9" s="16">
        <v>132</v>
      </c>
      <c r="R9" s="16">
        <v>58</v>
      </c>
      <c r="S9" s="16"/>
      <c r="T9" s="16"/>
      <c r="U9" s="17">
        <v>72</v>
      </c>
      <c r="V9" s="17"/>
      <c r="W9" s="17">
        <v>170</v>
      </c>
      <c r="X9" s="17"/>
      <c r="Y9" s="76">
        <v>108</v>
      </c>
      <c r="Z9" s="17">
        <v>151</v>
      </c>
      <c r="AA9" s="17">
        <v>175</v>
      </c>
      <c r="AB9" s="17">
        <v>147</v>
      </c>
      <c r="AC9" s="17">
        <v>135</v>
      </c>
      <c r="AD9" s="112">
        <v>127</v>
      </c>
      <c r="AE9" s="10">
        <v>136</v>
      </c>
      <c r="AF9" s="10">
        <v>171</v>
      </c>
      <c r="AG9" s="10">
        <f>34+61+47+32+38+5</f>
        <v>217</v>
      </c>
      <c r="AH9" s="10">
        <f>6+17+(1+1+2+1+1+2+1+1+2+3+2+2+3+2+1+1+3+3+1+1)+(1+2+1+2+2+2+2+4+2+2+1+2+2+5+1+1+2+2+2+2)+(2+3+1+2+1+6+2+2+7+2+2+4+1+2+2+3+1)+(1+2+1+2+2+2+2+2+2+2+2+2+2+2+2+1+3+2+2+4)+(1+2+5+2+2+2+1+2+1+2+1)</f>
        <v>201</v>
      </c>
      <c r="AI9" s="10">
        <f>(4)+(2+6+1+1+2)+(1+3+2+2+3+2+3+1+2+4+4+2+2+3+1+3+1+2+1+1)+(2+2+4+1+3+1+1+1+2+2+2+2+2+2+2+2+1+2+1)+(2+1+1+1+2+2+1+5+1+1+2+2+4+4+2+5+1+2+3)+(2+1+3+2+4+1+2+2+2+1+5+1+3+1+2+1+1+2+2+4)+(1+4+1+1+2+2)</f>
        <v>189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4"/>
        <v>95.333333333333329</v>
      </c>
      <c r="BK9">
        <f t="shared" si="0"/>
        <v>103.28571428571429</v>
      </c>
      <c r="BL9">
        <f t="shared" si="5"/>
        <v>100.75</v>
      </c>
      <c r="BM9">
        <f t="shared" si="0"/>
        <v>105.33333333333333</v>
      </c>
      <c r="BN9">
        <f t="shared" si="0"/>
        <v>99.5</v>
      </c>
      <c r="BO9">
        <f t="shared" si="0"/>
        <v>102.6</v>
      </c>
      <c r="BP9">
        <f t="shared" si="0"/>
        <v>107.9</v>
      </c>
      <c r="BQ9">
        <f t="shared" si="0"/>
        <v>105.1</v>
      </c>
      <c r="BR9">
        <f t="shared" si="6"/>
        <v>103.33333333333333</v>
      </c>
      <c r="BS9">
        <f t="shared" si="6"/>
        <v>101.625</v>
      </c>
      <c r="BT9">
        <f t="shared" si="0"/>
        <v>96.875</v>
      </c>
      <c r="BU9">
        <f t="shared" si="0"/>
        <v>89.142857142857139</v>
      </c>
      <c r="BV9">
        <f t="shared" si="0"/>
        <v>101.57142857142857</v>
      </c>
      <c r="BW9">
        <f t="shared" si="0"/>
        <v>94.833333333333329</v>
      </c>
      <c r="BX9">
        <f t="shared" si="0"/>
        <v>105</v>
      </c>
      <c r="BY9">
        <f t="shared" si="0"/>
        <v>115.16666666666667</v>
      </c>
      <c r="BZ9">
        <f t="shared" si="0"/>
        <v>122.33333333333333</v>
      </c>
      <c r="CA9">
        <f t="shared" si="0"/>
        <v>137.16666666666666</v>
      </c>
      <c r="CB9">
        <f t="shared" si="0"/>
        <v>136.85714285714286</v>
      </c>
      <c r="CC9">
        <f t="shared" si="0"/>
        <v>135.625</v>
      </c>
      <c r="CD9">
        <f t="shared" si="0"/>
        <v>143.625</v>
      </c>
      <c r="CE9">
        <f t="shared" si="1"/>
        <v>146.66666666666666</v>
      </c>
      <c r="CF9">
        <f t="shared" si="7"/>
        <v>151.88888888888889</v>
      </c>
      <c r="CG9">
        <f t="shared" si="8"/>
        <v>156.80000000000001</v>
      </c>
      <c r="CH9">
        <f t="shared" si="9"/>
        <v>164.9</v>
      </c>
      <c r="CI9">
        <f t="shared" si="10"/>
        <v>166.44444444444446</v>
      </c>
      <c r="CJ9">
        <f t="shared" si="11"/>
        <v>165.375</v>
      </c>
      <c r="CK9">
        <f t="shared" si="12"/>
        <v>168</v>
      </c>
      <c r="CL9">
        <f t="shared" si="13"/>
        <v>173.5</v>
      </c>
      <c r="CM9">
        <f t="shared" si="14"/>
        <v>182.8</v>
      </c>
      <c r="CN9">
        <f t="shared" si="2"/>
        <v>194.5</v>
      </c>
      <c r="CO9">
        <f t="shared" si="15"/>
        <v>202.33333333333334</v>
      </c>
      <c r="CP9">
        <f t="shared" si="16"/>
        <v>195</v>
      </c>
      <c r="CQ9">
        <f t="shared" si="17"/>
        <v>189</v>
      </c>
      <c r="CR9" t="e">
        <f t="shared" si="18"/>
        <v>#DIV/0!</v>
      </c>
      <c r="CS9" t="e">
        <f t="shared" si="19"/>
        <v>#DIV/0!</v>
      </c>
      <c r="CT9" t="e">
        <f t="shared" si="20"/>
        <v>#DIV/0!</v>
      </c>
      <c r="CU9" t="e">
        <f t="shared" si="21"/>
        <v>#DIV/0!</v>
      </c>
      <c r="CV9" t="e">
        <f t="shared" si="22"/>
        <v>#DIV/0!</v>
      </c>
      <c r="CW9" t="e">
        <f t="shared" si="23"/>
        <v>#DIV/0!</v>
      </c>
      <c r="CX9" t="e">
        <f t="shared" si="24"/>
        <v>#DIV/0!</v>
      </c>
      <c r="CY9" t="e">
        <f t="shared" si="25"/>
        <v>#DIV/0!</v>
      </c>
      <c r="CZ9" t="e">
        <f t="shared" si="26"/>
        <v>#N/A</v>
      </c>
      <c r="DA9" t="e">
        <f t="shared" si="27"/>
        <v>#N/A</v>
      </c>
      <c r="DB9" t="e">
        <f t="shared" si="28"/>
        <v>#N/A</v>
      </c>
      <c r="DC9" t="e">
        <f t="shared" si="29"/>
        <v>#N/A</v>
      </c>
      <c r="DD9" t="e">
        <f t="shared" si="30"/>
        <v>#N/A</v>
      </c>
    </row>
    <row r="10" spans="1:108" ht="20" customHeight="1" x14ac:dyDescent="0.2">
      <c r="A10" s="7" t="s">
        <v>5</v>
      </c>
      <c r="B10" s="14"/>
      <c r="C10" s="14"/>
      <c r="D10" s="14"/>
      <c r="E10" s="14"/>
      <c r="F10" s="14">
        <v>69</v>
      </c>
      <c r="G10" s="14">
        <v>61</v>
      </c>
      <c r="H10" s="14">
        <v>95</v>
      </c>
      <c r="I10" s="14">
        <v>123</v>
      </c>
      <c r="J10" s="14">
        <v>79</v>
      </c>
      <c r="K10" s="14">
        <v>93</v>
      </c>
      <c r="L10" s="14">
        <v>119</v>
      </c>
      <c r="M10" s="14">
        <v>123</v>
      </c>
      <c r="N10" s="14">
        <v>95</v>
      </c>
      <c r="O10" s="14">
        <v>121</v>
      </c>
      <c r="P10" s="14">
        <v>82</v>
      </c>
      <c r="Q10" s="14">
        <v>98</v>
      </c>
      <c r="R10" s="14">
        <v>130</v>
      </c>
      <c r="S10" s="14"/>
      <c r="T10" s="14"/>
      <c r="U10" s="15">
        <v>142</v>
      </c>
      <c r="V10" s="15"/>
      <c r="W10" s="15">
        <v>159</v>
      </c>
      <c r="X10" s="15"/>
      <c r="Y10" s="76">
        <v>114</v>
      </c>
      <c r="Z10" s="15">
        <v>78</v>
      </c>
      <c r="AA10" s="15">
        <v>339</v>
      </c>
      <c r="AB10" s="15">
        <v>96</v>
      </c>
      <c r="AC10" s="15">
        <v>185</v>
      </c>
      <c r="AD10" s="111">
        <v>195</v>
      </c>
      <c r="AE10" s="124">
        <v>163</v>
      </c>
      <c r="AF10" s="124">
        <v>187</v>
      </c>
      <c r="AG10" s="124">
        <f>34+39+43+52+29</f>
        <v>197</v>
      </c>
      <c r="AH10" s="124">
        <f>(2+3)+(2+4+2+2+13+2+1+1+2)+(3+2+1+2+3+3+1+2+2+2+2+2+1+1+15)+(1+4+2+2+2+2+1+1+5+2+2+1+2+4+13+1+1+10+1+1)+(4+2+3+1+3+3+3+1+3+3+2+1+2+4+6+2+6+2+2+2)+(2+1+4+2+1+3+1+1+1+2+1+2+2+2+1+4+1+2+2)+(2+6+2+1+1+2)</f>
        <v>238</v>
      </c>
      <c r="AI10" s="124">
        <f>(4+2+1+5+6+2+2+1+4+6+2+2+2)+(2+1+1+2+1+1+1+1+2+3+2+6+2+2+1+1+4+3)+(2+1+1+2+2+6+3+2+1+3+2+2+2+2+2+2+3+1+4+2)+(2+1+2+1+4+1+1+2+2+2+1+2+1+3+2+3+4+4+1)+(1+1+2+4+3+4+2+1+2+1+4+1+3+2)</f>
        <v>190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4"/>
        <v>86.666666666666671</v>
      </c>
      <c r="BK10">
        <f t="shared" si="0"/>
        <v>91.285714285714292</v>
      </c>
      <c r="BL10">
        <f t="shared" si="5"/>
        <v>95.25</v>
      </c>
      <c r="BM10">
        <f t="shared" si="0"/>
        <v>95.222222222222229</v>
      </c>
      <c r="BN10">
        <f t="shared" si="0"/>
        <v>97.8</v>
      </c>
      <c r="BO10">
        <f t="shared" si="0"/>
        <v>99.1</v>
      </c>
      <c r="BP10">
        <f t="shared" si="0"/>
        <v>102.8</v>
      </c>
      <c r="BQ10">
        <f t="shared" si="0"/>
        <v>106.3</v>
      </c>
      <c r="BR10">
        <f t="shared" si="6"/>
        <v>104.44444444444444</v>
      </c>
      <c r="BS10">
        <f t="shared" si="6"/>
        <v>107.625</v>
      </c>
      <c r="BT10">
        <f t="shared" si="0"/>
        <v>113.75</v>
      </c>
      <c r="BU10">
        <f t="shared" si="0"/>
        <v>113</v>
      </c>
      <c r="BV10">
        <f t="shared" si="0"/>
        <v>118.14285714285714</v>
      </c>
      <c r="BW10">
        <f t="shared" si="0"/>
        <v>122</v>
      </c>
      <c r="BX10">
        <f t="shared" si="0"/>
        <v>120.83333333333333</v>
      </c>
      <c r="BY10">
        <f t="shared" si="0"/>
        <v>120.16666666666667</v>
      </c>
      <c r="BZ10">
        <f t="shared" si="0"/>
        <v>160.33333333333334</v>
      </c>
      <c r="CA10">
        <f t="shared" si="0"/>
        <v>154.66666666666666</v>
      </c>
      <c r="CB10">
        <f t="shared" si="0"/>
        <v>159</v>
      </c>
      <c r="CC10">
        <f t="shared" si="0"/>
        <v>163.5</v>
      </c>
      <c r="CD10">
        <f t="shared" si="0"/>
        <v>166.125</v>
      </c>
      <c r="CE10">
        <f t="shared" si="1"/>
        <v>168.44444444444446</v>
      </c>
      <c r="CF10">
        <f t="shared" si="7"/>
        <v>172.66666666666666</v>
      </c>
      <c r="CG10">
        <f t="shared" si="8"/>
        <v>179.2</v>
      </c>
      <c r="CH10">
        <f t="shared" si="9"/>
        <v>186.8</v>
      </c>
      <c r="CI10">
        <f t="shared" si="10"/>
        <v>198.88888888888889</v>
      </c>
      <c r="CJ10">
        <f t="shared" si="11"/>
        <v>181.375</v>
      </c>
      <c r="CK10">
        <f t="shared" si="12"/>
        <v>193.57142857142858</v>
      </c>
      <c r="CL10">
        <f t="shared" si="13"/>
        <v>195</v>
      </c>
      <c r="CM10">
        <f t="shared" si="14"/>
        <v>195</v>
      </c>
      <c r="CN10">
        <f t="shared" si="2"/>
        <v>203</v>
      </c>
      <c r="CO10">
        <f t="shared" si="15"/>
        <v>208.33333333333334</v>
      </c>
      <c r="CP10">
        <f t="shared" si="16"/>
        <v>214</v>
      </c>
      <c r="CQ10">
        <f t="shared" si="17"/>
        <v>190</v>
      </c>
      <c r="CR10" t="e">
        <f t="shared" si="18"/>
        <v>#DIV/0!</v>
      </c>
      <c r="CS10" t="e">
        <f t="shared" si="19"/>
        <v>#DIV/0!</v>
      </c>
      <c r="CT10" t="e">
        <f t="shared" si="20"/>
        <v>#DIV/0!</v>
      </c>
      <c r="CU10" t="e">
        <f t="shared" si="21"/>
        <v>#DIV/0!</v>
      </c>
      <c r="CV10" t="e">
        <f t="shared" si="22"/>
        <v>#DIV/0!</v>
      </c>
      <c r="CW10" t="e">
        <f t="shared" si="23"/>
        <v>#DIV/0!</v>
      </c>
      <c r="CX10" t="e">
        <f t="shared" si="24"/>
        <v>#DIV/0!</v>
      </c>
      <c r="CY10" t="e">
        <f t="shared" si="25"/>
        <v>#DIV/0!</v>
      </c>
      <c r="CZ10" t="e">
        <f t="shared" si="26"/>
        <v>#N/A</v>
      </c>
      <c r="DA10" t="e">
        <f t="shared" si="27"/>
        <v>#N/A</v>
      </c>
      <c r="DB10" t="e">
        <f t="shared" si="28"/>
        <v>#N/A</v>
      </c>
      <c r="DC10" t="e">
        <f t="shared" si="29"/>
        <v>#N/A</v>
      </c>
      <c r="DD10" t="e">
        <f t="shared" si="30"/>
        <v>#N/A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>
        <v>173</v>
      </c>
      <c r="F11" s="16">
        <v>196</v>
      </c>
      <c r="G11" s="16">
        <v>112</v>
      </c>
      <c r="H11" s="16">
        <v>169</v>
      </c>
      <c r="I11" s="16">
        <v>170</v>
      </c>
      <c r="J11" s="16">
        <v>99</v>
      </c>
      <c r="K11" s="16">
        <v>160</v>
      </c>
      <c r="L11" s="16">
        <v>209</v>
      </c>
      <c r="M11" s="16">
        <v>223</v>
      </c>
      <c r="N11" s="16">
        <v>214</v>
      </c>
      <c r="O11" s="16">
        <v>189</v>
      </c>
      <c r="P11" s="16">
        <v>210</v>
      </c>
      <c r="Q11" s="16">
        <v>131</v>
      </c>
      <c r="R11" s="16">
        <v>212</v>
      </c>
      <c r="S11" s="16"/>
      <c r="T11" s="16"/>
      <c r="U11" s="17">
        <v>173</v>
      </c>
      <c r="V11" s="17"/>
      <c r="W11" s="17">
        <v>180</v>
      </c>
      <c r="X11" s="17"/>
      <c r="Y11" s="17">
        <v>196</v>
      </c>
      <c r="Z11" s="17">
        <v>187</v>
      </c>
      <c r="AA11" s="17">
        <v>219</v>
      </c>
      <c r="AB11" s="17">
        <v>307</v>
      </c>
      <c r="AC11" s="17">
        <v>237</v>
      </c>
      <c r="AD11" s="112">
        <v>312</v>
      </c>
      <c r="AE11" s="10">
        <v>329</v>
      </c>
      <c r="AF11" s="10">
        <v>275</v>
      </c>
      <c r="AG11" s="10">
        <f>44+61+42+55+60+49</f>
        <v>311</v>
      </c>
      <c r="AH11" s="10">
        <f>(2+5+2+2+4+1+1+2+2+4+2+2+3)+(2+1+1+2+1+1+7+2+3+3+1+1+2+4+2+5+4+3)+(1+2+2+1+1+2+1+2+1+1+3+2+1+2+2+2+2+2)+(1+1+2+8+1+1+1+1+1+1+9+2+1+3+2+2+2+2+4+1)+(1+2+1+2+1+3+2+1+1+2+1+3+4+4+1+1+2+1+2+2)+(1+1+1+1+2+3+4+2+1+1)</f>
        <v>207</v>
      </c>
      <c r="AI11" s="10">
        <f>(1+2+2+1+2+2)+(1+2+4+2+2+2+4+1+2+6+1+2+1+1+2+4+3+2+2)+(3+2+2+2+1+3+1+8+1+1+8+3+5+8+2+2+4+1+8+4)+(1+1+5+2+3+2+1+2+2+1+2+2+2+3+5+1+3+2+2)+(2+4+2+2+2+2+2+2+2+2+1+2+1+2)</f>
        <v>193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4"/>
        <v>154.14285714285714</v>
      </c>
      <c r="BK11">
        <f t="shared" si="0"/>
        <v>161</v>
      </c>
      <c r="BL11">
        <f t="shared" si="5"/>
        <v>167.88888888888889</v>
      </c>
      <c r="BM11">
        <f t="shared" si="0"/>
        <v>172.5</v>
      </c>
      <c r="BN11">
        <f t="shared" si="0"/>
        <v>174.1</v>
      </c>
      <c r="BO11">
        <f t="shared" si="0"/>
        <v>175.5</v>
      </c>
      <c r="BP11">
        <f t="shared" si="0"/>
        <v>177.4</v>
      </c>
      <c r="BQ11">
        <f t="shared" si="0"/>
        <v>181.7</v>
      </c>
      <c r="BR11">
        <f t="shared" si="6"/>
        <v>183</v>
      </c>
      <c r="BS11">
        <f t="shared" si="6"/>
        <v>193.5</v>
      </c>
      <c r="BT11">
        <f t="shared" si="0"/>
        <v>195.125</v>
      </c>
      <c r="BU11">
        <f t="shared" si="0"/>
        <v>193.14285714285714</v>
      </c>
      <c r="BV11">
        <f t="shared" si="0"/>
        <v>187</v>
      </c>
      <c r="BW11">
        <f t="shared" si="0"/>
        <v>182.5</v>
      </c>
      <c r="BX11">
        <f t="shared" si="0"/>
        <v>183.66666666666666</v>
      </c>
      <c r="BY11">
        <f t="shared" si="0"/>
        <v>179.83333333333334</v>
      </c>
      <c r="BZ11">
        <f t="shared" si="0"/>
        <v>194.5</v>
      </c>
      <c r="CA11">
        <f t="shared" si="0"/>
        <v>210.33333333333334</v>
      </c>
      <c r="CB11">
        <f t="shared" si="0"/>
        <v>214.14285714285714</v>
      </c>
      <c r="CC11">
        <f t="shared" si="0"/>
        <v>226.375</v>
      </c>
      <c r="CD11">
        <f t="shared" si="0"/>
        <v>245.875</v>
      </c>
      <c r="CE11">
        <f t="shared" si="1"/>
        <v>249.11111111111111</v>
      </c>
      <c r="CF11">
        <f t="shared" si="7"/>
        <v>263.66666666666669</v>
      </c>
      <c r="CG11">
        <f t="shared" si="8"/>
        <v>258</v>
      </c>
      <c r="CH11">
        <f t="shared" si="9"/>
        <v>257.7</v>
      </c>
      <c r="CI11">
        <f t="shared" si="10"/>
        <v>265.55555555555554</v>
      </c>
      <c r="CJ11">
        <f t="shared" si="11"/>
        <v>271.375</v>
      </c>
      <c r="CK11">
        <f t="shared" si="12"/>
        <v>266.28571428571428</v>
      </c>
      <c r="CL11">
        <f t="shared" si="13"/>
        <v>271.16666666666669</v>
      </c>
      <c r="CM11">
        <f t="shared" si="14"/>
        <v>263</v>
      </c>
      <c r="CN11">
        <f t="shared" si="2"/>
        <v>246.5</v>
      </c>
      <c r="CO11">
        <f t="shared" si="15"/>
        <v>237</v>
      </c>
      <c r="CP11">
        <f t="shared" si="16"/>
        <v>200</v>
      </c>
      <c r="CQ11">
        <f t="shared" si="17"/>
        <v>193</v>
      </c>
      <c r="CR11" t="e">
        <f t="shared" si="18"/>
        <v>#DIV/0!</v>
      </c>
      <c r="CS11" t="e">
        <f t="shared" si="19"/>
        <v>#DIV/0!</v>
      </c>
      <c r="CT11" t="e">
        <f t="shared" si="20"/>
        <v>#DIV/0!</v>
      </c>
      <c r="CU11" t="e">
        <f t="shared" si="21"/>
        <v>#DIV/0!</v>
      </c>
      <c r="CV11" t="e">
        <f t="shared" si="22"/>
        <v>#DIV/0!</v>
      </c>
      <c r="CW11" t="e">
        <f t="shared" si="23"/>
        <v>#DIV/0!</v>
      </c>
      <c r="CX11" t="e">
        <f t="shared" si="24"/>
        <v>#DIV/0!</v>
      </c>
      <c r="CY11" t="e">
        <f t="shared" si="25"/>
        <v>#DIV/0!</v>
      </c>
      <c r="CZ11" t="e">
        <f t="shared" si="26"/>
        <v>#N/A</v>
      </c>
      <c r="DA11" t="e">
        <f t="shared" si="27"/>
        <v>#N/A</v>
      </c>
      <c r="DB11" t="e">
        <f t="shared" si="28"/>
        <v>#N/A</v>
      </c>
      <c r="DC11" t="e">
        <f t="shared" si="29"/>
        <v>#N/A</v>
      </c>
      <c r="DD11" t="e">
        <f t="shared" si="30"/>
        <v>#N/A</v>
      </c>
    </row>
    <row r="12" spans="1:108" ht="20" customHeight="1" x14ac:dyDescent="0.2">
      <c r="A12" s="7" t="s">
        <v>7</v>
      </c>
      <c r="B12" s="14"/>
      <c r="C12" s="14"/>
      <c r="D12" s="14"/>
      <c r="E12" s="14">
        <v>143</v>
      </c>
      <c r="F12" s="14">
        <v>157</v>
      </c>
      <c r="G12" s="14">
        <v>123</v>
      </c>
      <c r="H12" s="14">
        <v>179</v>
      </c>
      <c r="I12" s="14">
        <v>157</v>
      </c>
      <c r="J12" s="14">
        <v>174</v>
      </c>
      <c r="K12" s="14">
        <v>190</v>
      </c>
      <c r="L12" s="14">
        <v>137</v>
      </c>
      <c r="M12" s="14">
        <v>110</v>
      </c>
      <c r="N12" s="14">
        <v>155</v>
      </c>
      <c r="O12" s="14">
        <v>147</v>
      </c>
      <c r="P12" s="14">
        <v>139</v>
      </c>
      <c r="Q12" s="14">
        <v>147</v>
      </c>
      <c r="R12" s="14">
        <v>191</v>
      </c>
      <c r="S12" s="14"/>
      <c r="T12" s="14"/>
      <c r="U12" s="15">
        <v>342</v>
      </c>
      <c r="V12" s="15"/>
      <c r="W12" s="15">
        <v>172</v>
      </c>
      <c r="X12" s="15"/>
      <c r="Y12" s="15">
        <v>252</v>
      </c>
      <c r="Z12" s="15">
        <v>266</v>
      </c>
      <c r="AA12" s="15">
        <v>187</v>
      </c>
      <c r="AB12" s="15">
        <v>257</v>
      </c>
      <c r="AC12" s="15">
        <v>189</v>
      </c>
      <c r="AD12" s="111">
        <v>465</v>
      </c>
      <c r="AE12" s="124">
        <v>318</v>
      </c>
      <c r="AF12" s="124">
        <v>146</v>
      </c>
      <c r="AG12" s="124">
        <f>10+25+51+50+31+59+17+6</f>
        <v>249</v>
      </c>
      <c r="AH12" s="124">
        <f>(2+2+1+2+2+3+3+1+1)+(4+1+1+3+2+2+2+2+1+2+2+2+2+1+1)+(2+4+4+1+4+2+4+1+5+2+2+4+5+2+2+2+2+2+2+2)+(7+2+1+4+3+1+1+1+1+3+2+2+1+2+1+4+2+2)+(4+2+3+1+1+1+2+2+1+3+2+3+2+12+4+4+2+1+4+1)+(2+1+2+4+1+6+6+1+2+2+5+2+2+2+1+2+1)+(2+17+1+7+2+1+2+1+3+2+2+1+1+2+2+3)</f>
        <v>285</v>
      </c>
      <c r="AI12" s="124">
        <f>(1+2)+(7+2+2+2+1+2+3+2+7+5+3+2+5+4)+(2+3+1+4+2+2+2+2+1+2+2+2+5+2+3+2)+(4+2+4+3+3+9+1+1+3+3+2+1+1+1+1+1+1+1+2)+(1+1+2+2+2+3+2+9+1+1+1+2+1+1+2+2+4+4)+(2+1+2+2+1+2+2+2+2+6+2)</f>
        <v>196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4"/>
        <v>160.42857142857142</v>
      </c>
      <c r="BK12">
        <f t="shared" si="0"/>
        <v>157.5</v>
      </c>
      <c r="BL12">
        <f t="shared" si="5"/>
        <v>152.22222222222223</v>
      </c>
      <c r="BM12">
        <f t="shared" si="0"/>
        <v>152.5</v>
      </c>
      <c r="BN12">
        <f t="shared" si="0"/>
        <v>152.9</v>
      </c>
      <c r="BO12">
        <f t="shared" si="0"/>
        <v>151.1</v>
      </c>
      <c r="BP12">
        <f t="shared" si="0"/>
        <v>153.5</v>
      </c>
      <c r="BQ12">
        <f t="shared" si="0"/>
        <v>154.69999999999999</v>
      </c>
      <c r="BR12">
        <f t="shared" si="6"/>
        <v>154.44444444444446</v>
      </c>
      <c r="BS12">
        <f t="shared" si="6"/>
        <v>152</v>
      </c>
      <c r="BT12">
        <f t="shared" si="0"/>
        <v>171</v>
      </c>
      <c r="BU12">
        <f t="shared" si="0"/>
        <v>175.85714285714286</v>
      </c>
      <c r="BV12">
        <f t="shared" si="0"/>
        <v>184.71428571428572</v>
      </c>
      <c r="BW12">
        <f t="shared" si="0"/>
        <v>189.66666666666666</v>
      </c>
      <c r="BX12">
        <f t="shared" si="0"/>
        <v>207.16666666666666</v>
      </c>
      <c r="BY12">
        <f t="shared" si="0"/>
        <v>228.33333333333334</v>
      </c>
      <c r="BZ12">
        <f t="shared" si="0"/>
        <v>235</v>
      </c>
      <c r="CA12">
        <f t="shared" si="0"/>
        <v>246</v>
      </c>
      <c r="CB12">
        <f t="shared" si="0"/>
        <v>237.85714285714286</v>
      </c>
      <c r="CC12">
        <f t="shared" si="0"/>
        <v>266.25</v>
      </c>
      <c r="CD12">
        <f t="shared" si="0"/>
        <v>263.25</v>
      </c>
      <c r="CE12">
        <f t="shared" si="1"/>
        <v>250.22222222222223</v>
      </c>
      <c r="CF12">
        <f t="shared" si="7"/>
        <v>258.77777777777777</v>
      </c>
      <c r="CG12">
        <f t="shared" si="8"/>
        <v>261.39999999999998</v>
      </c>
      <c r="CH12">
        <f t="shared" si="9"/>
        <v>255.8</v>
      </c>
      <c r="CI12">
        <f t="shared" si="10"/>
        <v>254.66666666666666</v>
      </c>
      <c r="CJ12">
        <f t="shared" si="11"/>
        <v>263.125</v>
      </c>
      <c r="CK12">
        <f t="shared" si="12"/>
        <v>264</v>
      </c>
      <c r="CL12">
        <f t="shared" si="13"/>
        <v>276.5</v>
      </c>
      <c r="CM12">
        <f t="shared" si="14"/>
        <v>238.8</v>
      </c>
      <c r="CN12">
        <f t="shared" si="2"/>
        <v>219</v>
      </c>
      <c r="CO12">
        <f t="shared" si="15"/>
        <v>243.33333333333334</v>
      </c>
      <c r="CP12">
        <f t="shared" si="16"/>
        <v>240.5</v>
      </c>
      <c r="CQ12">
        <f t="shared" si="17"/>
        <v>196</v>
      </c>
      <c r="CR12" t="e">
        <f t="shared" si="18"/>
        <v>#DIV/0!</v>
      </c>
      <c r="CS12" t="e">
        <f t="shared" si="19"/>
        <v>#DIV/0!</v>
      </c>
      <c r="CT12" t="e">
        <f t="shared" si="20"/>
        <v>#DIV/0!</v>
      </c>
      <c r="CU12" t="e">
        <f t="shared" si="21"/>
        <v>#DIV/0!</v>
      </c>
      <c r="CV12" t="e">
        <f t="shared" si="22"/>
        <v>#DIV/0!</v>
      </c>
      <c r="CW12" t="e">
        <f t="shared" si="23"/>
        <v>#DIV/0!</v>
      </c>
      <c r="CX12" t="e">
        <f t="shared" si="24"/>
        <v>#DIV/0!</v>
      </c>
      <c r="CY12" t="e">
        <f t="shared" si="25"/>
        <v>#DIV/0!</v>
      </c>
      <c r="CZ12" t="e">
        <f t="shared" si="26"/>
        <v>#N/A</v>
      </c>
      <c r="DA12" t="e">
        <f t="shared" si="27"/>
        <v>#N/A</v>
      </c>
      <c r="DB12" t="e">
        <f t="shared" si="28"/>
        <v>#N/A</v>
      </c>
      <c r="DC12" t="e">
        <f t="shared" si="29"/>
        <v>#N/A</v>
      </c>
      <c r="DD12" t="e">
        <f t="shared" si="30"/>
        <v>#N/A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>
        <v>181</v>
      </c>
      <c r="F13" s="16">
        <v>133</v>
      </c>
      <c r="G13" s="16">
        <v>61</v>
      </c>
      <c r="H13" s="16">
        <v>76</v>
      </c>
      <c r="I13" s="16">
        <v>121</v>
      </c>
      <c r="J13" s="16">
        <v>156</v>
      </c>
      <c r="K13" s="16">
        <v>74</v>
      </c>
      <c r="L13" s="16">
        <v>93</v>
      </c>
      <c r="M13" s="16">
        <v>120</v>
      </c>
      <c r="N13" s="16">
        <v>77</v>
      </c>
      <c r="O13" s="16">
        <v>173</v>
      </c>
      <c r="P13" s="16">
        <v>161</v>
      </c>
      <c r="Q13" s="16">
        <v>97</v>
      </c>
      <c r="R13" s="16">
        <v>144</v>
      </c>
      <c r="S13" s="16"/>
      <c r="T13" s="16"/>
      <c r="U13" s="17">
        <v>182</v>
      </c>
      <c r="V13" s="17"/>
      <c r="W13" s="17">
        <v>119</v>
      </c>
      <c r="X13" s="17"/>
      <c r="Y13" s="17">
        <v>133</v>
      </c>
      <c r="Z13" s="76">
        <v>144</v>
      </c>
      <c r="AA13" s="17">
        <v>166</v>
      </c>
      <c r="AB13" s="17">
        <v>167</v>
      </c>
      <c r="AC13" s="17">
        <v>225</v>
      </c>
      <c r="AD13" s="112">
        <v>284</v>
      </c>
      <c r="AE13" s="10">
        <v>331</v>
      </c>
      <c r="AF13" s="10">
        <v>219</v>
      </c>
      <c r="AG13" s="10">
        <f>24+49+49+30+48+13+31</f>
        <v>244</v>
      </c>
      <c r="AH13" s="10">
        <f>(1+2)+(2+3+1+1+2+2+2+2+2+2+8+2+4+1+2+6+2)+(1+3+4+1+1+3+2+1+1+1+2+2+2+1+2+5+2+2+3+2)+(1+3+2+2+2+2+2+1+2+1+2+2+3+3+1+3+2+1+3+1)</f>
        <v>127</v>
      </c>
      <c r="AI13" s="10">
        <f>(2+2+3+5+3+5+2+1+2)+(2+2+1+2+4+1+1+2+1+2+2+5+2+1+1+5+2+2+2+2)+(1+1+4+2+3+1+2+1+3+1+2+3+2+2+2+2+4+1+5)+(2+2+1+1+2+3+2+2+2+2+2+3+2+2+2+2+3+1+2)+(1+2+1+2+3+3+2+2+2+1+2+1+3+2+4+2+1+2+1+2)+(4+1+10+1+1)</f>
        <v>203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4"/>
        <v>114.57142857142857</v>
      </c>
      <c r="BK13">
        <f t="shared" si="0"/>
        <v>111.875</v>
      </c>
      <c r="BL13">
        <f t="shared" si="5"/>
        <v>112.77777777777777</v>
      </c>
      <c r="BM13">
        <f t="shared" si="0"/>
        <v>109.2</v>
      </c>
      <c r="BN13">
        <f t="shared" si="0"/>
        <v>108.4</v>
      </c>
      <c r="BO13">
        <f t="shared" si="0"/>
        <v>111.2</v>
      </c>
      <c r="BP13">
        <f t="shared" si="0"/>
        <v>114.8</v>
      </c>
      <c r="BQ13">
        <f t="shared" si="0"/>
        <v>121.6</v>
      </c>
      <c r="BR13">
        <f t="shared" si="6"/>
        <v>121.66666666666667</v>
      </c>
      <c r="BS13">
        <f t="shared" si="6"/>
        <v>117.375</v>
      </c>
      <c r="BT13">
        <f t="shared" si="0"/>
        <v>130.875</v>
      </c>
      <c r="BU13">
        <f t="shared" si="0"/>
        <v>136.28571428571428</v>
      </c>
      <c r="BV13">
        <f t="shared" si="0"/>
        <v>136.14285714285714</v>
      </c>
      <c r="BW13">
        <f t="shared" si="0"/>
        <v>146</v>
      </c>
      <c r="BX13">
        <f t="shared" si="0"/>
        <v>139.33333333333334</v>
      </c>
      <c r="BY13">
        <f t="shared" si="0"/>
        <v>136.5</v>
      </c>
      <c r="BZ13">
        <f t="shared" si="0"/>
        <v>148</v>
      </c>
      <c r="CA13">
        <f t="shared" si="0"/>
        <v>151.83333333333334</v>
      </c>
      <c r="CB13">
        <f t="shared" si="0"/>
        <v>162.28571428571428</v>
      </c>
      <c r="CC13">
        <f t="shared" si="0"/>
        <v>177.5</v>
      </c>
      <c r="CD13">
        <f t="shared" si="0"/>
        <v>196.125</v>
      </c>
      <c r="CE13">
        <f t="shared" si="1"/>
        <v>198.66666666666666</v>
      </c>
      <c r="CF13">
        <f t="shared" si="7"/>
        <v>212.55555555555554</v>
      </c>
      <c r="CG13">
        <f t="shared" si="8"/>
        <v>204</v>
      </c>
      <c r="CH13">
        <f t="shared" si="9"/>
        <v>211</v>
      </c>
      <c r="CI13">
        <f t="shared" si="10"/>
        <v>218.44444444444446</v>
      </c>
      <c r="CJ13">
        <f t="shared" si="11"/>
        <v>225</v>
      </c>
      <c r="CK13">
        <f t="shared" si="12"/>
        <v>233.28571428571428</v>
      </c>
      <c r="CL13">
        <f t="shared" si="13"/>
        <v>234.66666666666666</v>
      </c>
      <c r="CM13">
        <f t="shared" si="14"/>
        <v>224.8</v>
      </c>
      <c r="CN13">
        <f t="shared" si="2"/>
        <v>198.25</v>
      </c>
      <c r="CO13">
        <f t="shared" si="15"/>
        <v>191.33333333333334</v>
      </c>
      <c r="CP13">
        <f t="shared" si="16"/>
        <v>165</v>
      </c>
      <c r="CQ13">
        <f t="shared" si="17"/>
        <v>203</v>
      </c>
      <c r="CR13" t="e">
        <f t="shared" si="18"/>
        <v>#DIV/0!</v>
      </c>
      <c r="CS13" t="e">
        <f t="shared" si="19"/>
        <v>#DIV/0!</v>
      </c>
      <c r="CT13" t="e">
        <f t="shared" si="20"/>
        <v>#DIV/0!</v>
      </c>
      <c r="CU13" t="e">
        <f t="shared" si="21"/>
        <v>#DIV/0!</v>
      </c>
      <c r="CV13" t="e">
        <f t="shared" si="22"/>
        <v>#DIV/0!</v>
      </c>
      <c r="CW13" t="e">
        <f t="shared" si="23"/>
        <v>#DIV/0!</v>
      </c>
      <c r="CX13" t="e">
        <f t="shared" si="24"/>
        <v>#DIV/0!</v>
      </c>
      <c r="CY13" t="e">
        <f t="shared" si="25"/>
        <v>#DIV/0!</v>
      </c>
      <c r="CZ13" t="e">
        <f t="shared" si="26"/>
        <v>#N/A</v>
      </c>
      <c r="DA13" t="e">
        <f t="shared" si="27"/>
        <v>#N/A</v>
      </c>
      <c r="DB13" t="e">
        <f t="shared" si="28"/>
        <v>#N/A</v>
      </c>
      <c r="DC13" t="e">
        <f t="shared" si="29"/>
        <v>#N/A</v>
      </c>
      <c r="DD13" t="e">
        <f t="shared" si="30"/>
        <v>#N/A</v>
      </c>
    </row>
    <row r="14" spans="1:108" ht="20" customHeight="1" x14ac:dyDescent="0.2">
      <c r="A14" s="7" t="s">
        <v>9</v>
      </c>
      <c r="B14" s="14"/>
      <c r="C14" s="14"/>
      <c r="D14" s="14"/>
      <c r="E14" s="14">
        <v>122</v>
      </c>
      <c r="F14" s="14">
        <v>56</v>
      </c>
      <c r="G14" s="14">
        <v>77</v>
      </c>
      <c r="H14" s="14">
        <v>146</v>
      </c>
      <c r="I14" s="14">
        <v>131</v>
      </c>
      <c r="J14" s="14">
        <v>99</v>
      </c>
      <c r="K14" s="14">
        <v>138</v>
      </c>
      <c r="L14" s="14">
        <v>156</v>
      </c>
      <c r="M14" s="14">
        <v>76</v>
      </c>
      <c r="N14" s="14">
        <v>136</v>
      </c>
      <c r="O14" s="14">
        <v>141</v>
      </c>
      <c r="P14" s="14">
        <v>84</v>
      </c>
      <c r="Q14" s="14">
        <v>154</v>
      </c>
      <c r="R14" s="14">
        <v>131</v>
      </c>
      <c r="S14" s="14"/>
      <c r="T14" s="14"/>
      <c r="U14" s="15">
        <v>278</v>
      </c>
      <c r="V14" s="15"/>
      <c r="W14" s="15">
        <v>170</v>
      </c>
      <c r="X14" s="15"/>
      <c r="Y14" s="76">
        <v>141</v>
      </c>
      <c r="Z14" s="76">
        <v>196</v>
      </c>
      <c r="AA14" s="15">
        <v>247</v>
      </c>
      <c r="AB14" s="15">
        <v>128</v>
      </c>
      <c r="AC14" s="15">
        <v>140</v>
      </c>
      <c r="AD14" s="111">
        <v>369</v>
      </c>
      <c r="AE14" s="124">
        <v>342</v>
      </c>
      <c r="AF14" s="124">
        <v>303</v>
      </c>
      <c r="AG14" s="124">
        <f>21+35+50+49+43+43+29+6+4</f>
        <v>280</v>
      </c>
      <c r="AH14" s="124">
        <f>(11+2+2+2+2+2+2+2+2+1+4+2+2+1+2+1+1+1+2+1)+(2+5+4+3+2+1+3+2+4+2+4+3+9+2+4+2+2+1+2+2)+(1+2+2+1+2+2+1+2+2+2+3+2+2+5+1+5+4+8+2+4)+(1+1+2+6+4+1+1+2+1+2+2+2+1+2+2)+(2+2+2+1+2+5+2+2+1+2+4+4+2+1+2+1+1+1+2)+(2+1+2+2+2+3+2+2+3+1+2)</f>
        <v>248</v>
      </c>
      <c r="AI14" s="124">
        <f>(2+1+2+1+2+2+1+1)</f>
        <v>12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4"/>
        <v>109.85714285714286</v>
      </c>
      <c r="BK14">
        <f t="shared" si="0"/>
        <v>115.625</v>
      </c>
      <c r="BL14">
        <f t="shared" si="5"/>
        <v>111.22222222222223</v>
      </c>
      <c r="BM14">
        <f t="shared" si="0"/>
        <v>113.7</v>
      </c>
      <c r="BN14">
        <f t="shared" si="0"/>
        <v>115.6</v>
      </c>
      <c r="BO14">
        <f t="shared" si="0"/>
        <v>118.4</v>
      </c>
      <c r="BP14">
        <f t="shared" si="0"/>
        <v>126.1</v>
      </c>
      <c r="BQ14">
        <f t="shared" si="0"/>
        <v>124.6</v>
      </c>
      <c r="BR14">
        <f t="shared" si="6"/>
        <v>123.88888888888889</v>
      </c>
      <c r="BS14">
        <f t="shared" si="6"/>
        <v>127</v>
      </c>
      <c r="BT14">
        <f t="shared" si="0"/>
        <v>144.5</v>
      </c>
      <c r="BU14">
        <f t="shared" si="0"/>
        <v>142.85714285714286</v>
      </c>
      <c r="BV14">
        <f t="shared" si="0"/>
        <v>156.28571428571428</v>
      </c>
      <c r="BW14">
        <f t="shared" si="0"/>
        <v>159.66666666666666</v>
      </c>
      <c r="BX14">
        <f t="shared" si="0"/>
        <v>159.66666666666666</v>
      </c>
      <c r="BY14">
        <f t="shared" si="0"/>
        <v>178.33333333333334</v>
      </c>
      <c r="BZ14">
        <f t="shared" si="0"/>
        <v>193.83333333333334</v>
      </c>
      <c r="CA14">
        <f t="shared" si="0"/>
        <v>193.33333333333334</v>
      </c>
      <c r="CB14">
        <f t="shared" si="0"/>
        <v>185.71428571428572</v>
      </c>
      <c r="CC14">
        <f t="shared" si="0"/>
        <v>208.625</v>
      </c>
      <c r="CD14">
        <f t="shared" si="0"/>
        <v>216.625</v>
      </c>
      <c r="CE14">
        <f t="shared" si="1"/>
        <v>226.22222222222223</v>
      </c>
      <c r="CF14">
        <f t="shared" si="7"/>
        <v>238.44444444444446</v>
      </c>
      <c r="CG14">
        <f t="shared" si="8"/>
        <v>239.4</v>
      </c>
      <c r="CH14">
        <f t="shared" si="9"/>
        <v>226.5</v>
      </c>
      <c r="CI14">
        <f t="shared" si="10"/>
        <v>229.88888888888889</v>
      </c>
      <c r="CJ14">
        <f t="shared" si="11"/>
        <v>227.75</v>
      </c>
      <c r="CK14">
        <f t="shared" si="12"/>
        <v>242</v>
      </c>
      <c r="CL14">
        <f t="shared" si="13"/>
        <v>259</v>
      </c>
      <c r="CM14">
        <f t="shared" si="14"/>
        <v>237</v>
      </c>
      <c r="CN14">
        <f t="shared" si="2"/>
        <v>210.75</v>
      </c>
      <c r="CO14">
        <f t="shared" si="15"/>
        <v>180</v>
      </c>
      <c r="CP14">
        <f t="shared" si="16"/>
        <v>130</v>
      </c>
      <c r="CQ14">
        <f t="shared" si="17"/>
        <v>12</v>
      </c>
      <c r="CR14" t="e">
        <f t="shared" si="18"/>
        <v>#DIV/0!</v>
      </c>
      <c r="CS14" t="e">
        <f t="shared" si="19"/>
        <v>#DIV/0!</v>
      </c>
      <c r="CT14" t="e">
        <f t="shared" si="20"/>
        <v>#DIV/0!</v>
      </c>
      <c r="CU14" t="e">
        <f t="shared" si="21"/>
        <v>#DIV/0!</v>
      </c>
      <c r="CV14" t="e">
        <f t="shared" si="22"/>
        <v>#DIV/0!</v>
      </c>
      <c r="CW14" t="e">
        <f t="shared" si="23"/>
        <v>#DIV/0!</v>
      </c>
      <c r="CX14" t="e">
        <f t="shared" si="24"/>
        <v>#DIV/0!</v>
      </c>
      <c r="CY14" t="e">
        <f t="shared" si="25"/>
        <v>#DIV/0!</v>
      </c>
      <c r="CZ14" t="e">
        <f t="shared" si="26"/>
        <v>#N/A</v>
      </c>
      <c r="DA14" t="e">
        <f t="shared" si="27"/>
        <v>#N/A</v>
      </c>
      <c r="DB14" t="e">
        <f t="shared" si="28"/>
        <v>#N/A</v>
      </c>
      <c r="DC14" t="e">
        <f t="shared" si="29"/>
        <v>#N/A</v>
      </c>
      <c r="DD14" t="e">
        <f t="shared" si="30"/>
        <v>#N/A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>
        <v>21</v>
      </c>
      <c r="F15" s="16">
        <v>34</v>
      </c>
      <c r="G15" s="16">
        <v>37</v>
      </c>
      <c r="H15" s="16">
        <v>33</v>
      </c>
      <c r="I15" s="16">
        <v>79</v>
      </c>
      <c r="J15" s="16">
        <v>105</v>
      </c>
      <c r="K15" s="16">
        <v>42</v>
      </c>
      <c r="L15" s="16">
        <v>31</v>
      </c>
      <c r="M15" s="16">
        <v>41</v>
      </c>
      <c r="N15" s="16">
        <v>63</v>
      </c>
      <c r="O15" s="16">
        <v>66</v>
      </c>
      <c r="P15" s="16">
        <v>76</v>
      </c>
      <c r="Q15" s="16">
        <v>67</v>
      </c>
      <c r="R15" s="16">
        <v>43</v>
      </c>
      <c r="S15" s="16"/>
      <c r="T15" s="16"/>
      <c r="U15" s="17">
        <v>48</v>
      </c>
      <c r="V15" s="17"/>
      <c r="W15" s="17">
        <v>102</v>
      </c>
      <c r="X15" s="17"/>
      <c r="Y15" s="76">
        <v>64</v>
      </c>
      <c r="Z15" s="17">
        <v>89</v>
      </c>
      <c r="AA15" s="17">
        <v>76</v>
      </c>
      <c r="AB15" s="17">
        <v>69</v>
      </c>
      <c r="AC15" s="17">
        <v>54</v>
      </c>
      <c r="AD15" s="112">
        <v>148</v>
      </c>
      <c r="AE15" s="10">
        <v>67</v>
      </c>
      <c r="AF15" s="10">
        <v>135</v>
      </c>
      <c r="AG15" s="10">
        <f>28+40+8+8+2</f>
        <v>86</v>
      </c>
      <c r="AH15" s="10">
        <f>(2+2+2+2+3+3+3+2)+(4+2+3+2+3+1+1+1+2+2+2+1+3+3+1+1+2+5+4+5)+(1+3+1+1+4+1+2+2+1+7+1+3+1+2+2+3+2+1)+(2+1+3+2+1+2+1+2+2+2+2+2+4+1+2+1)</f>
        <v>135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4"/>
        <v>50.142857142857146</v>
      </c>
      <c r="BK15">
        <f t="shared" si="0"/>
        <v>47.75</v>
      </c>
      <c r="BL15">
        <f t="shared" si="5"/>
        <v>47</v>
      </c>
      <c r="BM15">
        <f t="shared" si="0"/>
        <v>48.6</v>
      </c>
      <c r="BN15">
        <f t="shared" si="0"/>
        <v>53.1</v>
      </c>
      <c r="BO15">
        <f t="shared" si="0"/>
        <v>57.3</v>
      </c>
      <c r="BP15">
        <f t="shared" si="0"/>
        <v>60.3</v>
      </c>
      <c r="BQ15">
        <f t="shared" si="0"/>
        <v>61.3</v>
      </c>
      <c r="BR15">
        <f t="shared" si="6"/>
        <v>59.333333333333336</v>
      </c>
      <c r="BS15">
        <f t="shared" si="6"/>
        <v>53.625</v>
      </c>
      <c r="BT15">
        <f t="shared" si="0"/>
        <v>54.375</v>
      </c>
      <c r="BU15">
        <f t="shared" si="0"/>
        <v>57.714285714285715</v>
      </c>
      <c r="BV15">
        <f t="shared" si="0"/>
        <v>66.428571428571431</v>
      </c>
      <c r="BW15">
        <f t="shared" si="0"/>
        <v>67</v>
      </c>
      <c r="BX15">
        <f t="shared" si="0"/>
        <v>66.666666666666671</v>
      </c>
      <c r="BY15">
        <f t="shared" si="0"/>
        <v>68.833333333333329</v>
      </c>
      <c r="BZ15">
        <f t="shared" si="0"/>
        <v>70.333333333333329</v>
      </c>
      <c r="CA15">
        <f t="shared" si="0"/>
        <v>74.666666666666671</v>
      </c>
      <c r="CB15">
        <f t="shared" si="0"/>
        <v>71.714285714285708</v>
      </c>
      <c r="CC15">
        <f t="shared" si="0"/>
        <v>81.25</v>
      </c>
      <c r="CD15">
        <f t="shared" si="0"/>
        <v>83.625</v>
      </c>
      <c r="CE15">
        <f t="shared" si="1"/>
        <v>89.333333333333329</v>
      </c>
      <c r="CF15">
        <f t="shared" si="7"/>
        <v>87.555555555555557</v>
      </c>
      <c r="CG15">
        <f t="shared" si="8"/>
        <v>92.3</v>
      </c>
      <c r="CH15">
        <f t="shared" si="9"/>
        <v>95.444444444444443</v>
      </c>
      <c r="CI15">
        <f t="shared" si="10"/>
        <v>96.25</v>
      </c>
      <c r="CJ15">
        <f t="shared" si="11"/>
        <v>99.142857142857139</v>
      </c>
      <c r="CK15">
        <f t="shared" si="12"/>
        <v>104.16666666666667</v>
      </c>
      <c r="CL15">
        <f t="shared" si="13"/>
        <v>114.2</v>
      </c>
      <c r="CM15">
        <f t="shared" si="14"/>
        <v>105.75</v>
      </c>
      <c r="CN15">
        <f t="shared" si="2"/>
        <v>118.66666666666667</v>
      </c>
      <c r="CO15">
        <f t="shared" si="15"/>
        <v>110.5</v>
      </c>
      <c r="CP15">
        <f t="shared" si="16"/>
        <v>135</v>
      </c>
      <c r="CQ15" t="e">
        <f t="shared" si="17"/>
        <v>#DIV/0!</v>
      </c>
      <c r="CR15" t="e">
        <f t="shared" si="18"/>
        <v>#DIV/0!</v>
      </c>
      <c r="CS15" t="e">
        <f t="shared" si="19"/>
        <v>#DIV/0!</v>
      </c>
      <c r="CT15" t="e">
        <f t="shared" si="20"/>
        <v>#DIV/0!</v>
      </c>
      <c r="CU15" t="e">
        <f t="shared" si="21"/>
        <v>#DIV/0!</v>
      </c>
      <c r="CV15" t="e">
        <f t="shared" si="22"/>
        <v>#DIV/0!</v>
      </c>
      <c r="CW15" t="e">
        <f t="shared" si="23"/>
        <v>#DIV/0!</v>
      </c>
      <c r="CX15" t="e">
        <f t="shared" si="24"/>
        <v>#DIV/0!</v>
      </c>
      <c r="CY15" t="e">
        <f t="shared" si="25"/>
        <v>#DIV/0!</v>
      </c>
      <c r="CZ15" t="e">
        <f t="shared" si="26"/>
        <v>#N/A</v>
      </c>
      <c r="DA15" t="e">
        <f t="shared" si="27"/>
        <v>#N/A</v>
      </c>
      <c r="DB15" t="e">
        <f t="shared" si="28"/>
        <v>#N/A</v>
      </c>
      <c r="DC15" t="e">
        <f t="shared" si="29"/>
        <v>#N/A</v>
      </c>
      <c r="DD15" t="e">
        <f t="shared" si="30"/>
        <v>#N/A</v>
      </c>
    </row>
    <row r="16" spans="1:108" ht="20" customHeight="1" x14ac:dyDescent="0.2">
      <c r="A16" s="7" t="s">
        <v>11</v>
      </c>
      <c r="B16" s="14"/>
      <c r="C16" s="14"/>
      <c r="D16" s="14"/>
      <c r="E16" s="14">
        <v>31</v>
      </c>
      <c r="F16" s="14">
        <v>28</v>
      </c>
      <c r="G16" s="14">
        <v>16</v>
      </c>
      <c r="H16" s="14">
        <v>18</v>
      </c>
      <c r="I16" s="14">
        <v>21</v>
      </c>
      <c r="J16" s="14">
        <v>25</v>
      </c>
      <c r="K16" s="14">
        <v>27</v>
      </c>
      <c r="L16" s="14">
        <v>25</v>
      </c>
      <c r="M16" s="14">
        <v>8</v>
      </c>
      <c r="N16" s="14">
        <v>19</v>
      </c>
      <c r="O16" s="14">
        <v>42</v>
      </c>
      <c r="P16" s="14">
        <v>19</v>
      </c>
      <c r="Q16" s="14">
        <v>31</v>
      </c>
      <c r="R16" s="14">
        <v>28</v>
      </c>
      <c r="S16" s="14"/>
      <c r="T16" s="14"/>
      <c r="U16" s="15">
        <v>20</v>
      </c>
      <c r="V16" s="15"/>
      <c r="W16" s="15">
        <v>81</v>
      </c>
      <c r="X16" s="15"/>
      <c r="Y16" s="76">
        <v>29</v>
      </c>
      <c r="Z16" s="15">
        <v>48</v>
      </c>
      <c r="AA16" s="15">
        <v>35</v>
      </c>
      <c r="AB16" s="15">
        <v>15</v>
      </c>
      <c r="AC16" s="15">
        <v>46</v>
      </c>
      <c r="AD16" s="111">
        <v>62</v>
      </c>
      <c r="AE16" s="124">
        <v>69</v>
      </c>
      <c r="AF16" s="124">
        <v>88</v>
      </c>
      <c r="AG16" s="124">
        <f>23+40</f>
        <v>63</v>
      </c>
      <c r="AH16" s="124">
        <f>(1+3+2)+(1+1+1+2+1+2+2+1+2+1+3+1+1+1+2+1+2+1+2+2)+(2+4+6+3+1+4+2+2+2+2+5+1+1+1+3+2)+(2+1+2+1+1)</f>
        <v>84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4"/>
        <v>23.714285714285715</v>
      </c>
      <c r="BK16">
        <f t="shared" si="0"/>
        <v>23.875</v>
      </c>
      <c r="BL16">
        <f t="shared" si="5"/>
        <v>22.111111111111111</v>
      </c>
      <c r="BM16">
        <f t="shared" si="0"/>
        <v>21.8</v>
      </c>
      <c r="BN16">
        <f t="shared" si="0"/>
        <v>22.9</v>
      </c>
      <c r="BO16">
        <f t="shared" si="0"/>
        <v>22</v>
      </c>
      <c r="BP16">
        <f t="shared" si="0"/>
        <v>23.5</v>
      </c>
      <c r="BQ16">
        <f t="shared" si="0"/>
        <v>24.5</v>
      </c>
      <c r="BR16">
        <f t="shared" si="6"/>
        <v>24.888888888888889</v>
      </c>
      <c r="BS16">
        <f t="shared" si="6"/>
        <v>24.875</v>
      </c>
      <c r="BT16">
        <f t="shared" si="0"/>
        <v>24</v>
      </c>
      <c r="BU16">
        <f t="shared" si="0"/>
        <v>23.857142857142858</v>
      </c>
      <c r="BV16">
        <f t="shared" si="0"/>
        <v>34.285714285714285</v>
      </c>
      <c r="BW16">
        <f t="shared" si="0"/>
        <v>36.833333333333336</v>
      </c>
      <c r="BX16">
        <f t="shared" si="0"/>
        <v>34.666666666666664</v>
      </c>
      <c r="BY16">
        <f t="shared" si="0"/>
        <v>39.5</v>
      </c>
      <c r="BZ16">
        <f t="shared" si="0"/>
        <v>40.166666666666664</v>
      </c>
      <c r="CA16">
        <f t="shared" si="0"/>
        <v>38</v>
      </c>
      <c r="CB16">
        <f t="shared" si="0"/>
        <v>39.142857142857146</v>
      </c>
      <c r="CC16">
        <f t="shared" si="0"/>
        <v>42</v>
      </c>
      <c r="CD16">
        <f t="shared" si="0"/>
        <v>48.125</v>
      </c>
      <c r="CE16">
        <f t="shared" si="1"/>
        <v>52.555555555555557</v>
      </c>
      <c r="CF16">
        <f t="shared" si="7"/>
        <v>50.555555555555557</v>
      </c>
      <c r="CG16">
        <f t="shared" si="8"/>
        <v>53.9</v>
      </c>
      <c r="CH16">
        <f t="shared" si="9"/>
        <v>56.666666666666664</v>
      </c>
      <c r="CI16">
        <f t="shared" si="10"/>
        <v>57.75</v>
      </c>
      <c r="CJ16">
        <f t="shared" si="11"/>
        <v>61</v>
      </c>
      <c r="CK16">
        <f t="shared" si="12"/>
        <v>68.666666666666671</v>
      </c>
      <c r="CL16">
        <f t="shared" si="13"/>
        <v>73.2</v>
      </c>
      <c r="CM16">
        <f t="shared" si="14"/>
        <v>76</v>
      </c>
      <c r="CN16">
        <f t="shared" si="2"/>
        <v>78.333333333333329</v>
      </c>
      <c r="CO16">
        <f t="shared" si="15"/>
        <v>73.5</v>
      </c>
      <c r="CP16">
        <f t="shared" si="16"/>
        <v>84</v>
      </c>
      <c r="CQ16" t="e">
        <f t="shared" si="17"/>
        <v>#DIV/0!</v>
      </c>
      <c r="CR16" t="e">
        <f t="shared" si="18"/>
        <v>#DIV/0!</v>
      </c>
      <c r="CS16" t="e">
        <f t="shared" si="19"/>
        <v>#DIV/0!</v>
      </c>
      <c r="CT16" t="e">
        <f t="shared" si="20"/>
        <v>#DIV/0!</v>
      </c>
      <c r="CU16" t="e">
        <f t="shared" si="21"/>
        <v>#DIV/0!</v>
      </c>
      <c r="CV16" t="e">
        <f t="shared" si="22"/>
        <v>#DIV/0!</v>
      </c>
      <c r="CW16" t="e">
        <f t="shared" si="23"/>
        <v>#DIV/0!</v>
      </c>
      <c r="CX16" t="e">
        <f t="shared" si="24"/>
        <v>#DIV/0!</v>
      </c>
      <c r="CY16" t="e">
        <f t="shared" si="25"/>
        <v>#DIV/0!</v>
      </c>
      <c r="CZ16" t="e">
        <f t="shared" si="26"/>
        <v>#N/A</v>
      </c>
      <c r="DA16" t="e">
        <f t="shared" si="27"/>
        <v>#N/A</v>
      </c>
      <c r="DB16" t="e">
        <f t="shared" si="28"/>
        <v>#N/A</v>
      </c>
      <c r="DC16" t="e">
        <f t="shared" si="29"/>
        <v>#N/A</v>
      </c>
      <c r="DD16" t="e">
        <f t="shared" si="30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31">SUM(C5:C16)</f>
        <v>0</v>
      </c>
      <c r="D18" s="22">
        <f t="shared" si="31"/>
        <v>0</v>
      </c>
      <c r="E18" s="22">
        <f t="shared" si="31"/>
        <v>671</v>
      </c>
      <c r="F18" s="22">
        <f t="shared" si="31"/>
        <v>830</v>
      </c>
      <c r="G18" s="22">
        <f t="shared" si="31"/>
        <v>617</v>
      </c>
      <c r="H18" s="22">
        <f t="shared" si="31"/>
        <v>871</v>
      </c>
      <c r="I18" s="22">
        <f t="shared" si="31"/>
        <v>1076</v>
      </c>
      <c r="J18" s="22">
        <f t="shared" si="31"/>
        <v>946</v>
      </c>
      <c r="K18" s="22">
        <f t="shared" si="31"/>
        <v>944</v>
      </c>
      <c r="L18" s="22">
        <f t="shared" si="31"/>
        <v>1003</v>
      </c>
      <c r="M18" s="22">
        <f t="shared" si="31"/>
        <v>895</v>
      </c>
      <c r="N18" s="22">
        <f t="shared" si="31"/>
        <v>1059</v>
      </c>
      <c r="O18" s="22">
        <f t="shared" si="31"/>
        <v>1060</v>
      </c>
      <c r="P18" s="22">
        <f t="shared" si="31"/>
        <v>954</v>
      </c>
      <c r="Q18" s="22">
        <f t="shared" si="31"/>
        <v>1021</v>
      </c>
      <c r="R18" s="22">
        <f t="shared" si="31"/>
        <v>1088</v>
      </c>
      <c r="S18" s="22">
        <f t="shared" si="31"/>
        <v>0</v>
      </c>
      <c r="T18" s="22">
        <f t="shared" si="31"/>
        <v>0</v>
      </c>
      <c r="U18" s="22">
        <f t="shared" si="31"/>
        <v>1398</v>
      </c>
      <c r="V18" s="22">
        <f t="shared" si="31"/>
        <v>0</v>
      </c>
      <c r="W18" s="22">
        <f t="shared" si="31"/>
        <v>1641</v>
      </c>
      <c r="X18" s="22">
        <f t="shared" si="31"/>
        <v>0</v>
      </c>
      <c r="Y18" s="22">
        <f t="shared" si="31"/>
        <v>1193</v>
      </c>
      <c r="Z18" s="22">
        <f t="shared" si="31"/>
        <v>1307</v>
      </c>
      <c r="AA18" s="22">
        <f t="shared" si="31"/>
        <v>1732</v>
      </c>
      <c r="AB18" s="22">
        <f t="shared" si="31"/>
        <v>1326</v>
      </c>
      <c r="AC18" s="22">
        <f t="shared" si="31"/>
        <v>1340</v>
      </c>
      <c r="AD18" s="22">
        <f t="shared" si="31"/>
        <v>2123.3333333333335</v>
      </c>
      <c r="AE18" s="22">
        <f t="shared" si="31"/>
        <v>1960</v>
      </c>
      <c r="AF18" s="22">
        <f>SUM(AF5:AF16)</f>
        <v>1973</v>
      </c>
      <c r="AG18" s="22">
        <f t="shared" si="31"/>
        <v>1956</v>
      </c>
      <c r="AH18" s="22">
        <f t="shared" si="31"/>
        <v>1788</v>
      </c>
      <c r="AI18" s="22">
        <f t="shared" si="31"/>
        <v>1289</v>
      </c>
      <c r="AJ18" s="22">
        <f t="shared" si="31"/>
        <v>0</v>
      </c>
      <c r="AK18" s="22">
        <f t="shared" si="31"/>
        <v>0</v>
      </c>
      <c r="AL18" s="22">
        <f t="shared" si="31"/>
        <v>0</v>
      </c>
      <c r="AM18" s="22">
        <f t="shared" si="31"/>
        <v>0</v>
      </c>
      <c r="AN18" s="22">
        <f t="shared" si="31"/>
        <v>0</v>
      </c>
      <c r="AO18" s="22">
        <f t="shared" si="31"/>
        <v>0</v>
      </c>
      <c r="AP18" s="22">
        <f t="shared" si="31"/>
        <v>0</v>
      </c>
      <c r="AQ18" s="22">
        <f t="shared" si="31"/>
        <v>0</v>
      </c>
      <c r="AR18" s="22">
        <f t="shared" si="31"/>
        <v>0</v>
      </c>
      <c r="AS18" s="22">
        <f t="shared" si="31"/>
        <v>0</v>
      </c>
      <c r="AT18" s="22">
        <f t="shared" si="31"/>
        <v>0</v>
      </c>
      <c r="AU18" s="22">
        <f t="shared" si="31"/>
        <v>0</v>
      </c>
      <c r="AV18" s="22">
        <f t="shared" si="31"/>
        <v>0</v>
      </c>
      <c r="AW18" s="22">
        <f t="shared" si="31"/>
        <v>0</v>
      </c>
      <c r="AX18" s="22">
        <f t="shared" si="31"/>
        <v>0</v>
      </c>
      <c r="AY18" s="22">
        <f t="shared" si="31"/>
        <v>0</v>
      </c>
      <c r="AZ18" s="22">
        <f t="shared" si="31"/>
        <v>0</v>
      </c>
      <c r="BA18" s="24"/>
      <c r="BX18" s="25">
        <f>AVERAGE(P18:Y18)</f>
        <v>729.5</v>
      </c>
      <c r="BY18" s="25">
        <f>AVERAGE(Q18:Z18)</f>
        <v>764.8</v>
      </c>
      <c r="BZ18" s="25">
        <f>AVERAGE(R18:AA18)</f>
        <v>835.9</v>
      </c>
      <c r="CA18" s="25">
        <f>AVERAGE(S18:AB18)</f>
        <v>859.7</v>
      </c>
      <c r="CB18" s="25">
        <f>AVERAGE(T18:AC18)</f>
        <v>993.7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transitionEvaluation="1" codeName="Sheet3">
    <tabColor theme="3"/>
  </sheetPr>
  <dimension ref="A1:DG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F14" sqref="AF14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4" width="5.7109375" style="5" customWidth="1"/>
    <col min="25" max="26" width="7.7109375" style="5" customWidth="1"/>
    <col min="27" max="28" width="5.7109375" style="5" customWidth="1"/>
    <col min="29" max="29" width="5.28515625" style="5" customWidth="1"/>
    <col min="30" max="30" width="9.85546875" style="5" customWidth="1"/>
    <col min="31" max="52" width="9.42578125" customWidth="1"/>
    <col min="53" max="74" width="9.42578125" style="5" customWidth="1"/>
    <col min="75" max="75" width="4.7109375" style="5" customWidth="1"/>
    <col min="76" max="76" width="8.28515625" style="5" customWidth="1"/>
    <col min="77" max="77" width="10.28515625" style="5" customWidth="1"/>
    <col min="78" max="80" width="16.7109375" style="5" customWidth="1"/>
    <col min="81" max="81" width="17.28515625" style="5" customWidth="1"/>
    <col min="82" max="82" width="16.85546875" style="5" customWidth="1"/>
    <col min="83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108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>
        <v>2</v>
      </c>
      <c r="G5" s="16">
        <v>1</v>
      </c>
      <c r="H5" s="16">
        <v>5</v>
      </c>
      <c r="I5" s="16">
        <v>1</v>
      </c>
      <c r="J5" s="16">
        <v>11</v>
      </c>
      <c r="K5" s="16">
        <v>5</v>
      </c>
      <c r="L5" s="16">
        <v>0</v>
      </c>
      <c r="M5" s="16">
        <v>1</v>
      </c>
      <c r="N5" s="16">
        <v>4</v>
      </c>
      <c r="O5" s="16">
        <v>3</v>
      </c>
      <c r="P5" s="16">
        <v>4</v>
      </c>
      <c r="Q5" s="16">
        <v>0</v>
      </c>
      <c r="R5" s="16">
        <v>2</v>
      </c>
      <c r="S5" s="16"/>
      <c r="T5" s="16"/>
      <c r="U5" s="17">
        <v>5</v>
      </c>
      <c r="V5" s="17"/>
      <c r="W5" s="17">
        <v>11</v>
      </c>
      <c r="X5" s="17"/>
      <c r="Y5" s="17">
        <v>1</v>
      </c>
      <c r="Z5" s="17">
        <v>4</v>
      </c>
      <c r="AA5" s="17">
        <v>20</v>
      </c>
      <c r="AB5" s="17">
        <v>2</v>
      </c>
      <c r="AC5" s="17">
        <v>34</v>
      </c>
      <c r="AD5" s="76">
        <f>AVERAGE(AA5:AC5)</f>
        <v>18.666666666666668</v>
      </c>
      <c r="AE5" s="76">
        <f>AVERAGE(AB5:AD5)</f>
        <v>18.222222222222225</v>
      </c>
      <c r="AF5" s="10">
        <v>15</v>
      </c>
      <c r="AG5" s="10">
        <f>11</f>
        <v>11</v>
      </c>
      <c r="AH5" s="10">
        <v>15</v>
      </c>
      <c r="AI5" s="10">
        <f>(1+2+4+2+1+1)</f>
        <v>11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4.166666666666667</v>
      </c>
      <c r="BK5">
        <f t="shared" ref="BK5:DD16" si="0">AVERAGE(C5:L5)</f>
        <v>3.5714285714285716</v>
      </c>
      <c r="BL5">
        <f>AVERAGE(D5:M5)</f>
        <v>3.25</v>
      </c>
      <c r="BM5">
        <f t="shared" si="0"/>
        <v>3.3333333333333335</v>
      </c>
      <c r="BN5">
        <f t="shared" si="0"/>
        <v>3.3</v>
      </c>
      <c r="BO5">
        <f t="shared" si="0"/>
        <v>3.5</v>
      </c>
      <c r="BP5">
        <f t="shared" si="0"/>
        <v>3.4</v>
      </c>
      <c r="BQ5">
        <f t="shared" si="0"/>
        <v>3.1</v>
      </c>
      <c r="BR5">
        <f t="shared" si="0"/>
        <v>3.3333333333333335</v>
      </c>
      <c r="BS5">
        <f t="shared" si="0"/>
        <v>2.375</v>
      </c>
      <c r="BT5">
        <f t="shared" si="0"/>
        <v>2.375</v>
      </c>
      <c r="BU5">
        <f t="shared" si="0"/>
        <v>2.7142857142857144</v>
      </c>
      <c r="BV5">
        <f t="shared" si="0"/>
        <v>4.1428571428571432</v>
      </c>
      <c r="BW5">
        <f t="shared" si="0"/>
        <v>4.166666666666667</v>
      </c>
      <c r="BX5">
        <f t="shared" si="0"/>
        <v>3.8333333333333335</v>
      </c>
      <c r="BY5">
        <f t="shared" si="0"/>
        <v>3.8333333333333335</v>
      </c>
      <c r="BZ5">
        <f t="shared" si="0"/>
        <v>7.166666666666667</v>
      </c>
      <c r="CA5">
        <f t="shared" si="0"/>
        <v>7.166666666666667</v>
      </c>
      <c r="CB5">
        <f t="shared" si="0"/>
        <v>11</v>
      </c>
      <c r="CC5">
        <f t="shared" si="0"/>
        <v>11.958333333333334</v>
      </c>
      <c r="CD5">
        <f t="shared" si="0"/>
        <v>13.611111111111112</v>
      </c>
      <c r="CE5">
        <f t="shared" si="0"/>
        <v>13.765432098765434</v>
      </c>
      <c r="CF5">
        <f t="shared" si="0"/>
        <v>13.765432098765434</v>
      </c>
      <c r="CG5">
        <f t="shared" si="0"/>
        <v>13.888888888888891</v>
      </c>
      <c r="CH5">
        <f t="shared" si="0"/>
        <v>14.888888888888891</v>
      </c>
      <c r="CI5">
        <f t="shared" si="0"/>
        <v>16.098765432098769</v>
      </c>
      <c r="CJ5">
        <f t="shared" si="0"/>
        <v>15.611111111111112</v>
      </c>
      <c r="CK5">
        <f t="shared" si="0"/>
        <v>17.555555555555557</v>
      </c>
      <c r="CL5">
        <f t="shared" si="0"/>
        <v>14.814814814814815</v>
      </c>
      <c r="CM5">
        <f t="shared" si="0"/>
        <v>14.044444444444446</v>
      </c>
      <c r="CN5">
        <f t="shared" si="0"/>
        <v>13</v>
      </c>
      <c r="CO5">
        <f t="shared" si="0"/>
        <v>12.333333333333334</v>
      </c>
      <c r="CP5">
        <f t="shared" si="0"/>
        <v>13</v>
      </c>
      <c r="CQ5">
        <f t="shared" si="0"/>
        <v>11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>
        <v>13</v>
      </c>
      <c r="G6" s="14">
        <v>3</v>
      </c>
      <c r="H6" s="14">
        <v>2</v>
      </c>
      <c r="I6" s="14">
        <v>6</v>
      </c>
      <c r="J6" s="14">
        <v>16</v>
      </c>
      <c r="K6" s="14">
        <v>0</v>
      </c>
      <c r="L6" s="14">
        <v>4</v>
      </c>
      <c r="M6" s="14">
        <v>0</v>
      </c>
      <c r="N6" s="14">
        <v>1</v>
      </c>
      <c r="O6" s="14">
        <v>5</v>
      </c>
      <c r="P6" s="14">
        <v>2</v>
      </c>
      <c r="Q6" s="14">
        <v>16</v>
      </c>
      <c r="R6" s="14">
        <v>3</v>
      </c>
      <c r="S6" s="14"/>
      <c r="T6" s="14"/>
      <c r="U6" s="15">
        <v>1</v>
      </c>
      <c r="V6" s="15"/>
      <c r="W6" s="15">
        <v>8</v>
      </c>
      <c r="X6" s="15"/>
      <c r="Y6" s="15">
        <v>11</v>
      </c>
      <c r="Z6" s="15">
        <v>7</v>
      </c>
      <c r="AA6" s="15">
        <v>30</v>
      </c>
      <c r="AB6" s="15">
        <v>9</v>
      </c>
      <c r="AC6" s="15">
        <v>17</v>
      </c>
      <c r="AD6" s="76">
        <f t="shared" ref="AD6:AE15" si="1">AVERAGE(AA6:AC6)</f>
        <v>18.666666666666668</v>
      </c>
      <c r="AE6" s="76">
        <f t="shared" si="1"/>
        <v>14.888888888888891</v>
      </c>
      <c r="AF6" s="124">
        <v>7</v>
      </c>
      <c r="AG6" s="124">
        <f>16+3</f>
        <v>19</v>
      </c>
      <c r="AH6" s="124">
        <v>11</v>
      </c>
      <c r="AI6" s="124">
        <f>(2)+(1+4+1+1+1+1+1+8+1+1)</f>
        <v>22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2">AVERAGE(B6:K6)</f>
        <v>6.666666666666667</v>
      </c>
      <c r="BK6">
        <f t="shared" si="0"/>
        <v>6.2857142857142856</v>
      </c>
      <c r="BL6">
        <f t="shared" ref="BL6:BL16" si="3">AVERAGE(D6:M6)</f>
        <v>5.5</v>
      </c>
      <c r="BM6">
        <f t="shared" si="0"/>
        <v>5</v>
      </c>
      <c r="BN6">
        <f t="shared" si="0"/>
        <v>5</v>
      </c>
      <c r="BO6">
        <f t="shared" si="0"/>
        <v>3.9</v>
      </c>
      <c r="BP6">
        <f t="shared" si="0"/>
        <v>5.2</v>
      </c>
      <c r="BQ6">
        <f t="shared" si="0"/>
        <v>5.3</v>
      </c>
      <c r="BR6">
        <f t="shared" ref="BR6:BS16" si="4">AVERAGE(J6:S6)</f>
        <v>5.2222222222222223</v>
      </c>
      <c r="BS6">
        <f t="shared" si="4"/>
        <v>3.875</v>
      </c>
      <c r="BT6">
        <f t="shared" si="0"/>
        <v>4</v>
      </c>
      <c r="BU6">
        <f t="shared" si="0"/>
        <v>4</v>
      </c>
      <c r="BV6">
        <f t="shared" si="0"/>
        <v>5.1428571428571432</v>
      </c>
      <c r="BW6">
        <f t="shared" si="0"/>
        <v>5.833333333333333</v>
      </c>
      <c r="BX6">
        <f t="shared" si="0"/>
        <v>6.833333333333333</v>
      </c>
      <c r="BY6">
        <f t="shared" si="0"/>
        <v>7.666666666666667</v>
      </c>
      <c r="BZ6">
        <f t="shared" si="0"/>
        <v>10</v>
      </c>
      <c r="CA6">
        <f t="shared" si="0"/>
        <v>11</v>
      </c>
      <c r="CB6">
        <f t="shared" si="0"/>
        <v>11.857142857142858</v>
      </c>
      <c r="CC6">
        <f t="shared" si="0"/>
        <v>12.708333333333334</v>
      </c>
      <c r="CD6">
        <f t="shared" si="0"/>
        <v>14.444444444444445</v>
      </c>
      <c r="CE6">
        <f t="shared" si="0"/>
        <v>13.617283950617285</v>
      </c>
      <c r="CF6">
        <f t="shared" ref="CF6:CF16" si="5">AVERAGE(X6:AG6)</f>
        <v>14.839506172839505</v>
      </c>
      <c r="CG6">
        <f t="shared" ref="CG6:CG16" si="6">AVERAGE(Y6:AH6)</f>
        <v>14.455555555555554</v>
      </c>
      <c r="CH6">
        <f t="shared" ref="CH6:CH16" si="7">AVERAGE(Z6:AI6)</f>
        <v>15.555555555555554</v>
      </c>
      <c r="CI6">
        <f t="shared" ref="CI6:CI16" si="8">AVERAGE(AA6:AJ6)</f>
        <v>16.506172839506171</v>
      </c>
      <c r="CJ6">
        <f t="shared" ref="CJ6:CJ16" si="9">AVERAGE(AB6:AK6)</f>
        <v>14.819444444444446</v>
      </c>
      <c r="CK6">
        <f t="shared" ref="CK6:CK16" si="10">AVERAGE(AC6:AL6)</f>
        <v>15.650793650793654</v>
      </c>
      <c r="CL6">
        <f t="shared" ref="CL6:CL16" si="11">AVERAGE(AD6:AM6)</f>
        <v>15.425925925925926</v>
      </c>
      <c r="CM6">
        <f t="shared" ref="CM6:CM16" si="12">AVERAGE(AE6:AN6)</f>
        <v>14.777777777777777</v>
      </c>
      <c r="CN6">
        <f t="shared" ref="CN6:CN16" si="13">AVERAGE(AF6:AO6)</f>
        <v>14.75</v>
      </c>
      <c r="CO6">
        <f t="shared" ref="CO6:CO16" si="14">AVERAGE(AG6:AP6)</f>
        <v>17.333333333333332</v>
      </c>
      <c r="CP6">
        <f t="shared" ref="CP6:CP16" si="15">AVERAGE(AH6:AQ6)</f>
        <v>16.5</v>
      </c>
      <c r="CQ6">
        <f t="shared" ref="CQ6:CQ16" si="16">AVERAGE(AI6:AR6)</f>
        <v>22</v>
      </c>
      <c r="CR6" t="e">
        <f t="shared" ref="CR6:CR16" si="17">AVERAGE(AJ6:AS6)</f>
        <v>#DIV/0!</v>
      </c>
      <c r="CS6" t="e">
        <f t="shared" ref="CS6:CS16" si="18">AVERAGE(AK6:AT6)</f>
        <v>#DIV/0!</v>
      </c>
      <c r="CT6" t="e">
        <f t="shared" ref="CT6:CT16" si="19">AVERAGE(AL6:AU6)</f>
        <v>#DIV/0!</v>
      </c>
      <c r="CU6" t="e">
        <f t="shared" ref="CU6:CU16" si="20">AVERAGE(AM6:AV6)</f>
        <v>#DIV/0!</v>
      </c>
      <c r="CV6" t="e">
        <f t="shared" ref="CV6:CV16" si="21">AVERAGE(AN6:AW6)</f>
        <v>#DIV/0!</v>
      </c>
      <c r="CW6" t="e">
        <f t="shared" ref="CW6:CW16" si="22">AVERAGE(AO6:AX6)</f>
        <v>#DIV/0!</v>
      </c>
      <c r="CX6" t="e">
        <f t="shared" ref="CX6:CX16" si="23">AVERAGE(AP6:AY6)</f>
        <v>#DIV/0!</v>
      </c>
      <c r="CY6" t="e">
        <f t="shared" ref="CY6:CY16" si="24">AVERAGE(AQ6:AZ6)</f>
        <v>#DIV/0!</v>
      </c>
      <c r="CZ6" t="e">
        <f t="shared" ref="CZ6:CZ16" si="25">AVERAGE(AR6:BA6)</f>
        <v>#N/A</v>
      </c>
      <c r="DA6" t="e">
        <f t="shared" ref="DA6:DA16" si="26">AVERAGE(AS6:BB6)</f>
        <v>#N/A</v>
      </c>
      <c r="DB6" t="e">
        <f t="shared" ref="DB6:DB16" si="27">AVERAGE(AT6:BC6)</f>
        <v>#N/A</v>
      </c>
      <c r="DC6" t="e">
        <f t="shared" ref="DC6:DC16" si="28">AVERAGE(AU6:BD6)</f>
        <v>#N/A</v>
      </c>
      <c r="DD6" t="e">
        <f t="shared" ref="DD6:DD16" si="29">AVERAGE(AV6:BE6)</f>
        <v>#N/A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>
        <v>5</v>
      </c>
      <c r="G7" s="16">
        <v>3</v>
      </c>
      <c r="H7" s="16">
        <v>11</v>
      </c>
      <c r="I7" s="16">
        <v>8</v>
      </c>
      <c r="J7" s="16">
        <v>15</v>
      </c>
      <c r="K7" s="16">
        <v>12</v>
      </c>
      <c r="L7" s="16">
        <v>9</v>
      </c>
      <c r="M7" s="16">
        <v>6</v>
      </c>
      <c r="N7" s="16">
        <v>5</v>
      </c>
      <c r="O7" s="16">
        <v>3</v>
      </c>
      <c r="P7" s="16">
        <v>4</v>
      </c>
      <c r="Q7" s="16">
        <v>1</v>
      </c>
      <c r="R7" s="16">
        <v>2</v>
      </c>
      <c r="S7" s="16"/>
      <c r="T7" s="16"/>
      <c r="U7" s="17">
        <v>6</v>
      </c>
      <c r="V7" s="17"/>
      <c r="W7" s="17">
        <v>11</v>
      </c>
      <c r="X7" s="17">
        <v>11</v>
      </c>
      <c r="Y7" s="17">
        <v>8</v>
      </c>
      <c r="Z7" s="17">
        <v>6</v>
      </c>
      <c r="AA7" s="17">
        <v>7</v>
      </c>
      <c r="AB7" s="17">
        <v>0</v>
      </c>
      <c r="AC7" s="17">
        <v>4</v>
      </c>
      <c r="AD7" s="76">
        <f t="shared" si="1"/>
        <v>3.6666666666666665</v>
      </c>
      <c r="AE7" s="76">
        <f t="shared" si="1"/>
        <v>2.5555555555555554</v>
      </c>
      <c r="AF7" s="10">
        <v>13</v>
      </c>
      <c r="AG7" s="10">
        <f>12</f>
        <v>12</v>
      </c>
      <c r="AH7" s="10">
        <v>12</v>
      </c>
      <c r="AI7" s="10">
        <f>(2+1+2+1+2+1+1)</f>
        <v>10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2"/>
        <v>9</v>
      </c>
      <c r="BK7">
        <f t="shared" si="0"/>
        <v>9</v>
      </c>
      <c r="BL7">
        <f t="shared" si="3"/>
        <v>8.625</v>
      </c>
      <c r="BM7">
        <f t="shared" si="0"/>
        <v>8.2222222222222214</v>
      </c>
      <c r="BN7">
        <f t="shared" si="0"/>
        <v>7.7</v>
      </c>
      <c r="BO7">
        <f t="shared" si="0"/>
        <v>7.6</v>
      </c>
      <c r="BP7">
        <f t="shared" si="0"/>
        <v>7.4</v>
      </c>
      <c r="BQ7">
        <f t="shared" si="0"/>
        <v>6.5</v>
      </c>
      <c r="BR7">
        <f t="shared" si="4"/>
        <v>6.333333333333333</v>
      </c>
      <c r="BS7">
        <f t="shared" si="4"/>
        <v>5.25</v>
      </c>
      <c r="BT7">
        <f t="shared" si="0"/>
        <v>4.5</v>
      </c>
      <c r="BU7">
        <f t="shared" si="0"/>
        <v>3.8571428571428572</v>
      </c>
      <c r="BV7">
        <f t="shared" si="0"/>
        <v>4.5714285714285712</v>
      </c>
      <c r="BW7">
        <f t="shared" si="0"/>
        <v>5.4285714285714288</v>
      </c>
      <c r="BX7">
        <f>AVERAGE(P7:Y7)</f>
        <v>6.1428571428571432</v>
      </c>
      <c r="BY7">
        <f t="shared" si="0"/>
        <v>6.4285714285714288</v>
      </c>
      <c r="BZ7">
        <f t="shared" si="0"/>
        <v>7.2857142857142856</v>
      </c>
      <c r="CA7">
        <f t="shared" si="0"/>
        <v>7</v>
      </c>
      <c r="CB7">
        <f t="shared" si="0"/>
        <v>6.625</v>
      </c>
      <c r="CC7">
        <f t="shared" si="0"/>
        <v>6.2962962962962958</v>
      </c>
      <c r="CD7">
        <f t="shared" si="0"/>
        <v>5.9135802469135799</v>
      </c>
      <c r="CE7">
        <f>AVERAGE(W7:AF7)</f>
        <v>6.6222222222222227</v>
      </c>
      <c r="CF7">
        <f t="shared" si="5"/>
        <v>6.7222222222222232</v>
      </c>
      <c r="CG7">
        <f t="shared" si="6"/>
        <v>6.8222222222222229</v>
      </c>
      <c r="CH7">
        <f t="shared" si="7"/>
        <v>7.022222222222223</v>
      </c>
      <c r="CI7">
        <f t="shared" si="8"/>
        <v>7.1358024691358031</v>
      </c>
      <c r="CJ7">
        <f t="shared" si="9"/>
        <v>7.1527777777777777</v>
      </c>
      <c r="CK7">
        <f t="shared" si="10"/>
        <v>8.174603174603174</v>
      </c>
      <c r="CL7">
        <f t="shared" si="11"/>
        <v>8.8703703703703702</v>
      </c>
      <c r="CM7">
        <f t="shared" si="12"/>
        <v>9.9111111111111114</v>
      </c>
      <c r="CN7">
        <f t="shared" si="13"/>
        <v>11.75</v>
      </c>
      <c r="CO7">
        <f t="shared" si="14"/>
        <v>11.333333333333334</v>
      </c>
      <c r="CP7">
        <f t="shared" si="15"/>
        <v>11</v>
      </c>
      <c r="CQ7">
        <f t="shared" si="16"/>
        <v>10</v>
      </c>
      <c r="CR7" t="e">
        <f t="shared" si="17"/>
        <v>#DIV/0!</v>
      </c>
      <c r="CS7" t="e">
        <f t="shared" si="18"/>
        <v>#DIV/0!</v>
      </c>
      <c r="CT7" t="e">
        <f t="shared" si="19"/>
        <v>#DIV/0!</v>
      </c>
      <c r="CU7" t="e">
        <f t="shared" si="20"/>
        <v>#DIV/0!</v>
      </c>
      <c r="CV7" t="e">
        <f t="shared" si="21"/>
        <v>#DIV/0!</v>
      </c>
      <c r="CW7" t="e">
        <f t="shared" si="22"/>
        <v>#DIV/0!</v>
      </c>
      <c r="CX7" t="e">
        <f t="shared" si="23"/>
        <v>#DIV/0!</v>
      </c>
      <c r="CY7" t="e">
        <f t="shared" si="24"/>
        <v>#DIV/0!</v>
      </c>
      <c r="CZ7" t="e">
        <f t="shared" si="25"/>
        <v>#N/A</v>
      </c>
      <c r="DA7" t="e">
        <f t="shared" si="26"/>
        <v>#N/A</v>
      </c>
      <c r="DB7" t="e">
        <f t="shared" si="27"/>
        <v>#N/A</v>
      </c>
      <c r="DC7" t="e">
        <f t="shared" si="28"/>
        <v>#N/A</v>
      </c>
      <c r="DD7" t="e">
        <f t="shared" si="29"/>
        <v>#N/A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>
        <v>20</v>
      </c>
      <c r="G8" s="14">
        <v>16</v>
      </c>
      <c r="H8" s="14">
        <v>7</v>
      </c>
      <c r="I8" s="14">
        <v>13</v>
      </c>
      <c r="J8" s="14">
        <v>6</v>
      </c>
      <c r="K8" s="14">
        <v>5</v>
      </c>
      <c r="L8" s="14">
        <v>7</v>
      </c>
      <c r="M8" s="14">
        <v>9</v>
      </c>
      <c r="N8" s="14">
        <v>5</v>
      </c>
      <c r="O8" s="14">
        <v>5</v>
      </c>
      <c r="P8" s="14">
        <v>8</v>
      </c>
      <c r="Q8" s="14">
        <v>7</v>
      </c>
      <c r="R8" s="14">
        <v>3</v>
      </c>
      <c r="S8" s="14"/>
      <c r="T8" s="14"/>
      <c r="U8" s="15">
        <v>4</v>
      </c>
      <c r="V8" s="15"/>
      <c r="W8" s="15">
        <v>11</v>
      </c>
      <c r="X8" s="15">
        <v>15</v>
      </c>
      <c r="Y8" s="15">
        <v>27</v>
      </c>
      <c r="Z8" s="15">
        <v>11</v>
      </c>
      <c r="AA8" s="15">
        <v>20</v>
      </c>
      <c r="AB8" s="15">
        <v>26</v>
      </c>
      <c r="AC8" s="15">
        <v>22</v>
      </c>
      <c r="AD8" s="15">
        <v>24</v>
      </c>
      <c r="AE8" s="76">
        <f t="shared" ref="AE8" si="30">AVERAGE(AB8:AD8)</f>
        <v>24</v>
      </c>
      <c r="AF8" s="124">
        <v>43</v>
      </c>
      <c r="AG8" s="124">
        <f>17</f>
        <v>17</v>
      </c>
      <c r="AH8" s="124">
        <v>10</v>
      </c>
      <c r="AI8" s="124">
        <f>(2)+(2+1+2+2+4)</f>
        <v>13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2"/>
        <v>11.166666666666666</v>
      </c>
      <c r="BK8">
        <f t="shared" si="0"/>
        <v>10.571428571428571</v>
      </c>
      <c r="BL8">
        <f t="shared" si="3"/>
        <v>10.375</v>
      </c>
      <c r="BM8">
        <f t="shared" si="0"/>
        <v>9.7777777777777786</v>
      </c>
      <c r="BN8">
        <f t="shared" si="0"/>
        <v>9.3000000000000007</v>
      </c>
      <c r="BO8">
        <f t="shared" si="0"/>
        <v>8.1</v>
      </c>
      <c r="BP8">
        <f t="shared" si="0"/>
        <v>7.2</v>
      </c>
      <c r="BQ8">
        <f t="shared" si="0"/>
        <v>6.8</v>
      </c>
      <c r="BR8">
        <f t="shared" si="4"/>
        <v>6.1111111111111107</v>
      </c>
      <c r="BS8">
        <f t="shared" si="4"/>
        <v>6.125</v>
      </c>
      <c r="BT8">
        <f>AVERAGE(L8:U8)</f>
        <v>6</v>
      </c>
      <c r="BU8">
        <f t="shared" si="0"/>
        <v>5.8571428571428568</v>
      </c>
      <c r="BV8">
        <f t="shared" si="0"/>
        <v>6.1428571428571432</v>
      </c>
      <c r="BW8">
        <f t="shared" si="0"/>
        <v>7.5714285714285712</v>
      </c>
      <c r="BX8">
        <f t="shared" si="0"/>
        <v>10.714285714285714</v>
      </c>
      <c r="BY8">
        <f t="shared" si="0"/>
        <v>11.142857142857142</v>
      </c>
      <c r="BZ8">
        <f t="shared" si="0"/>
        <v>13</v>
      </c>
      <c r="CA8">
        <f t="shared" si="0"/>
        <v>16.285714285714285</v>
      </c>
      <c r="CB8">
        <f t="shared" si="0"/>
        <v>17</v>
      </c>
      <c r="CC8">
        <f t="shared" si="0"/>
        <v>17.777777777777779</v>
      </c>
      <c r="CD8">
        <f t="shared" si="0"/>
        <v>20</v>
      </c>
      <c r="CE8">
        <f t="shared" si="0"/>
        <v>22.3</v>
      </c>
      <c r="CF8">
        <f t="shared" si="5"/>
        <v>22.9</v>
      </c>
      <c r="CG8">
        <f t="shared" si="6"/>
        <v>22.4</v>
      </c>
      <c r="CH8">
        <f t="shared" si="7"/>
        <v>21</v>
      </c>
      <c r="CI8">
        <f t="shared" si="8"/>
        <v>22.111111111111111</v>
      </c>
      <c r="CJ8">
        <f t="shared" si="9"/>
        <v>22.375</v>
      </c>
      <c r="CK8">
        <f t="shared" si="10"/>
        <v>21.857142857142858</v>
      </c>
      <c r="CL8">
        <f t="shared" si="11"/>
        <v>21.833333333333332</v>
      </c>
      <c r="CM8">
        <f t="shared" si="12"/>
        <v>21.4</v>
      </c>
      <c r="CN8">
        <f t="shared" si="13"/>
        <v>20.75</v>
      </c>
      <c r="CO8">
        <f t="shared" si="14"/>
        <v>13.333333333333334</v>
      </c>
      <c r="CP8">
        <f t="shared" si="15"/>
        <v>11.5</v>
      </c>
      <c r="CQ8">
        <f t="shared" si="16"/>
        <v>13</v>
      </c>
      <c r="CR8" t="e">
        <f t="shared" si="17"/>
        <v>#DIV/0!</v>
      </c>
      <c r="CS8" t="e">
        <f t="shared" si="18"/>
        <v>#DIV/0!</v>
      </c>
      <c r="CT8" t="e">
        <f t="shared" si="19"/>
        <v>#DIV/0!</v>
      </c>
      <c r="CU8" t="e">
        <f t="shared" si="20"/>
        <v>#DIV/0!</v>
      </c>
      <c r="CV8" t="e">
        <f t="shared" si="21"/>
        <v>#DIV/0!</v>
      </c>
      <c r="CW8" t="e">
        <f t="shared" si="22"/>
        <v>#DIV/0!</v>
      </c>
      <c r="CX8" t="e">
        <f t="shared" si="23"/>
        <v>#DIV/0!</v>
      </c>
      <c r="CY8" t="e">
        <f t="shared" si="24"/>
        <v>#DIV/0!</v>
      </c>
      <c r="CZ8" t="e">
        <f t="shared" si="25"/>
        <v>#N/A</v>
      </c>
      <c r="DA8" t="e">
        <f t="shared" si="26"/>
        <v>#N/A</v>
      </c>
      <c r="DB8" t="e">
        <f t="shared" si="27"/>
        <v>#N/A</v>
      </c>
      <c r="DC8" t="e">
        <f t="shared" si="28"/>
        <v>#N/A</v>
      </c>
      <c r="DD8" t="e">
        <f t="shared" si="29"/>
        <v>#N/A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>
        <v>33</v>
      </c>
      <c r="F9" s="16">
        <v>36</v>
      </c>
      <c r="G9" s="16">
        <v>47</v>
      </c>
      <c r="H9" s="16">
        <v>56</v>
      </c>
      <c r="I9" s="16">
        <v>13</v>
      </c>
      <c r="J9" s="16">
        <v>28</v>
      </c>
      <c r="K9" s="16">
        <v>23</v>
      </c>
      <c r="L9" s="16">
        <v>29</v>
      </c>
      <c r="M9" s="16">
        <v>26</v>
      </c>
      <c r="N9" s="16">
        <v>13</v>
      </c>
      <c r="O9" s="16">
        <v>52</v>
      </c>
      <c r="P9" s="16">
        <v>147</v>
      </c>
      <c r="Q9" s="16">
        <v>17</v>
      </c>
      <c r="R9" s="16">
        <v>15</v>
      </c>
      <c r="S9" s="16"/>
      <c r="T9" s="16"/>
      <c r="U9" s="17">
        <v>14</v>
      </c>
      <c r="V9" s="17"/>
      <c r="W9" s="17">
        <v>38</v>
      </c>
      <c r="X9" s="17">
        <v>28</v>
      </c>
      <c r="Y9" s="17">
        <v>13</v>
      </c>
      <c r="Z9" s="17">
        <v>39</v>
      </c>
      <c r="AA9" s="17">
        <v>18</v>
      </c>
      <c r="AB9" s="17">
        <v>17</v>
      </c>
      <c r="AC9" s="17">
        <v>30</v>
      </c>
      <c r="AD9" s="17">
        <v>35</v>
      </c>
      <c r="AE9" s="76">
        <f t="shared" si="1"/>
        <v>27.333333333333332</v>
      </c>
      <c r="AF9" s="10">
        <v>25</v>
      </c>
      <c r="AG9" s="10">
        <v>35</v>
      </c>
      <c r="AH9" s="10">
        <f>4+(1+2+1+2+2+2+2+1+2+1+1+3+1)</f>
        <v>25</v>
      </c>
      <c r="AI9" s="10">
        <f>(1+2+1+10+1+2)</f>
        <v>17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2"/>
        <v>33.714285714285715</v>
      </c>
      <c r="BK9">
        <f t="shared" si="0"/>
        <v>33.125</v>
      </c>
      <c r="BL9">
        <f t="shared" si="3"/>
        <v>32.333333333333336</v>
      </c>
      <c r="BM9">
        <f t="shared" si="0"/>
        <v>30.4</v>
      </c>
      <c r="BN9">
        <f t="shared" si="0"/>
        <v>32.299999999999997</v>
      </c>
      <c r="BO9">
        <f t="shared" si="0"/>
        <v>43.4</v>
      </c>
      <c r="BP9">
        <f t="shared" si="0"/>
        <v>40.4</v>
      </c>
      <c r="BQ9">
        <f t="shared" si="0"/>
        <v>36.299999999999997</v>
      </c>
      <c r="BR9">
        <f t="shared" si="4"/>
        <v>38.888888888888886</v>
      </c>
      <c r="BS9">
        <f t="shared" si="4"/>
        <v>40.25</v>
      </c>
      <c r="BT9">
        <f t="shared" si="0"/>
        <v>39.125</v>
      </c>
      <c r="BU9">
        <f t="shared" si="0"/>
        <v>40.571428571428569</v>
      </c>
      <c r="BV9">
        <f t="shared" si="0"/>
        <v>42.285714285714285</v>
      </c>
      <c r="BW9">
        <f t="shared" si="0"/>
        <v>44.428571428571431</v>
      </c>
      <c r="BX9">
        <f t="shared" si="0"/>
        <v>38.857142857142854</v>
      </c>
      <c r="BY9">
        <f t="shared" si="0"/>
        <v>23.428571428571427</v>
      </c>
      <c r="BZ9">
        <f t="shared" si="0"/>
        <v>23.571428571428573</v>
      </c>
      <c r="CA9">
        <f t="shared" si="0"/>
        <v>23.857142857142858</v>
      </c>
      <c r="CB9">
        <f t="shared" si="0"/>
        <v>24.625</v>
      </c>
      <c r="CC9">
        <f t="shared" si="0"/>
        <v>25.777777777777779</v>
      </c>
      <c r="CD9">
        <f t="shared" si="0"/>
        <v>27.25925925925926</v>
      </c>
      <c r="CE9">
        <f t="shared" si="0"/>
        <v>27.033333333333339</v>
      </c>
      <c r="CF9">
        <f t="shared" si="5"/>
        <v>26.733333333333338</v>
      </c>
      <c r="CG9">
        <f t="shared" si="6"/>
        <v>26.433333333333337</v>
      </c>
      <c r="CH9">
        <f t="shared" si="7"/>
        <v>26.833333333333336</v>
      </c>
      <c r="CI9">
        <f t="shared" si="8"/>
        <v>25.481481481481481</v>
      </c>
      <c r="CJ9">
        <f t="shared" si="9"/>
        <v>26.416666666666664</v>
      </c>
      <c r="CK9">
        <f t="shared" si="10"/>
        <v>27.761904761904759</v>
      </c>
      <c r="CL9">
        <f t="shared" si="11"/>
        <v>27.388888888888886</v>
      </c>
      <c r="CM9">
        <f t="shared" si="12"/>
        <v>25.866666666666664</v>
      </c>
      <c r="CN9">
        <f t="shared" si="13"/>
        <v>25.5</v>
      </c>
      <c r="CO9">
        <f t="shared" si="14"/>
        <v>25.666666666666668</v>
      </c>
      <c r="CP9">
        <f t="shared" si="15"/>
        <v>21</v>
      </c>
      <c r="CQ9">
        <f t="shared" si="16"/>
        <v>17</v>
      </c>
      <c r="CR9" t="e">
        <f t="shared" si="17"/>
        <v>#DIV/0!</v>
      </c>
      <c r="CS9" t="e">
        <f t="shared" si="18"/>
        <v>#DIV/0!</v>
      </c>
      <c r="CT9" t="e">
        <f t="shared" si="19"/>
        <v>#DIV/0!</v>
      </c>
      <c r="CU9" t="e">
        <f t="shared" si="20"/>
        <v>#DIV/0!</v>
      </c>
      <c r="CV9" t="e">
        <f t="shared" si="21"/>
        <v>#DIV/0!</v>
      </c>
      <c r="CW9" t="e">
        <f t="shared" si="22"/>
        <v>#DIV/0!</v>
      </c>
      <c r="CX9" t="e">
        <f t="shared" si="23"/>
        <v>#DIV/0!</v>
      </c>
      <c r="CY9" t="e">
        <f t="shared" si="24"/>
        <v>#DIV/0!</v>
      </c>
      <c r="CZ9" t="e">
        <f t="shared" si="25"/>
        <v>#N/A</v>
      </c>
      <c r="DA9" t="e">
        <f t="shared" si="26"/>
        <v>#N/A</v>
      </c>
      <c r="DB9" t="e">
        <f t="shared" si="27"/>
        <v>#N/A</v>
      </c>
      <c r="DC9" t="e">
        <f t="shared" si="28"/>
        <v>#N/A</v>
      </c>
      <c r="DD9" t="e">
        <f t="shared" si="29"/>
        <v>#N/A</v>
      </c>
    </row>
    <row r="10" spans="1:108" ht="20" customHeight="1" x14ac:dyDescent="0.2">
      <c r="A10" s="7" t="s">
        <v>5</v>
      </c>
      <c r="B10" s="14"/>
      <c r="C10" s="14"/>
      <c r="D10" s="14"/>
      <c r="E10" s="14">
        <v>37</v>
      </c>
      <c r="F10" s="14">
        <v>22</v>
      </c>
      <c r="G10" s="14">
        <v>26</v>
      </c>
      <c r="H10" s="14">
        <v>17</v>
      </c>
      <c r="I10" s="14">
        <v>34</v>
      </c>
      <c r="J10" s="14">
        <v>34</v>
      </c>
      <c r="K10" s="14">
        <v>15</v>
      </c>
      <c r="L10" s="14">
        <v>24</v>
      </c>
      <c r="M10" s="14">
        <v>38</v>
      </c>
      <c r="N10" s="14">
        <v>14</v>
      </c>
      <c r="O10" s="14">
        <v>6</v>
      </c>
      <c r="P10" s="14">
        <v>5</v>
      </c>
      <c r="Q10" s="14">
        <v>6</v>
      </c>
      <c r="R10" s="14">
        <v>20</v>
      </c>
      <c r="S10" s="14"/>
      <c r="T10" s="14"/>
      <c r="U10" s="15">
        <v>15</v>
      </c>
      <c r="V10" s="15"/>
      <c r="W10" s="15">
        <v>32</v>
      </c>
      <c r="X10" s="15">
        <v>7</v>
      </c>
      <c r="Y10" s="15">
        <v>16</v>
      </c>
      <c r="Z10" s="15">
        <v>14</v>
      </c>
      <c r="AA10" s="15">
        <v>22</v>
      </c>
      <c r="AB10" s="15">
        <v>24</v>
      </c>
      <c r="AC10" s="15">
        <v>40</v>
      </c>
      <c r="AD10" s="15">
        <v>49</v>
      </c>
      <c r="AE10" s="76">
        <f t="shared" si="1"/>
        <v>37.666666666666664</v>
      </c>
      <c r="AF10" s="124">
        <v>21</v>
      </c>
      <c r="AG10" s="124">
        <v>27</v>
      </c>
      <c r="AH10" s="124">
        <f>(1+1+4+1+2+6+1)+(2+1+2+2+2+2+2+12+1+2+3+2)</f>
        <v>49</v>
      </c>
      <c r="AI10" s="124">
        <f>(2+2+1+2+2+3)+(1+2+2+3)</f>
        <v>20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2"/>
        <v>26.428571428571427</v>
      </c>
      <c r="BK10">
        <f t="shared" si="0"/>
        <v>26.125</v>
      </c>
      <c r="BL10">
        <f t="shared" si="3"/>
        <v>27.444444444444443</v>
      </c>
      <c r="BM10">
        <f t="shared" si="0"/>
        <v>26.1</v>
      </c>
      <c r="BN10">
        <f t="shared" si="0"/>
        <v>23</v>
      </c>
      <c r="BO10">
        <f t="shared" si="0"/>
        <v>21.3</v>
      </c>
      <c r="BP10">
        <f t="shared" si="0"/>
        <v>19.3</v>
      </c>
      <c r="BQ10">
        <f t="shared" si="0"/>
        <v>19.600000000000001</v>
      </c>
      <c r="BR10">
        <f t="shared" si="4"/>
        <v>18</v>
      </c>
      <c r="BS10">
        <f t="shared" si="4"/>
        <v>16</v>
      </c>
      <c r="BT10">
        <f t="shared" si="0"/>
        <v>16</v>
      </c>
      <c r="BU10">
        <f t="shared" si="0"/>
        <v>14.857142857142858</v>
      </c>
      <c r="BV10">
        <f t="shared" si="0"/>
        <v>14</v>
      </c>
      <c r="BW10">
        <f t="shared" si="0"/>
        <v>13</v>
      </c>
      <c r="BX10">
        <f t="shared" si="0"/>
        <v>14.428571428571429</v>
      </c>
      <c r="BY10">
        <f t="shared" si="0"/>
        <v>15.714285714285714</v>
      </c>
      <c r="BZ10">
        <f t="shared" si="0"/>
        <v>18</v>
      </c>
      <c r="CA10">
        <f t="shared" si="0"/>
        <v>18.571428571428573</v>
      </c>
      <c r="CB10">
        <f t="shared" si="0"/>
        <v>21.25</v>
      </c>
      <c r="CC10">
        <f t="shared" si="0"/>
        <v>24.333333333333332</v>
      </c>
      <c r="CD10">
        <f t="shared" si="0"/>
        <v>26.851851851851851</v>
      </c>
      <c r="CE10">
        <f t="shared" si="0"/>
        <v>26.266666666666662</v>
      </c>
      <c r="CF10">
        <f t="shared" si="5"/>
        <v>25.766666666666662</v>
      </c>
      <c r="CG10">
        <f t="shared" si="6"/>
        <v>29.966666666666661</v>
      </c>
      <c r="CH10">
        <f t="shared" si="7"/>
        <v>30.366666666666664</v>
      </c>
      <c r="CI10">
        <f t="shared" si="8"/>
        <v>32.185185185185183</v>
      </c>
      <c r="CJ10">
        <f t="shared" si="9"/>
        <v>33.458333333333329</v>
      </c>
      <c r="CK10">
        <f t="shared" si="10"/>
        <v>34.80952380952381</v>
      </c>
      <c r="CL10">
        <f t="shared" si="11"/>
        <v>33.944444444444443</v>
      </c>
      <c r="CM10">
        <f t="shared" si="12"/>
        <v>30.93333333333333</v>
      </c>
      <c r="CN10">
        <f t="shared" si="13"/>
        <v>29.25</v>
      </c>
      <c r="CO10">
        <f t="shared" si="14"/>
        <v>32</v>
      </c>
      <c r="CP10">
        <f t="shared" si="15"/>
        <v>34.5</v>
      </c>
      <c r="CQ10">
        <f t="shared" si="16"/>
        <v>20</v>
      </c>
      <c r="CR10" t="e">
        <f t="shared" si="17"/>
        <v>#DIV/0!</v>
      </c>
      <c r="CS10" t="e">
        <f t="shared" si="18"/>
        <v>#DIV/0!</v>
      </c>
      <c r="CT10" t="e">
        <f t="shared" si="19"/>
        <v>#DIV/0!</v>
      </c>
      <c r="CU10" t="e">
        <f t="shared" si="20"/>
        <v>#DIV/0!</v>
      </c>
      <c r="CV10" t="e">
        <f t="shared" si="21"/>
        <v>#DIV/0!</v>
      </c>
      <c r="CW10" t="e">
        <f t="shared" si="22"/>
        <v>#DIV/0!</v>
      </c>
      <c r="CX10" t="e">
        <f t="shared" si="23"/>
        <v>#DIV/0!</v>
      </c>
      <c r="CY10" t="e">
        <f t="shared" si="24"/>
        <v>#DIV/0!</v>
      </c>
      <c r="CZ10" t="e">
        <f t="shared" si="25"/>
        <v>#N/A</v>
      </c>
      <c r="DA10" t="e">
        <f t="shared" si="26"/>
        <v>#N/A</v>
      </c>
      <c r="DB10" t="e">
        <f t="shared" si="27"/>
        <v>#N/A</v>
      </c>
      <c r="DC10" t="e">
        <f t="shared" si="28"/>
        <v>#N/A</v>
      </c>
      <c r="DD10" t="e">
        <f t="shared" si="29"/>
        <v>#N/A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>
        <v>58</v>
      </c>
      <c r="F11" s="16">
        <v>95</v>
      </c>
      <c r="G11" s="16">
        <v>84</v>
      </c>
      <c r="H11" s="16">
        <v>49</v>
      </c>
      <c r="I11" s="16">
        <v>98</v>
      </c>
      <c r="J11" s="16">
        <v>87</v>
      </c>
      <c r="K11" s="16">
        <v>94</v>
      </c>
      <c r="L11" s="16">
        <v>60</v>
      </c>
      <c r="M11" s="16">
        <v>30</v>
      </c>
      <c r="N11" s="16">
        <v>43</v>
      </c>
      <c r="O11" s="16">
        <v>41</v>
      </c>
      <c r="P11" s="16">
        <v>35</v>
      </c>
      <c r="Q11" s="16">
        <v>22</v>
      </c>
      <c r="R11" s="16">
        <v>14</v>
      </c>
      <c r="S11" s="16"/>
      <c r="T11" s="16"/>
      <c r="U11" s="17">
        <v>18</v>
      </c>
      <c r="V11" s="17"/>
      <c r="W11" s="17">
        <v>34</v>
      </c>
      <c r="X11" s="17">
        <v>12</v>
      </c>
      <c r="Y11" s="17">
        <v>28</v>
      </c>
      <c r="Z11" s="17">
        <v>21</v>
      </c>
      <c r="AA11" s="17">
        <v>23</v>
      </c>
      <c r="AB11" s="17">
        <v>32</v>
      </c>
      <c r="AC11" s="17">
        <v>36</v>
      </c>
      <c r="AD11" s="17">
        <v>35</v>
      </c>
      <c r="AE11" s="76">
        <f t="shared" ref="AE11" si="31">AVERAGE(AB11:AD11)</f>
        <v>34.333333333333336</v>
      </c>
      <c r="AF11" s="10">
        <v>60</v>
      </c>
      <c r="AG11" s="10">
        <f>9+27</f>
        <v>36</v>
      </c>
      <c r="AH11" s="10">
        <f>(7+1+1+1+1+2+2)+(2+3+1+1)</f>
        <v>22</v>
      </c>
      <c r="AI11" s="10">
        <f>(2+1+1+2+7+2+2+8+2+1+1+2+2+2+1)+(2+1+2+2+2+1)</f>
        <v>46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2"/>
        <v>80.714285714285708</v>
      </c>
      <c r="BK11">
        <f t="shared" si="0"/>
        <v>78.125</v>
      </c>
      <c r="BL11">
        <f t="shared" si="3"/>
        <v>72.777777777777771</v>
      </c>
      <c r="BM11">
        <f t="shared" si="0"/>
        <v>69.8</v>
      </c>
      <c r="BN11">
        <f t="shared" si="0"/>
        <v>68.099999999999994</v>
      </c>
      <c r="BO11">
        <f t="shared" si="0"/>
        <v>62.1</v>
      </c>
      <c r="BP11">
        <f t="shared" si="0"/>
        <v>55.9</v>
      </c>
      <c r="BQ11">
        <f t="shared" si="0"/>
        <v>52.4</v>
      </c>
      <c r="BR11">
        <f t="shared" si="4"/>
        <v>47.333333333333336</v>
      </c>
      <c r="BS11">
        <f t="shared" si="4"/>
        <v>42.375</v>
      </c>
      <c r="BT11">
        <f t="shared" si="0"/>
        <v>32.875</v>
      </c>
      <c r="BU11">
        <f t="shared" si="0"/>
        <v>29</v>
      </c>
      <c r="BV11">
        <f t="shared" si="0"/>
        <v>29.571428571428573</v>
      </c>
      <c r="BW11">
        <f t="shared" si="0"/>
        <v>25.142857142857142</v>
      </c>
      <c r="BX11">
        <f t="shared" si="0"/>
        <v>23.285714285714285</v>
      </c>
      <c r="BY11">
        <f t="shared" si="0"/>
        <v>21.285714285714285</v>
      </c>
      <c r="BZ11">
        <f t="shared" si="0"/>
        <v>21.428571428571427</v>
      </c>
      <c r="CA11">
        <f t="shared" si="0"/>
        <v>24</v>
      </c>
      <c r="CB11">
        <f t="shared" si="0"/>
        <v>25.5</v>
      </c>
      <c r="CC11">
        <f t="shared" si="0"/>
        <v>26.555555555555557</v>
      </c>
      <c r="CD11">
        <f t="shared" si="0"/>
        <v>28.37037037037037</v>
      </c>
      <c r="CE11">
        <f t="shared" si="0"/>
        <v>31.533333333333339</v>
      </c>
      <c r="CF11">
        <f t="shared" si="5"/>
        <v>31.733333333333338</v>
      </c>
      <c r="CG11">
        <f t="shared" si="6"/>
        <v>32.733333333333334</v>
      </c>
      <c r="CH11">
        <f t="shared" si="7"/>
        <v>34.533333333333339</v>
      </c>
      <c r="CI11">
        <f t="shared" si="8"/>
        <v>36.037037037037038</v>
      </c>
      <c r="CJ11">
        <f t="shared" si="9"/>
        <v>37.666666666666671</v>
      </c>
      <c r="CK11">
        <f t="shared" si="10"/>
        <v>38.476190476190482</v>
      </c>
      <c r="CL11">
        <f t="shared" si="11"/>
        <v>38.888888888888893</v>
      </c>
      <c r="CM11">
        <f t="shared" si="12"/>
        <v>39.666666666666671</v>
      </c>
      <c r="CN11">
        <f t="shared" si="13"/>
        <v>41</v>
      </c>
      <c r="CO11">
        <f t="shared" si="14"/>
        <v>34.666666666666664</v>
      </c>
      <c r="CP11">
        <f t="shared" si="15"/>
        <v>34</v>
      </c>
      <c r="CQ11">
        <f t="shared" si="16"/>
        <v>46</v>
      </c>
      <c r="CR11" t="e">
        <f t="shared" si="17"/>
        <v>#DIV/0!</v>
      </c>
      <c r="CS11" t="e">
        <f t="shared" si="18"/>
        <v>#DIV/0!</v>
      </c>
      <c r="CT11" t="e">
        <f t="shared" si="19"/>
        <v>#DIV/0!</v>
      </c>
      <c r="CU11" t="e">
        <f t="shared" si="20"/>
        <v>#DIV/0!</v>
      </c>
      <c r="CV11" t="e">
        <f t="shared" si="21"/>
        <v>#DIV/0!</v>
      </c>
      <c r="CW11" t="e">
        <f t="shared" si="22"/>
        <v>#DIV/0!</v>
      </c>
      <c r="CX11" t="e">
        <f t="shared" si="23"/>
        <v>#DIV/0!</v>
      </c>
      <c r="CY11" t="e">
        <f t="shared" si="24"/>
        <v>#DIV/0!</v>
      </c>
      <c r="CZ11" t="e">
        <f t="shared" si="25"/>
        <v>#N/A</v>
      </c>
      <c r="DA11" t="e">
        <f t="shared" si="26"/>
        <v>#N/A</v>
      </c>
      <c r="DB11" t="e">
        <f t="shared" si="27"/>
        <v>#N/A</v>
      </c>
      <c r="DC11" t="e">
        <f t="shared" si="28"/>
        <v>#N/A</v>
      </c>
      <c r="DD11" t="e">
        <f t="shared" si="29"/>
        <v>#N/A</v>
      </c>
    </row>
    <row r="12" spans="1:108" ht="20" customHeight="1" x14ac:dyDescent="0.2">
      <c r="A12" s="7" t="s">
        <v>7</v>
      </c>
      <c r="B12" s="14"/>
      <c r="C12" s="14"/>
      <c r="D12" s="14"/>
      <c r="E12" s="14">
        <v>56</v>
      </c>
      <c r="F12" s="14">
        <v>89</v>
      </c>
      <c r="G12" s="14">
        <v>71</v>
      </c>
      <c r="H12" s="14">
        <v>62</v>
      </c>
      <c r="I12" s="14">
        <v>34</v>
      </c>
      <c r="J12" s="14">
        <v>14</v>
      </c>
      <c r="K12" s="14">
        <v>14</v>
      </c>
      <c r="L12" s="14">
        <v>23</v>
      </c>
      <c r="M12" s="14">
        <v>34</v>
      </c>
      <c r="N12" s="14">
        <v>33</v>
      </c>
      <c r="O12" s="14">
        <v>22</v>
      </c>
      <c r="P12" s="14">
        <v>27</v>
      </c>
      <c r="Q12" s="14">
        <v>24</v>
      </c>
      <c r="R12" s="14">
        <v>33</v>
      </c>
      <c r="S12" s="14"/>
      <c r="T12" s="14"/>
      <c r="U12" s="15">
        <v>15</v>
      </c>
      <c r="V12" s="15"/>
      <c r="W12" s="15">
        <v>23</v>
      </c>
      <c r="X12" s="15">
        <v>44</v>
      </c>
      <c r="Y12" s="15">
        <v>49</v>
      </c>
      <c r="Z12" s="15">
        <v>28</v>
      </c>
      <c r="AA12" s="15">
        <v>37</v>
      </c>
      <c r="AB12" s="15">
        <v>32</v>
      </c>
      <c r="AC12" s="15">
        <v>42</v>
      </c>
      <c r="AD12" s="15">
        <v>66</v>
      </c>
      <c r="AE12" s="76">
        <f t="shared" si="1"/>
        <v>46.666666666666664</v>
      </c>
      <c r="AF12" s="124">
        <v>21</v>
      </c>
      <c r="AG12" s="124">
        <f>10+36</f>
        <v>46</v>
      </c>
      <c r="AH12" s="124">
        <f>(1+1+1+1+4+2+1+2+1+4+2+1+1)</f>
        <v>22</v>
      </c>
      <c r="AI12" s="124">
        <f>(2+1+1+2+2+2+2+1+3)+(1+2+2+3+2+1+1+2+1+1+1)</f>
        <v>33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2"/>
        <v>48.571428571428569</v>
      </c>
      <c r="BK12">
        <f t="shared" si="0"/>
        <v>45.375</v>
      </c>
      <c r="BL12">
        <f t="shared" si="3"/>
        <v>44.111111111111114</v>
      </c>
      <c r="BM12">
        <f t="shared" si="0"/>
        <v>43</v>
      </c>
      <c r="BN12">
        <f t="shared" si="0"/>
        <v>39.6</v>
      </c>
      <c r="BO12">
        <f t="shared" si="0"/>
        <v>33.4</v>
      </c>
      <c r="BP12">
        <f t="shared" si="0"/>
        <v>28.7</v>
      </c>
      <c r="BQ12">
        <f t="shared" si="0"/>
        <v>25.8</v>
      </c>
      <c r="BR12">
        <f t="shared" si="4"/>
        <v>24.888888888888889</v>
      </c>
      <c r="BS12">
        <f t="shared" si="4"/>
        <v>26.25</v>
      </c>
      <c r="BT12">
        <f t="shared" si="0"/>
        <v>26.375</v>
      </c>
      <c r="BU12">
        <f t="shared" si="0"/>
        <v>26.857142857142858</v>
      </c>
      <c r="BV12">
        <f t="shared" si="0"/>
        <v>25.285714285714285</v>
      </c>
      <c r="BW12">
        <f t="shared" si="0"/>
        <v>26.857142857142858</v>
      </c>
      <c r="BX12">
        <f t="shared" si="0"/>
        <v>30.714285714285715</v>
      </c>
      <c r="BY12">
        <f t="shared" si="0"/>
        <v>30.857142857142858</v>
      </c>
      <c r="BZ12">
        <f t="shared" si="0"/>
        <v>32.714285714285715</v>
      </c>
      <c r="CA12">
        <f t="shared" si="0"/>
        <v>32.571428571428569</v>
      </c>
      <c r="CB12">
        <f t="shared" si="0"/>
        <v>33.75</v>
      </c>
      <c r="CC12">
        <f t="shared" si="0"/>
        <v>37.333333333333336</v>
      </c>
      <c r="CD12">
        <f t="shared" si="0"/>
        <v>40.851851851851855</v>
      </c>
      <c r="CE12">
        <f t="shared" si="0"/>
        <v>38.866666666666667</v>
      </c>
      <c r="CF12">
        <f t="shared" si="5"/>
        <v>41.166666666666671</v>
      </c>
      <c r="CG12">
        <f t="shared" si="6"/>
        <v>38.966666666666669</v>
      </c>
      <c r="CH12">
        <f t="shared" si="7"/>
        <v>37.36666666666666</v>
      </c>
      <c r="CI12">
        <f t="shared" si="8"/>
        <v>38.407407407407405</v>
      </c>
      <c r="CJ12">
        <f t="shared" si="9"/>
        <v>38.583333333333329</v>
      </c>
      <c r="CK12">
        <f t="shared" si="10"/>
        <v>39.523809523809518</v>
      </c>
      <c r="CL12">
        <f t="shared" si="11"/>
        <v>39.111111111111107</v>
      </c>
      <c r="CM12">
        <f t="shared" si="12"/>
        <v>33.733333333333334</v>
      </c>
      <c r="CN12">
        <f t="shared" si="13"/>
        <v>30.5</v>
      </c>
      <c r="CO12">
        <f t="shared" si="14"/>
        <v>33.666666666666664</v>
      </c>
      <c r="CP12">
        <f t="shared" si="15"/>
        <v>27.5</v>
      </c>
      <c r="CQ12">
        <f t="shared" si="16"/>
        <v>33</v>
      </c>
      <c r="CR12" t="e">
        <f t="shared" si="17"/>
        <v>#DIV/0!</v>
      </c>
      <c r="CS12" t="e">
        <f t="shared" si="18"/>
        <v>#DIV/0!</v>
      </c>
      <c r="CT12" t="e">
        <f t="shared" si="19"/>
        <v>#DIV/0!</v>
      </c>
      <c r="CU12" t="e">
        <f t="shared" si="20"/>
        <v>#DIV/0!</v>
      </c>
      <c r="CV12" t="e">
        <f t="shared" si="21"/>
        <v>#DIV/0!</v>
      </c>
      <c r="CW12" t="e">
        <f t="shared" si="22"/>
        <v>#DIV/0!</v>
      </c>
      <c r="CX12" t="e">
        <f t="shared" si="23"/>
        <v>#DIV/0!</v>
      </c>
      <c r="CY12" t="e">
        <f t="shared" si="24"/>
        <v>#DIV/0!</v>
      </c>
      <c r="CZ12" t="e">
        <f t="shared" si="25"/>
        <v>#N/A</v>
      </c>
      <c r="DA12" t="e">
        <f t="shared" si="26"/>
        <v>#N/A</v>
      </c>
      <c r="DB12" t="e">
        <f t="shared" si="27"/>
        <v>#N/A</v>
      </c>
      <c r="DC12" t="e">
        <f t="shared" si="28"/>
        <v>#N/A</v>
      </c>
      <c r="DD12" t="e">
        <f t="shared" si="29"/>
        <v>#N/A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>
        <v>75</v>
      </c>
      <c r="F13" s="16">
        <v>88</v>
      </c>
      <c r="G13" s="16">
        <v>18</v>
      </c>
      <c r="H13" s="16">
        <v>7</v>
      </c>
      <c r="I13" s="16">
        <v>34</v>
      </c>
      <c r="J13" s="16">
        <v>17</v>
      </c>
      <c r="K13" s="16">
        <v>22</v>
      </c>
      <c r="L13" s="16">
        <v>28</v>
      </c>
      <c r="M13" s="16">
        <v>18</v>
      </c>
      <c r="N13" s="16">
        <v>11</v>
      </c>
      <c r="O13" s="16">
        <v>13</v>
      </c>
      <c r="P13" s="16">
        <v>14</v>
      </c>
      <c r="Q13" s="16">
        <v>12</v>
      </c>
      <c r="R13" s="16">
        <v>20</v>
      </c>
      <c r="S13" s="16"/>
      <c r="T13" s="16"/>
      <c r="U13" s="17">
        <v>9</v>
      </c>
      <c r="V13" s="17"/>
      <c r="W13" s="17">
        <v>38</v>
      </c>
      <c r="X13" s="17">
        <v>13</v>
      </c>
      <c r="Y13" s="17">
        <v>24</v>
      </c>
      <c r="Z13" s="17">
        <v>16</v>
      </c>
      <c r="AA13" s="17">
        <v>28</v>
      </c>
      <c r="AB13" s="17">
        <v>21</v>
      </c>
      <c r="AC13" s="17">
        <v>29</v>
      </c>
      <c r="AD13" s="17">
        <v>25</v>
      </c>
      <c r="AE13" s="76">
        <f t="shared" si="1"/>
        <v>25</v>
      </c>
      <c r="AF13" s="10">
        <v>40</v>
      </c>
      <c r="AG13" s="10">
        <f>7+12</f>
        <v>19</v>
      </c>
      <c r="AH13" s="10">
        <f>(8+2+2+1+3+2+2+2)</f>
        <v>22</v>
      </c>
      <c r="AI13" s="10">
        <f>(1)+(1+2+2+3+1)+(2+2)</f>
        <v>14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2"/>
        <v>37.285714285714285</v>
      </c>
      <c r="BK13">
        <f t="shared" si="0"/>
        <v>36.125</v>
      </c>
      <c r="BL13">
        <f t="shared" si="3"/>
        <v>34.111111111111114</v>
      </c>
      <c r="BM13">
        <f t="shared" si="0"/>
        <v>31.8</v>
      </c>
      <c r="BN13">
        <f t="shared" si="0"/>
        <v>25.6</v>
      </c>
      <c r="BO13">
        <f t="shared" si="0"/>
        <v>18.2</v>
      </c>
      <c r="BP13">
        <f t="shared" si="0"/>
        <v>17.600000000000001</v>
      </c>
      <c r="BQ13">
        <f t="shared" si="0"/>
        <v>18.899999999999999</v>
      </c>
      <c r="BR13">
        <f t="shared" si="4"/>
        <v>17.222222222222221</v>
      </c>
      <c r="BS13">
        <f t="shared" si="4"/>
        <v>17.25</v>
      </c>
      <c r="BT13">
        <f t="shared" si="0"/>
        <v>15.625</v>
      </c>
      <c r="BU13">
        <f t="shared" si="0"/>
        <v>13.857142857142858</v>
      </c>
      <c r="BV13">
        <f t="shared" si="0"/>
        <v>16.714285714285715</v>
      </c>
      <c r="BW13">
        <f t="shared" si="0"/>
        <v>17</v>
      </c>
      <c r="BX13">
        <f t="shared" si="0"/>
        <v>18.571428571428573</v>
      </c>
      <c r="BY13">
        <f t="shared" si="0"/>
        <v>18.857142857142858</v>
      </c>
      <c r="BZ13">
        <f t="shared" si="0"/>
        <v>21.142857142857142</v>
      </c>
      <c r="CA13">
        <f t="shared" si="0"/>
        <v>21.285714285714285</v>
      </c>
      <c r="CB13">
        <f t="shared" si="0"/>
        <v>22.25</v>
      </c>
      <c r="CC13">
        <f t="shared" si="0"/>
        <v>22.555555555555557</v>
      </c>
      <c r="CD13">
        <f t="shared" si="0"/>
        <v>24.333333333333332</v>
      </c>
      <c r="CE13">
        <f t="shared" si="0"/>
        <v>25.9</v>
      </c>
      <c r="CF13">
        <f t="shared" si="5"/>
        <v>24</v>
      </c>
      <c r="CG13">
        <f t="shared" si="6"/>
        <v>24.9</v>
      </c>
      <c r="CH13">
        <f t="shared" si="7"/>
        <v>23.9</v>
      </c>
      <c r="CI13">
        <f t="shared" si="8"/>
        <v>24.777777777777779</v>
      </c>
      <c r="CJ13">
        <f t="shared" si="9"/>
        <v>24.375</v>
      </c>
      <c r="CK13">
        <f t="shared" si="10"/>
        <v>24.857142857142858</v>
      </c>
      <c r="CL13">
        <f t="shared" si="11"/>
        <v>24.166666666666668</v>
      </c>
      <c r="CM13">
        <f t="shared" si="12"/>
        <v>24</v>
      </c>
      <c r="CN13">
        <f t="shared" si="13"/>
        <v>23.75</v>
      </c>
      <c r="CO13">
        <f t="shared" si="14"/>
        <v>18.333333333333332</v>
      </c>
      <c r="CP13">
        <f t="shared" si="15"/>
        <v>18</v>
      </c>
      <c r="CQ13">
        <f t="shared" si="16"/>
        <v>14</v>
      </c>
      <c r="CR13" t="e">
        <f t="shared" si="17"/>
        <v>#DIV/0!</v>
      </c>
      <c r="CS13" t="e">
        <f t="shared" si="18"/>
        <v>#DIV/0!</v>
      </c>
      <c r="CT13" t="e">
        <f t="shared" si="19"/>
        <v>#DIV/0!</v>
      </c>
      <c r="CU13" t="e">
        <f t="shared" si="20"/>
        <v>#DIV/0!</v>
      </c>
      <c r="CV13" t="e">
        <f t="shared" si="21"/>
        <v>#DIV/0!</v>
      </c>
      <c r="CW13" t="e">
        <f t="shared" si="22"/>
        <v>#DIV/0!</v>
      </c>
      <c r="CX13" t="e">
        <f t="shared" si="23"/>
        <v>#DIV/0!</v>
      </c>
      <c r="CY13" t="e">
        <f t="shared" si="24"/>
        <v>#DIV/0!</v>
      </c>
      <c r="CZ13" t="e">
        <f t="shared" si="25"/>
        <v>#N/A</v>
      </c>
      <c r="DA13" t="e">
        <f t="shared" si="26"/>
        <v>#N/A</v>
      </c>
      <c r="DB13" t="e">
        <f t="shared" si="27"/>
        <v>#N/A</v>
      </c>
      <c r="DC13" t="e">
        <f t="shared" si="28"/>
        <v>#N/A</v>
      </c>
      <c r="DD13" t="e">
        <f t="shared" si="29"/>
        <v>#N/A</v>
      </c>
    </row>
    <row r="14" spans="1:108" ht="20" customHeight="1" x14ac:dyDescent="0.2">
      <c r="A14" s="7" t="s">
        <v>9</v>
      </c>
      <c r="B14" s="14"/>
      <c r="C14" s="14"/>
      <c r="D14" s="14"/>
      <c r="E14" s="14">
        <v>50</v>
      </c>
      <c r="F14" s="14">
        <v>64</v>
      </c>
      <c r="G14" s="14">
        <v>18</v>
      </c>
      <c r="H14" s="14">
        <v>27</v>
      </c>
      <c r="I14" s="14">
        <v>11</v>
      </c>
      <c r="J14" s="14">
        <v>12</v>
      </c>
      <c r="K14" s="14">
        <v>44</v>
      </c>
      <c r="L14" s="14">
        <v>18</v>
      </c>
      <c r="M14" s="14">
        <v>39</v>
      </c>
      <c r="N14" s="14">
        <v>30</v>
      </c>
      <c r="O14" s="14">
        <v>53</v>
      </c>
      <c r="P14" s="14">
        <v>45</v>
      </c>
      <c r="Q14" s="14">
        <v>26</v>
      </c>
      <c r="R14" s="14">
        <v>11</v>
      </c>
      <c r="S14" s="14"/>
      <c r="T14" s="14"/>
      <c r="U14" s="15">
        <v>32</v>
      </c>
      <c r="V14" s="15"/>
      <c r="W14" s="15">
        <v>30</v>
      </c>
      <c r="X14" s="15">
        <v>14</v>
      </c>
      <c r="Y14" s="15">
        <v>10</v>
      </c>
      <c r="Z14" s="15">
        <v>17</v>
      </c>
      <c r="AA14" s="15">
        <v>32</v>
      </c>
      <c r="AB14" s="15">
        <v>18</v>
      </c>
      <c r="AC14" s="15">
        <v>18</v>
      </c>
      <c r="AD14" s="15">
        <v>50</v>
      </c>
      <c r="AE14" s="76">
        <f t="shared" ref="AE14" si="32">AVERAGE(AB14:AD14)</f>
        <v>28.666666666666668</v>
      </c>
      <c r="AF14" s="124">
        <v>39</v>
      </c>
      <c r="AG14" s="124">
        <f>20+20</f>
        <v>40</v>
      </c>
      <c r="AH14" s="124">
        <f>1+2+2+1+1+3</f>
        <v>10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2"/>
        <v>32.285714285714285</v>
      </c>
      <c r="BK14">
        <f t="shared" si="0"/>
        <v>30.5</v>
      </c>
      <c r="BL14">
        <f t="shared" si="3"/>
        <v>31.444444444444443</v>
      </c>
      <c r="BM14">
        <f t="shared" si="0"/>
        <v>31.3</v>
      </c>
      <c r="BN14">
        <f t="shared" si="0"/>
        <v>31.6</v>
      </c>
      <c r="BO14">
        <f t="shared" si="0"/>
        <v>29.7</v>
      </c>
      <c r="BP14">
        <f t="shared" si="0"/>
        <v>30.5</v>
      </c>
      <c r="BQ14">
        <f t="shared" si="0"/>
        <v>28.9</v>
      </c>
      <c r="BR14">
        <f t="shared" si="4"/>
        <v>30.888888888888889</v>
      </c>
      <c r="BS14">
        <f t="shared" si="4"/>
        <v>33.25</v>
      </c>
      <c r="BT14">
        <f t="shared" si="0"/>
        <v>31.75</v>
      </c>
      <c r="BU14">
        <f t="shared" si="0"/>
        <v>33.714285714285715</v>
      </c>
      <c r="BV14">
        <f t="shared" si="0"/>
        <v>32.428571428571431</v>
      </c>
      <c r="BW14">
        <f t="shared" si="0"/>
        <v>30.142857142857142</v>
      </c>
      <c r="BX14">
        <f t="shared" si="0"/>
        <v>24</v>
      </c>
      <c r="BY14">
        <f t="shared" si="0"/>
        <v>20</v>
      </c>
      <c r="BZ14">
        <f t="shared" si="0"/>
        <v>20.857142857142858</v>
      </c>
      <c r="CA14">
        <f t="shared" si="0"/>
        <v>21.857142857142858</v>
      </c>
      <c r="CB14">
        <f t="shared" si="0"/>
        <v>21.375</v>
      </c>
      <c r="CC14">
        <f t="shared" si="0"/>
        <v>24.555555555555557</v>
      </c>
      <c r="CD14">
        <f t="shared" si="0"/>
        <v>24.185185185185183</v>
      </c>
      <c r="CE14">
        <f t="shared" si="0"/>
        <v>25.666666666666664</v>
      </c>
      <c r="CF14">
        <f t="shared" si="5"/>
        <v>26.666666666666664</v>
      </c>
      <c r="CG14">
        <f t="shared" si="6"/>
        <v>26.266666666666662</v>
      </c>
      <c r="CH14">
        <f t="shared" si="7"/>
        <v>28.074074074074073</v>
      </c>
      <c r="CI14">
        <f t="shared" si="8"/>
        <v>29.458333333333332</v>
      </c>
      <c r="CJ14">
        <f t="shared" si="9"/>
        <v>29.095238095238098</v>
      </c>
      <c r="CK14">
        <f t="shared" si="10"/>
        <v>30.944444444444446</v>
      </c>
      <c r="CL14">
        <f t="shared" si="11"/>
        <v>33.533333333333339</v>
      </c>
      <c r="CM14">
        <f t="shared" si="12"/>
        <v>29.416666666666668</v>
      </c>
      <c r="CN14">
        <f t="shared" si="13"/>
        <v>29.666666666666668</v>
      </c>
      <c r="CO14">
        <f t="shared" si="14"/>
        <v>25</v>
      </c>
      <c r="CP14">
        <f t="shared" si="15"/>
        <v>10</v>
      </c>
      <c r="CQ14" t="e">
        <f t="shared" si="16"/>
        <v>#DIV/0!</v>
      </c>
      <c r="CR14" t="e">
        <f t="shared" si="17"/>
        <v>#DIV/0!</v>
      </c>
      <c r="CS14" t="e">
        <f t="shared" si="18"/>
        <v>#DIV/0!</v>
      </c>
      <c r="CT14" t="e">
        <f t="shared" si="19"/>
        <v>#DIV/0!</v>
      </c>
      <c r="CU14" t="e">
        <f t="shared" si="20"/>
        <v>#DIV/0!</v>
      </c>
      <c r="CV14" t="e">
        <f t="shared" si="21"/>
        <v>#DIV/0!</v>
      </c>
      <c r="CW14" t="e">
        <f t="shared" si="22"/>
        <v>#DIV/0!</v>
      </c>
      <c r="CX14" t="e">
        <f t="shared" si="23"/>
        <v>#DIV/0!</v>
      </c>
      <c r="CY14" t="e">
        <f t="shared" si="24"/>
        <v>#DIV/0!</v>
      </c>
      <c r="CZ14" t="e">
        <f t="shared" si="25"/>
        <v>#N/A</v>
      </c>
      <c r="DA14" t="e">
        <f t="shared" si="26"/>
        <v>#N/A</v>
      </c>
      <c r="DB14" t="e">
        <f t="shared" si="27"/>
        <v>#N/A</v>
      </c>
      <c r="DC14" t="e">
        <f t="shared" si="28"/>
        <v>#N/A</v>
      </c>
      <c r="DD14" t="e">
        <f t="shared" si="29"/>
        <v>#N/A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>
        <v>26</v>
      </c>
      <c r="F15" s="16">
        <v>18</v>
      </c>
      <c r="G15" s="16">
        <v>26</v>
      </c>
      <c r="H15" s="16">
        <v>24</v>
      </c>
      <c r="I15" s="16">
        <v>16</v>
      </c>
      <c r="J15" s="16">
        <v>9</v>
      </c>
      <c r="K15" s="16">
        <v>23</v>
      </c>
      <c r="L15" s="16">
        <v>23</v>
      </c>
      <c r="M15" s="16">
        <v>36</v>
      </c>
      <c r="N15" s="16">
        <v>3</v>
      </c>
      <c r="O15" s="16">
        <v>15</v>
      </c>
      <c r="P15" s="16">
        <v>16</v>
      </c>
      <c r="Q15" s="16">
        <v>9</v>
      </c>
      <c r="R15" s="16">
        <v>26</v>
      </c>
      <c r="S15" s="16"/>
      <c r="T15" s="16"/>
      <c r="U15" s="17">
        <v>6</v>
      </c>
      <c r="V15" s="17"/>
      <c r="W15" s="17">
        <v>17</v>
      </c>
      <c r="X15" s="17">
        <v>6</v>
      </c>
      <c r="Y15" s="17">
        <v>19</v>
      </c>
      <c r="Z15" s="17">
        <v>28</v>
      </c>
      <c r="AA15" s="17">
        <v>13</v>
      </c>
      <c r="AB15" s="17">
        <v>13</v>
      </c>
      <c r="AC15" s="17">
        <v>22</v>
      </c>
      <c r="AD15" s="17">
        <v>26</v>
      </c>
      <c r="AE15" s="76">
        <f t="shared" si="1"/>
        <v>20.333333333333332</v>
      </c>
      <c r="AF15" s="10">
        <v>37</v>
      </c>
      <c r="AG15" s="10">
        <f>30+7</f>
        <v>37</v>
      </c>
      <c r="AH15" s="10">
        <f>(2+1+4+3)+(2+2+3+3+3+2)</f>
        <v>25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2"/>
        <v>20.285714285714285</v>
      </c>
      <c r="BK15">
        <f t="shared" si="0"/>
        <v>20.625</v>
      </c>
      <c r="BL15">
        <f t="shared" si="3"/>
        <v>22.333333333333332</v>
      </c>
      <c r="BM15">
        <f t="shared" si="0"/>
        <v>20.399999999999999</v>
      </c>
      <c r="BN15">
        <f t="shared" si="0"/>
        <v>19.3</v>
      </c>
      <c r="BO15">
        <f t="shared" si="0"/>
        <v>19.100000000000001</v>
      </c>
      <c r="BP15">
        <f t="shared" si="0"/>
        <v>17.399999999999999</v>
      </c>
      <c r="BQ15">
        <f t="shared" si="0"/>
        <v>17.600000000000001</v>
      </c>
      <c r="BR15">
        <f t="shared" si="4"/>
        <v>17.777777777777779</v>
      </c>
      <c r="BS15">
        <f t="shared" si="4"/>
        <v>18.875</v>
      </c>
      <c r="BT15">
        <f t="shared" si="0"/>
        <v>16.75</v>
      </c>
      <c r="BU15">
        <f t="shared" si="0"/>
        <v>15.857142857142858</v>
      </c>
      <c r="BV15">
        <f t="shared" si="0"/>
        <v>13.142857142857142</v>
      </c>
      <c r="BW15">
        <f t="shared" si="0"/>
        <v>13.571428571428571</v>
      </c>
      <c r="BX15">
        <f t="shared" si="0"/>
        <v>14.142857142857142</v>
      </c>
      <c r="BY15">
        <f t="shared" si="0"/>
        <v>15.857142857142858</v>
      </c>
      <c r="BZ15">
        <f t="shared" si="0"/>
        <v>16.428571428571427</v>
      </c>
      <c r="CA15">
        <f t="shared" si="0"/>
        <v>14.571428571428571</v>
      </c>
      <c r="CB15">
        <f t="shared" si="0"/>
        <v>15.5</v>
      </c>
      <c r="CC15">
        <f t="shared" si="0"/>
        <v>16.666666666666668</v>
      </c>
      <c r="CD15">
        <f t="shared" si="0"/>
        <v>18.25925925925926</v>
      </c>
      <c r="CE15">
        <f t="shared" si="0"/>
        <v>20.133333333333333</v>
      </c>
      <c r="CF15">
        <f t="shared" si="5"/>
        <v>22.133333333333333</v>
      </c>
      <c r="CG15">
        <f t="shared" si="6"/>
        <v>24.033333333333335</v>
      </c>
      <c r="CH15">
        <f t="shared" si="7"/>
        <v>24.592592592592592</v>
      </c>
      <c r="CI15">
        <f t="shared" si="8"/>
        <v>24.166666666666664</v>
      </c>
      <c r="CJ15">
        <f t="shared" si="9"/>
        <v>25.761904761904759</v>
      </c>
      <c r="CK15">
        <f t="shared" si="10"/>
        <v>27.888888888888886</v>
      </c>
      <c r="CL15">
        <f t="shared" si="11"/>
        <v>29.066666666666663</v>
      </c>
      <c r="CM15">
        <f t="shared" si="12"/>
        <v>29.833333333333332</v>
      </c>
      <c r="CN15">
        <f t="shared" si="13"/>
        <v>33</v>
      </c>
      <c r="CO15">
        <f t="shared" si="14"/>
        <v>31</v>
      </c>
      <c r="CP15">
        <f t="shared" si="15"/>
        <v>25</v>
      </c>
      <c r="CQ15" t="e">
        <f t="shared" si="16"/>
        <v>#DIV/0!</v>
      </c>
      <c r="CR15" t="e">
        <f t="shared" si="17"/>
        <v>#DIV/0!</v>
      </c>
      <c r="CS15" t="e">
        <f t="shared" si="18"/>
        <v>#DIV/0!</v>
      </c>
      <c r="CT15" t="e">
        <f t="shared" si="19"/>
        <v>#DIV/0!</v>
      </c>
      <c r="CU15" t="e">
        <f t="shared" si="20"/>
        <v>#DIV/0!</v>
      </c>
      <c r="CV15" t="e">
        <f t="shared" si="21"/>
        <v>#DIV/0!</v>
      </c>
      <c r="CW15" t="e">
        <f t="shared" si="22"/>
        <v>#DIV/0!</v>
      </c>
      <c r="CX15" t="e">
        <f t="shared" si="23"/>
        <v>#DIV/0!</v>
      </c>
      <c r="CY15" t="e">
        <f t="shared" si="24"/>
        <v>#DIV/0!</v>
      </c>
      <c r="CZ15" t="e">
        <f t="shared" si="25"/>
        <v>#N/A</v>
      </c>
      <c r="DA15" t="e">
        <f t="shared" si="26"/>
        <v>#N/A</v>
      </c>
      <c r="DB15" t="e">
        <f t="shared" si="27"/>
        <v>#N/A</v>
      </c>
      <c r="DC15" t="e">
        <f t="shared" si="28"/>
        <v>#N/A</v>
      </c>
      <c r="DD15" t="e">
        <f t="shared" si="29"/>
        <v>#N/A</v>
      </c>
    </row>
    <row r="16" spans="1:108" ht="20" customHeight="1" x14ac:dyDescent="0.2">
      <c r="A16" s="7" t="s">
        <v>11</v>
      </c>
      <c r="B16" s="14"/>
      <c r="C16" s="14"/>
      <c r="D16" s="14"/>
      <c r="E16" s="14">
        <v>14</v>
      </c>
      <c r="F16" s="14">
        <v>5</v>
      </c>
      <c r="G16" s="14">
        <v>0</v>
      </c>
      <c r="H16" s="14">
        <v>3</v>
      </c>
      <c r="I16" s="14">
        <v>3</v>
      </c>
      <c r="J16" s="14">
        <v>8</v>
      </c>
      <c r="K16" s="14">
        <v>6</v>
      </c>
      <c r="L16" s="14">
        <v>5</v>
      </c>
      <c r="M16" s="14">
        <v>6</v>
      </c>
      <c r="N16" s="14">
        <v>0</v>
      </c>
      <c r="O16" s="14">
        <v>18</v>
      </c>
      <c r="P16" s="14">
        <v>6</v>
      </c>
      <c r="Q16" s="14">
        <v>13</v>
      </c>
      <c r="R16" s="14">
        <v>3</v>
      </c>
      <c r="S16" s="14"/>
      <c r="T16" s="14"/>
      <c r="U16" s="15">
        <v>1</v>
      </c>
      <c r="V16" s="15"/>
      <c r="W16" s="15">
        <v>7</v>
      </c>
      <c r="X16" s="15">
        <v>11</v>
      </c>
      <c r="Y16" s="15">
        <v>21</v>
      </c>
      <c r="Z16" s="15">
        <v>5</v>
      </c>
      <c r="AA16" s="15">
        <v>1</v>
      </c>
      <c r="AB16" s="15">
        <v>15</v>
      </c>
      <c r="AC16" s="15">
        <v>26</v>
      </c>
      <c r="AD16" s="15">
        <v>11</v>
      </c>
      <c r="AE16" s="76">
        <f>AVERAGE(AB16:AD16)</f>
        <v>17.333333333333332</v>
      </c>
      <c r="AF16" s="124">
        <v>22</v>
      </c>
      <c r="AG16" s="124">
        <v>0</v>
      </c>
      <c r="AH16" s="124">
        <f>1+4+1+1+3+2</f>
        <v>12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2"/>
        <v>5.5714285714285712</v>
      </c>
      <c r="BK16">
        <f t="shared" si="0"/>
        <v>5.5</v>
      </c>
      <c r="BL16">
        <f t="shared" si="3"/>
        <v>5.5555555555555554</v>
      </c>
      <c r="BM16">
        <f t="shared" si="0"/>
        <v>5</v>
      </c>
      <c r="BN16">
        <f t="shared" si="0"/>
        <v>5.4</v>
      </c>
      <c r="BO16">
        <f t="shared" si="0"/>
        <v>5.5</v>
      </c>
      <c r="BP16">
        <f t="shared" si="0"/>
        <v>6.8</v>
      </c>
      <c r="BQ16">
        <f t="shared" si="0"/>
        <v>6.8</v>
      </c>
      <c r="BR16">
        <f t="shared" si="4"/>
        <v>7.2222222222222223</v>
      </c>
      <c r="BS16">
        <f t="shared" si="4"/>
        <v>7.125</v>
      </c>
      <c r="BT16">
        <f t="shared" si="0"/>
        <v>6.5</v>
      </c>
      <c r="BU16">
        <f t="shared" si="0"/>
        <v>6.7142857142857144</v>
      </c>
      <c r="BV16">
        <f t="shared" si="0"/>
        <v>6.8571428571428568</v>
      </c>
      <c r="BW16">
        <f t="shared" si="0"/>
        <v>8.4285714285714288</v>
      </c>
      <c r="BX16">
        <f t="shared" si="0"/>
        <v>8.8571428571428577</v>
      </c>
      <c r="BY16">
        <f t="shared" si="0"/>
        <v>8.7142857142857135</v>
      </c>
      <c r="BZ16">
        <f t="shared" si="0"/>
        <v>7</v>
      </c>
      <c r="CA16">
        <f t="shared" si="0"/>
        <v>8.7142857142857135</v>
      </c>
      <c r="CB16">
        <f t="shared" si="0"/>
        <v>10.875</v>
      </c>
      <c r="CC16">
        <f t="shared" si="0"/>
        <v>10.888888888888889</v>
      </c>
      <c r="CD16">
        <f t="shared" si="0"/>
        <v>12.703703703703702</v>
      </c>
      <c r="CE16">
        <f t="shared" si="0"/>
        <v>13.633333333333331</v>
      </c>
      <c r="CF16">
        <f t="shared" si="5"/>
        <v>12.933333333333332</v>
      </c>
      <c r="CG16">
        <f t="shared" si="6"/>
        <v>13.033333333333331</v>
      </c>
      <c r="CH16">
        <f t="shared" si="7"/>
        <v>12.148148148148147</v>
      </c>
      <c r="CI16">
        <f t="shared" si="8"/>
        <v>13.041666666666666</v>
      </c>
      <c r="CJ16">
        <f t="shared" si="9"/>
        <v>14.761904761904761</v>
      </c>
      <c r="CK16">
        <f t="shared" si="10"/>
        <v>14.722222222222221</v>
      </c>
      <c r="CL16">
        <f t="shared" si="11"/>
        <v>12.466666666666665</v>
      </c>
      <c r="CM16">
        <f t="shared" si="12"/>
        <v>12.833333333333332</v>
      </c>
      <c r="CN16">
        <f t="shared" si="13"/>
        <v>11.333333333333334</v>
      </c>
      <c r="CO16">
        <f t="shared" si="14"/>
        <v>6</v>
      </c>
      <c r="CP16">
        <f t="shared" si="15"/>
        <v>12</v>
      </c>
      <c r="CQ16" t="e">
        <f t="shared" si="16"/>
        <v>#DIV/0!</v>
      </c>
      <c r="CR16" t="e">
        <f t="shared" si="17"/>
        <v>#DIV/0!</v>
      </c>
      <c r="CS16" t="e">
        <f t="shared" si="18"/>
        <v>#DIV/0!</v>
      </c>
      <c r="CT16" t="e">
        <f t="shared" si="19"/>
        <v>#DIV/0!</v>
      </c>
      <c r="CU16" t="e">
        <f t="shared" si="20"/>
        <v>#DIV/0!</v>
      </c>
      <c r="CV16" t="e">
        <f t="shared" si="21"/>
        <v>#DIV/0!</v>
      </c>
      <c r="CW16" t="e">
        <f t="shared" si="22"/>
        <v>#DIV/0!</v>
      </c>
      <c r="CX16" t="e">
        <f t="shared" si="23"/>
        <v>#DIV/0!</v>
      </c>
      <c r="CY16" t="e">
        <f t="shared" si="24"/>
        <v>#DIV/0!</v>
      </c>
      <c r="CZ16" t="e">
        <f t="shared" si="25"/>
        <v>#N/A</v>
      </c>
      <c r="DA16" t="e">
        <f t="shared" si="26"/>
        <v>#N/A</v>
      </c>
      <c r="DB16" t="e">
        <f t="shared" si="27"/>
        <v>#N/A</v>
      </c>
      <c r="DC16" t="e">
        <f t="shared" si="28"/>
        <v>#N/A</v>
      </c>
      <c r="DD16" t="e">
        <f t="shared" si="29"/>
        <v>#N/A</v>
      </c>
    </row>
    <row r="17" spans="1:11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111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33">SUM(C5:C16)</f>
        <v>0</v>
      </c>
      <c r="D18" s="22">
        <f t="shared" si="33"/>
        <v>0</v>
      </c>
      <c r="E18" s="22">
        <f t="shared" si="33"/>
        <v>349</v>
      </c>
      <c r="F18" s="22">
        <f t="shared" si="33"/>
        <v>457</v>
      </c>
      <c r="G18" s="22">
        <f t="shared" si="33"/>
        <v>313</v>
      </c>
      <c r="H18" s="22">
        <f t="shared" si="33"/>
        <v>270</v>
      </c>
      <c r="I18" s="22">
        <f t="shared" si="33"/>
        <v>271</v>
      </c>
      <c r="J18" s="22">
        <f t="shared" si="33"/>
        <v>257</v>
      </c>
      <c r="K18" s="22">
        <f t="shared" si="33"/>
        <v>263</v>
      </c>
      <c r="L18" s="22">
        <f t="shared" si="33"/>
        <v>230</v>
      </c>
      <c r="M18" s="22">
        <f t="shared" si="33"/>
        <v>243</v>
      </c>
      <c r="N18" s="22">
        <f t="shared" si="33"/>
        <v>162</v>
      </c>
      <c r="O18" s="22">
        <f t="shared" si="33"/>
        <v>236</v>
      </c>
      <c r="P18" s="22">
        <f t="shared" si="33"/>
        <v>313</v>
      </c>
      <c r="Q18" s="22">
        <f t="shared" si="33"/>
        <v>153</v>
      </c>
      <c r="R18" s="22">
        <f t="shared" si="33"/>
        <v>152</v>
      </c>
      <c r="S18" s="22">
        <f t="shared" si="33"/>
        <v>0</v>
      </c>
      <c r="T18" s="22">
        <f t="shared" si="33"/>
        <v>0</v>
      </c>
      <c r="U18" s="22">
        <f t="shared" si="33"/>
        <v>126</v>
      </c>
      <c r="V18" s="22">
        <f t="shared" si="33"/>
        <v>0</v>
      </c>
      <c r="W18" s="22">
        <f t="shared" si="33"/>
        <v>260</v>
      </c>
      <c r="X18" s="22">
        <f t="shared" si="33"/>
        <v>161</v>
      </c>
      <c r="Y18" s="22">
        <f t="shared" si="33"/>
        <v>227</v>
      </c>
      <c r="Z18" s="22">
        <f t="shared" si="33"/>
        <v>196</v>
      </c>
      <c r="AA18" s="22">
        <f t="shared" si="33"/>
        <v>251</v>
      </c>
      <c r="AB18" s="22">
        <f t="shared" si="33"/>
        <v>209</v>
      </c>
      <c r="AC18" s="22">
        <f t="shared" si="33"/>
        <v>320</v>
      </c>
      <c r="AD18" s="22">
        <f t="shared" si="33"/>
        <v>362</v>
      </c>
      <c r="AE18" s="22">
        <f t="shared" si="33"/>
        <v>296.99999999999994</v>
      </c>
      <c r="AF18" s="22">
        <f t="shared" si="33"/>
        <v>343</v>
      </c>
      <c r="AG18" s="22">
        <f t="shared" si="33"/>
        <v>299</v>
      </c>
      <c r="AH18" s="22">
        <f t="shared" si="33"/>
        <v>235</v>
      </c>
      <c r="AI18" s="22">
        <f t="shared" si="33"/>
        <v>186</v>
      </c>
      <c r="AJ18" s="22">
        <f t="shared" si="33"/>
        <v>0</v>
      </c>
      <c r="AK18" s="22">
        <f t="shared" si="33"/>
        <v>0</v>
      </c>
      <c r="AL18" s="22">
        <f t="shared" si="33"/>
        <v>0</v>
      </c>
      <c r="AM18" s="22">
        <f t="shared" si="33"/>
        <v>0</v>
      </c>
      <c r="AN18" s="22">
        <f t="shared" si="33"/>
        <v>0</v>
      </c>
      <c r="AO18" s="22">
        <f t="shared" si="33"/>
        <v>0</v>
      </c>
      <c r="AP18" s="22">
        <f t="shared" si="33"/>
        <v>0</v>
      </c>
      <c r="AQ18" s="22">
        <f t="shared" si="33"/>
        <v>0</v>
      </c>
      <c r="AR18" s="22">
        <f t="shared" si="33"/>
        <v>0</v>
      </c>
      <c r="AS18" s="22">
        <f t="shared" si="33"/>
        <v>0</v>
      </c>
      <c r="AT18" s="22">
        <f t="shared" si="33"/>
        <v>0</v>
      </c>
      <c r="AU18" s="22">
        <f t="shared" si="33"/>
        <v>0</v>
      </c>
      <c r="AV18" s="22">
        <f t="shared" si="33"/>
        <v>0</v>
      </c>
      <c r="AW18" s="22">
        <f t="shared" si="33"/>
        <v>0</v>
      </c>
      <c r="AX18" s="22">
        <f t="shared" si="33"/>
        <v>0</v>
      </c>
      <c r="AY18" s="22">
        <f t="shared" si="33"/>
        <v>0</v>
      </c>
      <c r="AZ18" s="22">
        <f t="shared" si="33"/>
        <v>0</v>
      </c>
      <c r="BA18" s="24"/>
      <c r="BX18" s="25">
        <f t="shared" ref="BX18:CC18" si="34">AVERAGE(P18:Y18)</f>
        <v>139.19999999999999</v>
      </c>
      <c r="BY18" s="25">
        <f t="shared" si="34"/>
        <v>127.5</v>
      </c>
      <c r="BZ18" s="25">
        <f t="shared" si="34"/>
        <v>137.30000000000001</v>
      </c>
      <c r="CA18" s="25">
        <f t="shared" si="34"/>
        <v>143</v>
      </c>
      <c r="CB18" s="25">
        <f t="shared" si="34"/>
        <v>175</v>
      </c>
      <c r="CC18" s="25">
        <f t="shared" si="34"/>
        <v>211.2</v>
      </c>
    </row>
    <row r="19" spans="1:11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111" ht="20" customHeight="1" x14ac:dyDescent="0.2">
      <c r="AD20" s="135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99"/>
      <c r="DC20" s="99"/>
      <c r="DD20" s="99"/>
      <c r="DE20" s="99"/>
      <c r="DF20" s="99"/>
      <c r="DG20" s="99"/>
    </row>
    <row r="21" spans="1:111" ht="20" customHeight="1" x14ac:dyDescent="0.2">
      <c r="AD21" s="99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</row>
    <row r="22" spans="1:111" ht="20" customHeight="1" x14ac:dyDescent="0.2">
      <c r="A22" s="1"/>
      <c r="B22" s="1"/>
      <c r="C22" s="1"/>
      <c r="AD22" s="99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99"/>
      <c r="DA22" s="99"/>
      <c r="DB22" s="99"/>
      <c r="DC22" s="99"/>
      <c r="DD22" s="99"/>
      <c r="DE22" s="99"/>
      <c r="DF22" s="99"/>
      <c r="DG22" s="99"/>
    </row>
    <row r="23" spans="1:11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11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11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11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11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11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11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11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11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11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transitionEvaluation="1" codeName="Sheet4">
    <tabColor theme="3"/>
  </sheetPr>
  <dimension ref="A1:DD61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I10" sqref="AI10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6" width="5.7109375" style="5" customWidth="1"/>
    <col min="27" max="28" width="7.28515625" style="5" customWidth="1"/>
    <col min="29" max="74" width="9.42578125" style="5" customWidth="1"/>
    <col min="75" max="75" width="4.7109375" style="5" customWidth="1"/>
    <col min="76" max="77" width="9.7109375" style="5" customWidth="1"/>
    <col min="78" max="78" width="15.28515625" style="5" customWidth="1"/>
    <col min="79" max="79" width="19.42578125" style="5" customWidth="1"/>
    <col min="80" max="81" width="17.570312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F1" s="35"/>
      <c r="AJ1" s="35"/>
      <c r="BA1" s="35"/>
      <c r="BE1" s="35"/>
    </row>
    <row r="2" spans="1:108" s="34" customFormat="1" ht="25" customHeight="1" x14ac:dyDescent="0.25">
      <c r="A2" s="36" t="s">
        <v>31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F2" s="35"/>
      <c r="AG2" s="35"/>
      <c r="AJ2" s="35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28">
        <v>2020</v>
      </c>
      <c r="AF3" s="28">
        <v>2021</v>
      </c>
      <c r="AG3" s="107">
        <v>2022</v>
      </c>
      <c r="AH3" s="28">
        <v>2023</v>
      </c>
      <c r="AI3" s="28">
        <v>2024</v>
      </c>
      <c r="AJ3" s="28">
        <v>2025</v>
      </c>
      <c r="AK3" s="28">
        <v>2026</v>
      </c>
      <c r="AL3" s="28">
        <v>2027</v>
      </c>
      <c r="AM3" s="107">
        <v>2028</v>
      </c>
      <c r="AN3" s="28">
        <v>2029</v>
      </c>
      <c r="AO3" s="28">
        <v>2030</v>
      </c>
      <c r="AP3" s="28">
        <v>2031</v>
      </c>
      <c r="AQ3" s="28">
        <v>2032</v>
      </c>
      <c r="AR3" s="28">
        <v>2033</v>
      </c>
      <c r="AS3" s="107">
        <v>2034</v>
      </c>
      <c r="AT3" s="28">
        <v>2035</v>
      </c>
      <c r="AU3" s="28">
        <v>2036</v>
      </c>
      <c r="AV3" s="28">
        <v>2037</v>
      </c>
      <c r="AW3" s="28">
        <v>2038</v>
      </c>
      <c r="AX3" s="28">
        <v>2039</v>
      </c>
      <c r="AY3" s="107">
        <v>2040</v>
      </c>
      <c r="AZ3" s="28">
        <v>2041</v>
      </c>
      <c r="BA3" s="38" t="s">
        <v>74</v>
      </c>
      <c r="BB3" s="30"/>
      <c r="BC3" s="30"/>
      <c r="BE3" s="30"/>
      <c r="BF3" s="30"/>
      <c r="BG3" s="30"/>
      <c r="BJ3" s="78">
        <v>2000</v>
      </c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77" t="s">
        <v>100</v>
      </c>
      <c r="CD3" s="77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08"/>
      <c r="AG4" s="111"/>
      <c r="AH4" s="111"/>
      <c r="AI4" s="111"/>
      <c r="AJ4" s="111"/>
      <c r="AK4" s="111"/>
      <c r="AL4" s="111"/>
      <c r="AM4" s="111"/>
      <c r="AN4" s="111"/>
      <c r="AO4" s="108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80"/>
      <c r="BA4" s="2"/>
    </row>
    <row r="5" spans="1:108" s="105" customFormat="1" ht="20" customHeight="1" x14ac:dyDescent="0.2">
      <c r="A5" s="102" t="s">
        <v>0</v>
      </c>
      <c r="B5" s="103">
        <v>10</v>
      </c>
      <c r="C5" s="103">
        <v>21</v>
      </c>
      <c r="D5" s="103">
        <v>14</v>
      </c>
      <c r="E5" s="103">
        <v>2</v>
      </c>
      <c r="F5" s="103">
        <v>7</v>
      </c>
      <c r="G5" s="103">
        <v>0</v>
      </c>
      <c r="H5" s="103">
        <v>20</v>
      </c>
      <c r="I5" s="103">
        <v>26</v>
      </c>
      <c r="J5" s="103">
        <v>20</v>
      </c>
      <c r="K5" s="103">
        <v>20</v>
      </c>
      <c r="L5" s="103">
        <v>46</v>
      </c>
      <c r="M5" s="103">
        <v>25</v>
      </c>
      <c r="N5" s="103">
        <v>31</v>
      </c>
      <c r="O5" s="103">
        <v>18</v>
      </c>
      <c r="P5" s="103">
        <v>10</v>
      </c>
      <c r="Q5" s="103">
        <v>10</v>
      </c>
      <c r="R5" s="103">
        <v>16</v>
      </c>
      <c r="S5" s="103"/>
      <c r="T5" s="103"/>
      <c r="U5" s="104">
        <v>22</v>
      </c>
      <c r="V5" s="104"/>
      <c r="W5" s="104">
        <v>41</v>
      </c>
      <c r="X5" s="104">
        <v>23</v>
      </c>
      <c r="Y5" s="104">
        <v>20</v>
      </c>
      <c r="Z5" s="104">
        <v>19</v>
      </c>
      <c r="AA5" s="104">
        <v>65</v>
      </c>
      <c r="AB5" s="104">
        <v>52</v>
      </c>
      <c r="AC5" s="104">
        <v>39</v>
      </c>
      <c r="AD5" s="104">
        <v>51</v>
      </c>
      <c r="AE5" s="104">
        <v>40</v>
      </c>
      <c r="AF5" s="109">
        <v>108</v>
      </c>
      <c r="AG5" s="112">
        <f>49+23</f>
        <v>72</v>
      </c>
      <c r="AH5" s="112">
        <f>54+31</f>
        <v>85</v>
      </c>
      <c r="AI5" s="112">
        <f>10+2+32</f>
        <v>44</v>
      </c>
      <c r="AJ5" s="112"/>
      <c r="AK5" s="112"/>
      <c r="AL5" s="112"/>
      <c r="AM5" s="112"/>
      <c r="AN5" s="112"/>
      <c r="AO5" s="109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06"/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14</v>
      </c>
      <c r="BK5">
        <f t="shared" ref="BK5:DD16" si="0">AVERAGE(C5:L5)</f>
        <v>17.600000000000001</v>
      </c>
      <c r="BL5">
        <f>AVERAGE(D5:M5)</f>
        <v>18</v>
      </c>
      <c r="BM5">
        <f t="shared" si="0"/>
        <v>19.7</v>
      </c>
      <c r="BN5">
        <f t="shared" si="0"/>
        <v>21.3</v>
      </c>
      <c r="BO5">
        <f t="shared" si="0"/>
        <v>21.6</v>
      </c>
      <c r="BP5">
        <f t="shared" si="0"/>
        <v>22.6</v>
      </c>
      <c r="BQ5">
        <f t="shared" si="0"/>
        <v>22.2</v>
      </c>
      <c r="BR5">
        <f t="shared" si="0"/>
        <v>21.777777777777779</v>
      </c>
      <c r="BS5">
        <f t="shared" si="0"/>
        <v>22</v>
      </c>
      <c r="BT5">
        <f t="shared" si="0"/>
        <v>22.25</v>
      </c>
      <c r="BU5">
        <f t="shared" si="0"/>
        <v>18.857142857142858</v>
      </c>
      <c r="BV5">
        <f t="shared" si="0"/>
        <v>21.142857142857142</v>
      </c>
      <c r="BW5">
        <f t="shared" si="0"/>
        <v>20</v>
      </c>
      <c r="BX5">
        <f t="shared" si="0"/>
        <v>20.285714285714285</v>
      </c>
      <c r="BY5">
        <f t="shared" si="0"/>
        <v>21.571428571428573</v>
      </c>
      <c r="BZ5">
        <f t="shared" si="0"/>
        <v>29.428571428571427</v>
      </c>
      <c r="CA5">
        <f t="shared" si="0"/>
        <v>34.571428571428569</v>
      </c>
      <c r="CB5">
        <f t="shared" si="0"/>
        <v>35.125</v>
      </c>
      <c r="CC5">
        <f t="shared" si="0"/>
        <v>36.888888888888886</v>
      </c>
      <c r="CD5">
        <f t="shared" si="0"/>
        <v>38.888888888888886</v>
      </c>
      <c r="CE5">
        <f t="shared" si="0"/>
        <v>45.8</v>
      </c>
      <c r="CF5">
        <f t="shared" si="0"/>
        <v>48.9</v>
      </c>
      <c r="CG5">
        <f t="shared" si="0"/>
        <v>55.1</v>
      </c>
      <c r="CH5">
        <f t="shared" si="0"/>
        <v>57.5</v>
      </c>
      <c r="CI5">
        <f t="shared" si="0"/>
        <v>61.777777777777779</v>
      </c>
      <c r="CJ5">
        <f t="shared" si="0"/>
        <v>61.375</v>
      </c>
      <c r="CK5">
        <f t="shared" si="0"/>
        <v>62.714285714285715</v>
      </c>
      <c r="CL5">
        <f t="shared" si="0"/>
        <v>66.666666666666671</v>
      </c>
      <c r="CM5">
        <f t="shared" si="0"/>
        <v>69.8</v>
      </c>
      <c r="CN5">
        <f t="shared" si="0"/>
        <v>77.25</v>
      </c>
      <c r="CO5">
        <f t="shared" si="0"/>
        <v>67</v>
      </c>
      <c r="CP5">
        <f t="shared" si="0"/>
        <v>64.5</v>
      </c>
      <c r="CQ5">
        <f t="shared" si="0"/>
        <v>44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14</v>
      </c>
      <c r="C6" s="14">
        <v>13</v>
      </c>
      <c r="D6" s="14">
        <v>6</v>
      </c>
      <c r="E6" s="14">
        <v>15</v>
      </c>
      <c r="F6" s="14">
        <v>7</v>
      </c>
      <c r="G6" s="14">
        <v>19</v>
      </c>
      <c r="H6" s="14">
        <v>45</v>
      </c>
      <c r="I6" s="14">
        <v>8</v>
      </c>
      <c r="J6" s="14">
        <v>26</v>
      </c>
      <c r="K6" s="14">
        <v>25</v>
      </c>
      <c r="L6" s="14">
        <v>19</v>
      </c>
      <c r="M6" s="14">
        <v>38</v>
      </c>
      <c r="N6" s="14">
        <v>15</v>
      </c>
      <c r="O6" s="14">
        <v>35</v>
      </c>
      <c r="P6" s="14">
        <v>49</v>
      </c>
      <c r="Q6" s="14">
        <v>16</v>
      </c>
      <c r="R6" s="14">
        <v>11</v>
      </c>
      <c r="S6" s="14"/>
      <c r="T6" s="14"/>
      <c r="U6" s="15">
        <v>36</v>
      </c>
      <c r="V6" s="15"/>
      <c r="W6" s="15">
        <v>61</v>
      </c>
      <c r="X6" s="15">
        <v>27</v>
      </c>
      <c r="Y6" s="15">
        <v>9</v>
      </c>
      <c r="Z6" s="15">
        <v>9</v>
      </c>
      <c r="AA6" s="15">
        <v>33</v>
      </c>
      <c r="AB6" s="15">
        <v>36</v>
      </c>
      <c r="AC6" s="15">
        <v>28</v>
      </c>
      <c r="AD6" s="15">
        <v>45</v>
      </c>
      <c r="AE6" s="15">
        <v>31</v>
      </c>
      <c r="AF6" s="110">
        <v>79</v>
      </c>
      <c r="AG6" s="111">
        <f>35+58+2</f>
        <v>95</v>
      </c>
      <c r="AH6" s="111">
        <f>10+20+39+45</f>
        <v>114</v>
      </c>
      <c r="AI6" s="111">
        <f>47+23</f>
        <v>70</v>
      </c>
      <c r="AJ6" s="111"/>
      <c r="AK6" s="111"/>
      <c r="AL6" s="111"/>
      <c r="AM6" s="111"/>
      <c r="AN6" s="111"/>
      <c r="AO6" s="110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80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17.8</v>
      </c>
      <c r="BK6">
        <f t="shared" si="0"/>
        <v>18.3</v>
      </c>
      <c r="BL6">
        <f t="shared" ref="BL6:BL16" si="2">AVERAGE(D6:M6)</f>
        <v>20.8</v>
      </c>
      <c r="BM6">
        <f t="shared" si="0"/>
        <v>21.7</v>
      </c>
      <c r="BN6">
        <f t="shared" si="0"/>
        <v>23.7</v>
      </c>
      <c r="BO6">
        <f t="shared" si="0"/>
        <v>27.9</v>
      </c>
      <c r="BP6">
        <f t="shared" si="0"/>
        <v>27.6</v>
      </c>
      <c r="BQ6">
        <f t="shared" si="0"/>
        <v>24.2</v>
      </c>
      <c r="BR6">
        <f t="shared" ref="BR6:BS16" si="3">AVERAGE(J6:S6)</f>
        <v>26</v>
      </c>
      <c r="BS6">
        <f t="shared" si="3"/>
        <v>26</v>
      </c>
      <c r="BT6">
        <f t="shared" si="0"/>
        <v>27.375</v>
      </c>
      <c r="BU6">
        <f t="shared" si="0"/>
        <v>28.571428571428573</v>
      </c>
      <c r="BV6">
        <f t="shared" si="0"/>
        <v>31.857142857142858</v>
      </c>
      <c r="BW6">
        <f t="shared" si="0"/>
        <v>33.571428571428569</v>
      </c>
      <c r="BX6">
        <f t="shared" si="0"/>
        <v>29.857142857142858</v>
      </c>
      <c r="BY6">
        <f t="shared" si="0"/>
        <v>24.142857142857142</v>
      </c>
      <c r="BZ6">
        <f t="shared" si="0"/>
        <v>26.571428571428573</v>
      </c>
      <c r="CA6">
        <f t="shared" si="0"/>
        <v>30.142857142857142</v>
      </c>
      <c r="CB6">
        <f t="shared" si="0"/>
        <v>29.875</v>
      </c>
      <c r="CC6">
        <f t="shared" si="0"/>
        <v>31.555555555555557</v>
      </c>
      <c r="CD6">
        <f t="shared" si="0"/>
        <v>31</v>
      </c>
      <c r="CE6">
        <f t="shared" si="0"/>
        <v>35.799999999999997</v>
      </c>
      <c r="CF6">
        <f t="shared" ref="CF6:CF16" si="4">AVERAGE(X6:AG6)</f>
        <v>39.200000000000003</v>
      </c>
      <c r="CG6">
        <f t="shared" ref="CG6:CG16" si="5">AVERAGE(Y6:AH6)</f>
        <v>47.9</v>
      </c>
      <c r="CH6">
        <f t="shared" ref="CH6:CH16" si="6">AVERAGE(Z6:AI6)</f>
        <v>54</v>
      </c>
      <c r="CI6">
        <f t="shared" ref="CI6:CI16" si="7">AVERAGE(AA6:AJ6)</f>
        <v>59</v>
      </c>
      <c r="CJ6">
        <f t="shared" ref="CJ6:CJ16" si="8">AVERAGE(AB6:AK6)</f>
        <v>62.25</v>
      </c>
      <c r="CK6">
        <f t="shared" ref="CK6:CK16" si="9">AVERAGE(AC6:AL6)</f>
        <v>66</v>
      </c>
      <c r="CL6">
        <f t="shared" ref="CL6:CL16" si="10">AVERAGE(AD6:AM6)</f>
        <v>72.333333333333329</v>
      </c>
      <c r="CM6">
        <f t="shared" ref="CM6:CM16" si="11">AVERAGE(AE6:AN6)</f>
        <v>77.8</v>
      </c>
      <c r="CN6">
        <f t="shared" ref="CN6:CN16" si="12">AVERAGE(AF6:AO6)</f>
        <v>89.5</v>
      </c>
      <c r="CO6">
        <f t="shared" ref="CO6:CO16" si="13">AVERAGE(AG6:AP6)</f>
        <v>93</v>
      </c>
      <c r="CP6">
        <f t="shared" ref="CP6:CP16" si="14">AVERAGE(AH6:AQ6)</f>
        <v>92</v>
      </c>
      <c r="CQ6">
        <f t="shared" ref="CQ6:CQ16" si="15">AVERAGE(AI6:AR6)</f>
        <v>70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5" customFormat="1" ht="20" customHeight="1" x14ac:dyDescent="0.2">
      <c r="A7" s="102" t="s">
        <v>2</v>
      </c>
      <c r="B7" s="103">
        <v>10</v>
      </c>
      <c r="C7" s="103">
        <v>3</v>
      </c>
      <c r="D7" s="103">
        <v>11</v>
      </c>
      <c r="E7" s="103">
        <v>6</v>
      </c>
      <c r="F7" s="103">
        <v>17</v>
      </c>
      <c r="G7" s="103">
        <v>6</v>
      </c>
      <c r="H7" s="103">
        <v>30</v>
      </c>
      <c r="I7" s="103">
        <v>13</v>
      </c>
      <c r="J7" s="103">
        <v>10</v>
      </c>
      <c r="K7" s="103">
        <v>15</v>
      </c>
      <c r="L7" s="103">
        <v>28</v>
      </c>
      <c r="M7" s="103">
        <v>32</v>
      </c>
      <c r="N7" s="103">
        <v>32</v>
      </c>
      <c r="O7" s="103">
        <v>19</v>
      </c>
      <c r="P7" s="103">
        <v>21</v>
      </c>
      <c r="Q7" s="103">
        <v>23</v>
      </c>
      <c r="R7" s="103">
        <v>36</v>
      </c>
      <c r="S7" s="103"/>
      <c r="T7" s="103"/>
      <c r="U7" s="104">
        <v>31</v>
      </c>
      <c r="V7" s="104"/>
      <c r="W7" s="104">
        <v>39</v>
      </c>
      <c r="X7" s="104">
        <v>44</v>
      </c>
      <c r="Y7" s="104">
        <v>10</v>
      </c>
      <c r="Z7" s="104">
        <v>16</v>
      </c>
      <c r="AA7" s="104">
        <v>61</v>
      </c>
      <c r="AB7" s="104">
        <v>7</v>
      </c>
      <c r="AC7" s="104">
        <v>26</v>
      </c>
      <c r="AD7" s="104">
        <v>34</v>
      </c>
      <c r="AE7" s="104">
        <v>121</v>
      </c>
      <c r="AF7" s="109">
        <v>200</v>
      </c>
      <c r="AG7" s="112">
        <f>43+39+7</f>
        <v>89</v>
      </c>
      <c r="AH7" s="112">
        <f>44+26+4</f>
        <v>74</v>
      </c>
      <c r="AI7" s="112">
        <f>14+21+(1+3+1+2+2+7+2+2+2+5+1+2+1+1+15+4+2+2+2)+(1+3)</f>
        <v>96</v>
      </c>
      <c r="AJ7" s="112"/>
      <c r="AK7" s="112"/>
      <c r="AL7" s="112"/>
      <c r="AM7" s="112"/>
      <c r="AN7" s="112"/>
      <c r="AO7" s="109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06"/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12.1</v>
      </c>
      <c r="BK7">
        <f t="shared" si="0"/>
        <v>13.9</v>
      </c>
      <c r="BL7">
        <f t="shared" si="2"/>
        <v>16.8</v>
      </c>
      <c r="BM7">
        <f t="shared" si="0"/>
        <v>18.899999999999999</v>
      </c>
      <c r="BN7">
        <f t="shared" si="0"/>
        <v>20.2</v>
      </c>
      <c r="BO7">
        <f t="shared" si="0"/>
        <v>20.6</v>
      </c>
      <c r="BP7">
        <f t="shared" si="0"/>
        <v>22.3</v>
      </c>
      <c r="BQ7">
        <f t="shared" si="0"/>
        <v>22.9</v>
      </c>
      <c r="BR7">
        <f t="shared" si="3"/>
        <v>24</v>
      </c>
      <c r="BS7">
        <f t="shared" si="3"/>
        <v>25.75</v>
      </c>
      <c r="BT7">
        <f t="shared" si="0"/>
        <v>27.75</v>
      </c>
      <c r="BU7">
        <f t="shared" si="0"/>
        <v>27.714285714285715</v>
      </c>
      <c r="BV7">
        <f t="shared" si="0"/>
        <v>28.714285714285715</v>
      </c>
      <c r="BW7">
        <f t="shared" si="0"/>
        <v>30.428571428571427</v>
      </c>
      <c r="BX7">
        <f>AVERAGE(P7:Y7)</f>
        <v>29.142857142857142</v>
      </c>
      <c r="BY7">
        <f t="shared" si="0"/>
        <v>28.428571428571427</v>
      </c>
      <c r="BZ7">
        <f t="shared" si="0"/>
        <v>33.857142857142854</v>
      </c>
      <c r="CA7">
        <f t="shared" si="0"/>
        <v>29.714285714285715</v>
      </c>
      <c r="CB7">
        <f t="shared" si="0"/>
        <v>29.25</v>
      </c>
      <c r="CC7">
        <f t="shared" si="0"/>
        <v>29.777777777777779</v>
      </c>
      <c r="CD7">
        <f t="shared" si="0"/>
        <v>39.777777777777779</v>
      </c>
      <c r="CE7">
        <f>AVERAGE(W7:AF7)</f>
        <v>55.8</v>
      </c>
      <c r="CF7">
        <f t="shared" si="4"/>
        <v>60.8</v>
      </c>
      <c r="CG7">
        <f t="shared" si="5"/>
        <v>63.8</v>
      </c>
      <c r="CH7">
        <f t="shared" si="6"/>
        <v>72.400000000000006</v>
      </c>
      <c r="CI7">
        <f t="shared" si="7"/>
        <v>78.666666666666671</v>
      </c>
      <c r="CJ7">
        <f t="shared" si="8"/>
        <v>80.875</v>
      </c>
      <c r="CK7">
        <f t="shared" si="9"/>
        <v>91.428571428571431</v>
      </c>
      <c r="CL7">
        <f t="shared" si="10"/>
        <v>102.33333333333333</v>
      </c>
      <c r="CM7">
        <f t="shared" si="11"/>
        <v>116</v>
      </c>
      <c r="CN7">
        <f t="shared" si="12"/>
        <v>114.75</v>
      </c>
      <c r="CO7">
        <f t="shared" si="13"/>
        <v>86.333333333333329</v>
      </c>
      <c r="CP7">
        <f t="shared" si="14"/>
        <v>85</v>
      </c>
      <c r="CQ7">
        <f t="shared" si="15"/>
        <v>96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7</v>
      </c>
      <c r="C8" s="14">
        <v>13</v>
      </c>
      <c r="D8" s="14">
        <v>4</v>
      </c>
      <c r="E8" s="14">
        <v>19</v>
      </c>
      <c r="F8" s="14">
        <v>19</v>
      </c>
      <c r="G8" s="14">
        <v>10</v>
      </c>
      <c r="H8" s="14">
        <v>40</v>
      </c>
      <c r="I8" s="14">
        <v>6</v>
      </c>
      <c r="J8" s="14">
        <v>26</v>
      </c>
      <c r="K8" s="14">
        <v>35</v>
      </c>
      <c r="L8" s="14">
        <v>41</v>
      </c>
      <c r="M8" s="14">
        <v>34</v>
      </c>
      <c r="N8" s="14">
        <v>40</v>
      </c>
      <c r="O8" s="14">
        <v>35</v>
      </c>
      <c r="P8" s="14">
        <v>32</v>
      </c>
      <c r="Q8" s="14">
        <v>72</v>
      </c>
      <c r="R8" s="14">
        <v>44</v>
      </c>
      <c r="S8" s="14"/>
      <c r="T8" s="14"/>
      <c r="U8" s="15">
        <v>66</v>
      </c>
      <c r="V8" s="15"/>
      <c r="W8" s="15">
        <v>73</v>
      </c>
      <c r="X8" s="15">
        <v>41</v>
      </c>
      <c r="Y8" s="15">
        <v>49</v>
      </c>
      <c r="Z8" s="15">
        <v>58</v>
      </c>
      <c r="AA8" s="15">
        <v>73</v>
      </c>
      <c r="AB8" s="15">
        <v>66</v>
      </c>
      <c r="AC8" s="15">
        <v>43</v>
      </c>
      <c r="AD8" s="15">
        <v>116</v>
      </c>
      <c r="AE8" s="15">
        <v>97</v>
      </c>
      <c r="AF8" s="110">
        <v>229</v>
      </c>
      <c r="AG8" s="111">
        <f>48+98+60+27</f>
        <v>233</v>
      </c>
      <c r="AH8" s="111">
        <f>16+44+68+11</f>
        <v>139</v>
      </c>
      <c r="AI8" s="111">
        <f>(1+1+1+1+1+3+2+2+1+4+2+2+1+3+1+2)+(1+2+3+1+4+3+2+3+4+2+5+1+4+3+2+1+3+2+5+2)+(1+6+2+2+2+2+2+3+5+4+2+2+1+4+1+2+4+1)</f>
        <v>127</v>
      </c>
      <c r="AJ8" s="111"/>
      <c r="AK8" s="111"/>
      <c r="AL8" s="111"/>
      <c r="AM8" s="111"/>
      <c r="AN8" s="111"/>
      <c r="AO8" s="110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80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17.899999999999999</v>
      </c>
      <c r="BK8">
        <f t="shared" si="0"/>
        <v>21.3</v>
      </c>
      <c r="BL8">
        <f t="shared" si="2"/>
        <v>23.4</v>
      </c>
      <c r="BM8">
        <f t="shared" si="0"/>
        <v>27</v>
      </c>
      <c r="BN8">
        <f t="shared" si="0"/>
        <v>28.6</v>
      </c>
      <c r="BO8">
        <f t="shared" si="0"/>
        <v>29.9</v>
      </c>
      <c r="BP8">
        <f t="shared" si="0"/>
        <v>36.1</v>
      </c>
      <c r="BQ8">
        <f t="shared" si="0"/>
        <v>36.5</v>
      </c>
      <c r="BR8">
        <f t="shared" si="3"/>
        <v>39.888888888888886</v>
      </c>
      <c r="BS8">
        <f t="shared" si="3"/>
        <v>41.625</v>
      </c>
      <c r="BT8">
        <f>AVERAGE(L8:U8)</f>
        <v>45.5</v>
      </c>
      <c r="BU8">
        <f t="shared" si="0"/>
        <v>46.142857142857146</v>
      </c>
      <c r="BV8">
        <f t="shared" si="0"/>
        <v>51.714285714285715</v>
      </c>
      <c r="BW8">
        <f t="shared" si="0"/>
        <v>51.857142857142854</v>
      </c>
      <c r="BX8">
        <f t="shared" si="0"/>
        <v>53.857142857142854</v>
      </c>
      <c r="BY8">
        <f t="shared" si="0"/>
        <v>57.571428571428569</v>
      </c>
      <c r="BZ8">
        <f t="shared" si="0"/>
        <v>57.714285714285715</v>
      </c>
      <c r="CA8">
        <f t="shared" si="0"/>
        <v>60.857142857142854</v>
      </c>
      <c r="CB8">
        <f t="shared" si="0"/>
        <v>58.625</v>
      </c>
      <c r="CC8">
        <f t="shared" si="0"/>
        <v>65</v>
      </c>
      <c r="CD8">
        <f t="shared" si="0"/>
        <v>68.444444444444443</v>
      </c>
      <c r="CE8">
        <f t="shared" si="0"/>
        <v>84.5</v>
      </c>
      <c r="CF8">
        <f t="shared" si="4"/>
        <v>100.5</v>
      </c>
      <c r="CG8">
        <f t="shared" si="5"/>
        <v>110.3</v>
      </c>
      <c r="CH8">
        <f t="shared" si="6"/>
        <v>118.1</v>
      </c>
      <c r="CI8">
        <f t="shared" si="7"/>
        <v>124.77777777777777</v>
      </c>
      <c r="CJ8">
        <f t="shared" si="8"/>
        <v>131.25</v>
      </c>
      <c r="CK8">
        <f t="shared" si="9"/>
        <v>140.57142857142858</v>
      </c>
      <c r="CL8">
        <f t="shared" si="10"/>
        <v>156.83333333333334</v>
      </c>
      <c r="CM8">
        <f t="shared" si="11"/>
        <v>165</v>
      </c>
      <c r="CN8">
        <f t="shared" si="12"/>
        <v>182</v>
      </c>
      <c r="CO8">
        <f t="shared" si="13"/>
        <v>166.33333333333334</v>
      </c>
      <c r="CP8">
        <f t="shared" si="14"/>
        <v>133</v>
      </c>
      <c r="CQ8">
        <f t="shared" si="15"/>
        <v>127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5" customFormat="1" ht="20" customHeight="1" x14ac:dyDescent="0.2">
      <c r="A9" s="102" t="s">
        <v>4</v>
      </c>
      <c r="B9" s="103">
        <v>29</v>
      </c>
      <c r="C9" s="103">
        <v>37</v>
      </c>
      <c r="D9" s="103">
        <v>34</v>
      </c>
      <c r="E9" s="103">
        <v>48</v>
      </c>
      <c r="F9" s="103">
        <v>25</v>
      </c>
      <c r="G9" s="103">
        <v>19</v>
      </c>
      <c r="H9" s="103">
        <v>62</v>
      </c>
      <c r="I9" s="103">
        <v>75</v>
      </c>
      <c r="J9" s="103">
        <v>12</v>
      </c>
      <c r="K9" s="103">
        <v>59</v>
      </c>
      <c r="L9" s="103">
        <v>44</v>
      </c>
      <c r="M9" s="103">
        <v>71</v>
      </c>
      <c r="N9" s="103">
        <v>79</v>
      </c>
      <c r="O9" s="103">
        <v>56</v>
      </c>
      <c r="P9" s="103">
        <v>51</v>
      </c>
      <c r="Q9" s="103">
        <v>66</v>
      </c>
      <c r="R9" s="103">
        <v>92</v>
      </c>
      <c r="S9" s="103"/>
      <c r="T9" s="103"/>
      <c r="U9" s="104">
        <v>61</v>
      </c>
      <c r="V9" s="104"/>
      <c r="W9" s="104">
        <v>160</v>
      </c>
      <c r="X9" s="104">
        <v>122</v>
      </c>
      <c r="Y9" s="104">
        <v>90</v>
      </c>
      <c r="Z9" s="104">
        <v>111</v>
      </c>
      <c r="AA9" s="104">
        <v>86</v>
      </c>
      <c r="AB9" s="104">
        <v>44</v>
      </c>
      <c r="AC9" s="104">
        <v>113</v>
      </c>
      <c r="AD9" s="104">
        <v>136</v>
      </c>
      <c r="AE9" s="104">
        <v>186</v>
      </c>
      <c r="AF9" s="109">
        <v>252</v>
      </c>
      <c r="AG9" s="112">
        <f>15+62+43+35+63+43</f>
        <v>261</v>
      </c>
      <c r="AH9" s="112">
        <f>27+31+41+47+12</f>
        <v>158</v>
      </c>
      <c r="AI9" s="112">
        <f>(2+1)+(4+1+7+6+1+1+2+2+4+2+2+2+2+1+1+6+2+1+1+1)+(2+2+2+2+3+1+1+2+5+2+2+3+2+4+2+2+1+5+4+3)+(2+5+2+2+3+2+2+3+2+2+4+2+5+6+1+4+1+2+4)+(2+2+4+1)+(2+3+1+7+4)</f>
        <v>182</v>
      </c>
      <c r="AJ9" s="112"/>
      <c r="AK9" s="112"/>
      <c r="AL9" s="112"/>
      <c r="AM9" s="112"/>
      <c r="AN9" s="112"/>
      <c r="AO9" s="109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06"/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40</v>
      </c>
      <c r="BK9">
        <f t="shared" si="0"/>
        <v>41.5</v>
      </c>
      <c r="BL9">
        <f t="shared" si="2"/>
        <v>44.9</v>
      </c>
      <c r="BM9">
        <f t="shared" si="0"/>
        <v>49.4</v>
      </c>
      <c r="BN9">
        <f t="shared" si="0"/>
        <v>50.2</v>
      </c>
      <c r="BO9">
        <f t="shared" si="0"/>
        <v>52.8</v>
      </c>
      <c r="BP9">
        <f t="shared" si="0"/>
        <v>57.5</v>
      </c>
      <c r="BQ9">
        <f t="shared" si="0"/>
        <v>60.5</v>
      </c>
      <c r="BR9">
        <f t="shared" si="3"/>
        <v>58.888888888888886</v>
      </c>
      <c r="BS9">
        <f t="shared" si="3"/>
        <v>64.75</v>
      </c>
      <c r="BT9">
        <f t="shared" si="0"/>
        <v>65</v>
      </c>
      <c r="BU9">
        <f t="shared" si="0"/>
        <v>68</v>
      </c>
      <c r="BV9">
        <f t="shared" si="0"/>
        <v>80.714285714285708</v>
      </c>
      <c r="BW9">
        <f t="shared" si="0"/>
        <v>86.857142857142861</v>
      </c>
      <c r="BX9">
        <f t="shared" si="0"/>
        <v>91.714285714285708</v>
      </c>
      <c r="BY9">
        <f t="shared" si="0"/>
        <v>100.28571428571429</v>
      </c>
      <c r="BZ9">
        <f t="shared" si="0"/>
        <v>103.14285714285714</v>
      </c>
      <c r="CA9">
        <f t="shared" si="0"/>
        <v>96.285714285714292</v>
      </c>
      <c r="CB9">
        <f t="shared" si="0"/>
        <v>98.375</v>
      </c>
      <c r="CC9">
        <f t="shared" si="0"/>
        <v>102.55555555555556</v>
      </c>
      <c r="CD9">
        <f t="shared" si="0"/>
        <v>116.44444444444444</v>
      </c>
      <c r="CE9">
        <f t="shared" si="0"/>
        <v>130</v>
      </c>
      <c r="CF9">
        <f t="shared" si="4"/>
        <v>140.1</v>
      </c>
      <c r="CG9">
        <f t="shared" si="5"/>
        <v>143.69999999999999</v>
      </c>
      <c r="CH9">
        <f t="shared" si="6"/>
        <v>152.9</v>
      </c>
      <c r="CI9">
        <f t="shared" si="7"/>
        <v>157.55555555555554</v>
      </c>
      <c r="CJ9">
        <f t="shared" si="8"/>
        <v>166.5</v>
      </c>
      <c r="CK9">
        <f t="shared" si="9"/>
        <v>184</v>
      </c>
      <c r="CL9">
        <f t="shared" si="10"/>
        <v>195.83333333333334</v>
      </c>
      <c r="CM9">
        <f t="shared" si="11"/>
        <v>207.8</v>
      </c>
      <c r="CN9">
        <f t="shared" si="12"/>
        <v>213.25</v>
      </c>
      <c r="CO9">
        <f t="shared" si="13"/>
        <v>200.33333333333334</v>
      </c>
      <c r="CP9">
        <f t="shared" si="14"/>
        <v>170</v>
      </c>
      <c r="CQ9">
        <f t="shared" si="15"/>
        <v>182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23</v>
      </c>
      <c r="C10" s="14">
        <v>16</v>
      </c>
      <c r="D10" s="14">
        <v>10</v>
      </c>
      <c r="E10" s="14">
        <v>22</v>
      </c>
      <c r="F10" s="14">
        <v>42</v>
      </c>
      <c r="G10" s="14">
        <v>41</v>
      </c>
      <c r="H10" s="14">
        <v>25</v>
      </c>
      <c r="I10" s="14">
        <v>18</v>
      </c>
      <c r="J10" s="14">
        <v>4</v>
      </c>
      <c r="K10" s="14">
        <v>21</v>
      </c>
      <c r="L10" s="14">
        <v>39</v>
      </c>
      <c r="M10" s="14">
        <v>42</v>
      </c>
      <c r="N10" s="14">
        <v>39</v>
      </c>
      <c r="O10" s="14">
        <v>52</v>
      </c>
      <c r="P10" s="14">
        <v>60</v>
      </c>
      <c r="Q10" s="14">
        <v>31</v>
      </c>
      <c r="R10" s="14">
        <v>82</v>
      </c>
      <c r="S10" s="14"/>
      <c r="T10" s="14"/>
      <c r="U10" s="15">
        <v>71</v>
      </c>
      <c r="V10" s="15"/>
      <c r="W10" s="15">
        <v>107</v>
      </c>
      <c r="X10" s="15">
        <v>77</v>
      </c>
      <c r="Y10" s="15">
        <v>82</v>
      </c>
      <c r="Z10" s="15">
        <v>66</v>
      </c>
      <c r="AA10" s="15">
        <v>101</v>
      </c>
      <c r="AB10" s="15">
        <v>79</v>
      </c>
      <c r="AC10" s="15">
        <v>128</v>
      </c>
      <c r="AD10" s="15">
        <v>118</v>
      </c>
      <c r="AE10" s="15">
        <v>243</v>
      </c>
      <c r="AF10" s="110">
        <v>277</v>
      </c>
      <c r="AG10" s="111">
        <f>13+43+42+40+46+40</f>
        <v>224</v>
      </c>
      <c r="AH10" s="111">
        <f>35+50+51+15</f>
        <v>151</v>
      </c>
      <c r="AI10" s="111">
        <f>(1+2+5+2+1+2+2+2+2+1+2+2+1+2+1+4)+(4+2+1+1+3+4+2+4+1+1+2+1+1+1+4+3+3+2+1)+(4+2+4+1+2+2+3+4+1+2+2+1+1+1+2+2)+(2+1+2+2+7+2+2+1+1+2+3+2+1+2+2+2+2+2+4+5)+(2)</f>
        <v>156</v>
      </c>
      <c r="AJ10" s="111"/>
      <c r="AK10" s="111"/>
      <c r="AL10" s="111"/>
      <c r="AM10" s="111"/>
      <c r="AN10" s="111"/>
      <c r="AO10" s="110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80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22.2</v>
      </c>
      <c r="BK10">
        <f t="shared" si="0"/>
        <v>23.8</v>
      </c>
      <c r="BL10">
        <f t="shared" si="2"/>
        <v>26.4</v>
      </c>
      <c r="BM10">
        <f t="shared" si="0"/>
        <v>29.3</v>
      </c>
      <c r="BN10">
        <f t="shared" si="0"/>
        <v>32.299999999999997</v>
      </c>
      <c r="BO10">
        <f t="shared" si="0"/>
        <v>34.1</v>
      </c>
      <c r="BP10">
        <f t="shared" si="0"/>
        <v>33.1</v>
      </c>
      <c r="BQ10">
        <f t="shared" si="0"/>
        <v>38.799999999999997</v>
      </c>
      <c r="BR10">
        <f t="shared" si="3"/>
        <v>41.111111111111114</v>
      </c>
      <c r="BS10">
        <f t="shared" si="3"/>
        <v>45.75</v>
      </c>
      <c r="BT10">
        <f t="shared" si="0"/>
        <v>52</v>
      </c>
      <c r="BU10">
        <f t="shared" si="0"/>
        <v>53.857142857142854</v>
      </c>
      <c r="BV10">
        <f t="shared" si="0"/>
        <v>63.142857142857146</v>
      </c>
      <c r="BW10">
        <f t="shared" si="0"/>
        <v>68.571428571428569</v>
      </c>
      <c r="BX10">
        <f t="shared" si="0"/>
        <v>72.857142857142861</v>
      </c>
      <c r="BY10">
        <f t="shared" si="0"/>
        <v>73.714285714285708</v>
      </c>
      <c r="BZ10">
        <f t="shared" si="0"/>
        <v>83.714285714285708</v>
      </c>
      <c r="CA10">
        <f t="shared" si="0"/>
        <v>83.285714285714292</v>
      </c>
      <c r="CB10">
        <f t="shared" si="0"/>
        <v>88.875</v>
      </c>
      <c r="CC10">
        <f t="shared" si="0"/>
        <v>92.111111111111114</v>
      </c>
      <c r="CD10">
        <f t="shared" si="0"/>
        <v>111.22222222222223</v>
      </c>
      <c r="CE10">
        <f t="shared" si="0"/>
        <v>127.8</v>
      </c>
      <c r="CF10">
        <f t="shared" si="4"/>
        <v>139.5</v>
      </c>
      <c r="CG10">
        <f t="shared" si="5"/>
        <v>146.9</v>
      </c>
      <c r="CH10">
        <f t="shared" si="6"/>
        <v>154.30000000000001</v>
      </c>
      <c r="CI10">
        <f t="shared" si="7"/>
        <v>164.11111111111111</v>
      </c>
      <c r="CJ10">
        <f t="shared" si="8"/>
        <v>172</v>
      </c>
      <c r="CK10">
        <f t="shared" si="9"/>
        <v>185.28571428571428</v>
      </c>
      <c r="CL10">
        <f t="shared" si="10"/>
        <v>194.83333333333334</v>
      </c>
      <c r="CM10">
        <f t="shared" si="11"/>
        <v>210.2</v>
      </c>
      <c r="CN10">
        <f t="shared" si="12"/>
        <v>202</v>
      </c>
      <c r="CO10">
        <f t="shared" si="13"/>
        <v>177</v>
      </c>
      <c r="CP10">
        <f t="shared" si="14"/>
        <v>153.5</v>
      </c>
      <c r="CQ10">
        <f t="shared" si="15"/>
        <v>156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5" customFormat="1" ht="20" customHeight="1" x14ac:dyDescent="0.2">
      <c r="A11" s="102" t="s">
        <v>6</v>
      </c>
      <c r="B11" s="103">
        <v>14</v>
      </c>
      <c r="C11" s="103">
        <v>20</v>
      </c>
      <c r="D11" s="103">
        <v>37</v>
      </c>
      <c r="E11" s="103">
        <v>30</v>
      </c>
      <c r="F11" s="103">
        <v>57</v>
      </c>
      <c r="G11" s="103">
        <v>21</v>
      </c>
      <c r="H11" s="103">
        <v>55</v>
      </c>
      <c r="I11" s="103">
        <v>44</v>
      </c>
      <c r="J11" s="103">
        <v>39</v>
      </c>
      <c r="K11" s="103">
        <v>70</v>
      </c>
      <c r="L11" s="103">
        <v>40</v>
      </c>
      <c r="M11" s="103">
        <v>68</v>
      </c>
      <c r="N11" s="103">
        <v>45</v>
      </c>
      <c r="O11" s="103">
        <v>70</v>
      </c>
      <c r="P11" s="103">
        <v>109</v>
      </c>
      <c r="Q11" s="103">
        <v>73</v>
      </c>
      <c r="R11" s="103">
        <v>98</v>
      </c>
      <c r="S11" s="103"/>
      <c r="T11" s="103"/>
      <c r="U11" s="104">
        <v>143</v>
      </c>
      <c r="V11" s="104"/>
      <c r="W11" s="104">
        <v>84</v>
      </c>
      <c r="X11" s="104">
        <v>96</v>
      </c>
      <c r="Y11" s="104">
        <v>130</v>
      </c>
      <c r="Z11" s="104">
        <v>84</v>
      </c>
      <c r="AA11" s="104">
        <v>146</v>
      </c>
      <c r="AB11" s="104">
        <v>132</v>
      </c>
      <c r="AC11" s="104">
        <v>131</v>
      </c>
      <c r="AD11" s="104">
        <v>203</v>
      </c>
      <c r="AE11" s="104">
        <v>249</v>
      </c>
      <c r="AF11" s="109">
        <v>273</v>
      </c>
      <c r="AG11" s="112">
        <f>11+46+57+43+57+56+22+31+52</f>
        <v>375</v>
      </c>
      <c r="AH11" s="112">
        <f>47+45+48+53+65+21</f>
        <v>279</v>
      </c>
      <c r="AI11" s="112">
        <f>(2+1+2+17+1+3+2+3+2+2+4+3+2+1+4+1+1)+(5+4+1+4+4+2+2+1+2+2+1+2+3+1+2+2+2+1+1+2)+(4+1+1+2+6+3+5)+(2+2+3+1+1+1+2+9+5+4+3+2+2+2+4+2+2+2+2+1)+(2+4+6+3+2+2+3+3+2+4+3+2+2+1+2+2)+(2+1)</f>
        <v>215</v>
      </c>
      <c r="AJ11" s="112"/>
      <c r="AK11" s="112"/>
      <c r="AL11" s="112"/>
      <c r="AM11" s="112"/>
      <c r="AN11" s="112"/>
      <c r="AO11" s="109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06"/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38.700000000000003</v>
      </c>
      <c r="BK11">
        <f t="shared" si="0"/>
        <v>41.3</v>
      </c>
      <c r="BL11">
        <f t="shared" si="2"/>
        <v>46.1</v>
      </c>
      <c r="BM11">
        <f t="shared" si="0"/>
        <v>46.9</v>
      </c>
      <c r="BN11">
        <f t="shared" si="0"/>
        <v>50.9</v>
      </c>
      <c r="BO11">
        <f t="shared" si="0"/>
        <v>56.1</v>
      </c>
      <c r="BP11">
        <f t="shared" si="0"/>
        <v>61.3</v>
      </c>
      <c r="BQ11">
        <f t="shared" si="0"/>
        <v>65.599999999999994</v>
      </c>
      <c r="BR11">
        <f t="shared" si="3"/>
        <v>68</v>
      </c>
      <c r="BS11">
        <f t="shared" si="3"/>
        <v>71.625</v>
      </c>
      <c r="BT11">
        <f t="shared" si="0"/>
        <v>80.75</v>
      </c>
      <c r="BU11">
        <f t="shared" si="0"/>
        <v>86.571428571428569</v>
      </c>
      <c r="BV11">
        <f t="shared" si="0"/>
        <v>88.857142857142861</v>
      </c>
      <c r="BW11">
        <f t="shared" si="0"/>
        <v>96.142857142857139</v>
      </c>
      <c r="BX11">
        <f t="shared" si="0"/>
        <v>104.71428571428571</v>
      </c>
      <c r="BY11">
        <f t="shared" si="0"/>
        <v>101.14285714285714</v>
      </c>
      <c r="BZ11">
        <f t="shared" si="0"/>
        <v>111.57142857142857</v>
      </c>
      <c r="CA11">
        <f t="shared" si="0"/>
        <v>116.42857142857143</v>
      </c>
      <c r="CB11">
        <f t="shared" si="0"/>
        <v>118.25</v>
      </c>
      <c r="CC11">
        <f t="shared" si="0"/>
        <v>127.66666666666667</v>
      </c>
      <c r="CD11">
        <f t="shared" si="0"/>
        <v>139.44444444444446</v>
      </c>
      <c r="CE11">
        <f t="shared" si="0"/>
        <v>152.80000000000001</v>
      </c>
      <c r="CF11">
        <f t="shared" si="4"/>
        <v>181.9</v>
      </c>
      <c r="CG11">
        <f t="shared" si="5"/>
        <v>200.2</v>
      </c>
      <c r="CH11">
        <f t="shared" si="6"/>
        <v>208.7</v>
      </c>
      <c r="CI11">
        <f t="shared" si="7"/>
        <v>222.55555555555554</v>
      </c>
      <c r="CJ11">
        <f t="shared" si="8"/>
        <v>232.125</v>
      </c>
      <c r="CK11">
        <f t="shared" si="9"/>
        <v>246.42857142857142</v>
      </c>
      <c r="CL11">
        <f t="shared" si="10"/>
        <v>265.66666666666669</v>
      </c>
      <c r="CM11">
        <f t="shared" si="11"/>
        <v>278.2</v>
      </c>
      <c r="CN11">
        <f t="shared" si="12"/>
        <v>285.5</v>
      </c>
      <c r="CO11">
        <f t="shared" si="13"/>
        <v>289.66666666666669</v>
      </c>
      <c r="CP11">
        <f t="shared" si="14"/>
        <v>247</v>
      </c>
      <c r="CQ11">
        <f t="shared" si="15"/>
        <v>215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38</v>
      </c>
      <c r="C12" s="14">
        <v>28</v>
      </c>
      <c r="D12" s="14">
        <v>26</v>
      </c>
      <c r="E12" s="14">
        <v>42</v>
      </c>
      <c r="F12" s="14">
        <v>33</v>
      </c>
      <c r="G12" s="14">
        <v>54</v>
      </c>
      <c r="H12" s="14">
        <v>53</v>
      </c>
      <c r="I12" s="14">
        <v>39</v>
      </c>
      <c r="J12" s="14">
        <v>63</v>
      </c>
      <c r="K12" s="14">
        <v>43</v>
      </c>
      <c r="L12" s="14">
        <v>63</v>
      </c>
      <c r="M12" s="14">
        <v>73</v>
      </c>
      <c r="N12" s="14">
        <v>81</v>
      </c>
      <c r="O12" s="14">
        <v>63</v>
      </c>
      <c r="P12" s="14">
        <v>78</v>
      </c>
      <c r="Q12" s="14">
        <v>84</v>
      </c>
      <c r="R12" s="14">
        <v>87</v>
      </c>
      <c r="S12" s="14"/>
      <c r="T12" s="14"/>
      <c r="U12" s="15">
        <v>122</v>
      </c>
      <c r="V12" s="15"/>
      <c r="W12" s="15">
        <v>143</v>
      </c>
      <c r="X12" s="15">
        <v>131</v>
      </c>
      <c r="Y12" s="15">
        <v>120</v>
      </c>
      <c r="Z12" s="15">
        <v>150</v>
      </c>
      <c r="AA12" s="15">
        <v>110</v>
      </c>
      <c r="AB12" s="15">
        <v>144</v>
      </c>
      <c r="AC12" s="15">
        <v>142</v>
      </c>
      <c r="AD12" s="15">
        <v>166</v>
      </c>
      <c r="AE12" s="15">
        <v>323</v>
      </c>
      <c r="AF12" s="110">
        <v>279</v>
      </c>
      <c r="AG12" s="111">
        <f>29+14+50+31+26+52+59+40+41</f>
        <v>342</v>
      </c>
      <c r="AH12" s="111">
        <f>18+52+48+55+49+53+14</f>
        <v>289</v>
      </c>
      <c r="AI12" s="111">
        <f>(4+2+2+2+2+1+1+4+2+5+2+5+2+7+2+5+8+2)+(4+3+2+1+2+3+1+3+4+3+1+2+2+6+4+2+2+4)+(2+3+3+2+3+6+1+3+2+2+2+1+1+3+2+3+2+1+3)+(2+3+1+6+2+2+3+2+1+4+4+4+2+4+2+2+1+2+1)+(8+2)+(2+1+8+2+4+2+2+2+2+2+2+2+4+3)</f>
        <v>248</v>
      </c>
      <c r="AJ12" s="111"/>
      <c r="AK12" s="111"/>
      <c r="AL12" s="111"/>
      <c r="AM12" s="111"/>
      <c r="AN12" s="111"/>
      <c r="AO12" s="110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80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41.9</v>
      </c>
      <c r="BK12">
        <f t="shared" si="0"/>
        <v>44.4</v>
      </c>
      <c r="BL12">
        <f t="shared" si="2"/>
        <v>48.9</v>
      </c>
      <c r="BM12">
        <f t="shared" si="0"/>
        <v>54.4</v>
      </c>
      <c r="BN12">
        <f t="shared" si="0"/>
        <v>56.5</v>
      </c>
      <c r="BO12">
        <f t="shared" si="0"/>
        <v>61</v>
      </c>
      <c r="BP12">
        <f t="shared" si="0"/>
        <v>64</v>
      </c>
      <c r="BQ12">
        <f t="shared" si="0"/>
        <v>67.400000000000006</v>
      </c>
      <c r="BR12">
        <f t="shared" si="3"/>
        <v>70.555555555555557</v>
      </c>
      <c r="BS12">
        <f t="shared" si="3"/>
        <v>71.5</v>
      </c>
      <c r="BT12">
        <f t="shared" si="0"/>
        <v>81.375</v>
      </c>
      <c r="BU12">
        <f t="shared" si="0"/>
        <v>84</v>
      </c>
      <c r="BV12">
        <f t="shared" si="0"/>
        <v>94</v>
      </c>
      <c r="BW12">
        <f t="shared" si="0"/>
        <v>101.14285714285714</v>
      </c>
      <c r="BX12">
        <f t="shared" si="0"/>
        <v>109.28571428571429</v>
      </c>
      <c r="BY12">
        <f t="shared" si="0"/>
        <v>119.57142857142857</v>
      </c>
      <c r="BZ12">
        <f t="shared" si="0"/>
        <v>123.28571428571429</v>
      </c>
      <c r="CA12">
        <f t="shared" si="0"/>
        <v>131.42857142857142</v>
      </c>
      <c r="CB12">
        <f t="shared" si="0"/>
        <v>132.75</v>
      </c>
      <c r="CC12">
        <f t="shared" si="0"/>
        <v>136.44444444444446</v>
      </c>
      <c r="CD12">
        <f t="shared" si="0"/>
        <v>158.77777777777777</v>
      </c>
      <c r="CE12">
        <f t="shared" si="0"/>
        <v>170.8</v>
      </c>
      <c r="CF12">
        <f t="shared" si="4"/>
        <v>190.7</v>
      </c>
      <c r="CG12">
        <f t="shared" si="5"/>
        <v>206.5</v>
      </c>
      <c r="CH12">
        <f t="shared" si="6"/>
        <v>219.3</v>
      </c>
      <c r="CI12">
        <f t="shared" si="7"/>
        <v>227</v>
      </c>
      <c r="CJ12">
        <f t="shared" si="8"/>
        <v>241.625</v>
      </c>
      <c r="CK12">
        <f t="shared" si="9"/>
        <v>255.57142857142858</v>
      </c>
      <c r="CL12">
        <f t="shared" si="10"/>
        <v>274.5</v>
      </c>
      <c r="CM12">
        <f t="shared" si="11"/>
        <v>296.2</v>
      </c>
      <c r="CN12">
        <f t="shared" si="12"/>
        <v>289.5</v>
      </c>
      <c r="CO12">
        <f t="shared" si="13"/>
        <v>293</v>
      </c>
      <c r="CP12">
        <f t="shared" si="14"/>
        <v>268.5</v>
      </c>
      <c r="CQ12">
        <f t="shared" si="15"/>
        <v>248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5" customFormat="1" ht="18.75" customHeight="1" x14ac:dyDescent="0.2">
      <c r="A13" s="102" t="s">
        <v>8</v>
      </c>
      <c r="B13" s="103">
        <v>34</v>
      </c>
      <c r="C13" s="103">
        <v>47</v>
      </c>
      <c r="D13" s="103">
        <v>19</v>
      </c>
      <c r="E13" s="103">
        <v>27</v>
      </c>
      <c r="F13" s="103">
        <v>36</v>
      </c>
      <c r="G13" s="103">
        <v>48</v>
      </c>
      <c r="H13" s="103">
        <v>40</v>
      </c>
      <c r="I13" s="103">
        <v>41</v>
      </c>
      <c r="J13" s="103">
        <v>44</v>
      </c>
      <c r="K13" s="103">
        <v>48</v>
      </c>
      <c r="L13" s="103">
        <v>78</v>
      </c>
      <c r="M13" s="103">
        <v>52</v>
      </c>
      <c r="N13" s="103">
        <v>28</v>
      </c>
      <c r="O13" s="103">
        <v>72</v>
      </c>
      <c r="P13" s="103">
        <v>68</v>
      </c>
      <c r="Q13" s="103">
        <v>32</v>
      </c>
      <c r="R13" s="103">
        <v>65</v>
      </c>
      <c r="S13" s="103"/>
      <c r="T13" s="103"/>
      <c r="U13" s="104">
        <v>74</v>
      </c>
      <c r="V13" s="104"/>
      <c r="W13" s="104">
        <v>65</v>
      </c>
      <c r="X13" s="104">
        <v>48</v>
      </c>
      <c r="Y13" s="104">
        <v>71</v>
      </c>
      <c r="Z13" s="104">
        <v>111</v>
      </c>
      <c r="AA13" s="104">
        <v>114</v>
      </c>
      <c r="AB13" s="104">
        <v>131</v>
      </c>
      <c r="AC13" s="104">
        <v>115</v>
      </c>
      <c r="AD13" s="104">
        <v>119</v>
      </c>
      <c r="AE13" s="104">
        <v>211</v>
      </c>
      <c r="AF13" s="109">
        <v>202</v>
      </c>
      <c r="AG13" s="112">
        <f>66+42+27+56</f>
        <v>191</v>
      </c>
      <c r="AH13" s="112">
        <f>57+37+29+17+11+18</f>
        <v>169</v>
      </c>
      <c r="AI13" s="112">
        <f>(3+3+2)+(4+3+2+2+2+1+5+4+2+3+2+1+1+2+2+2+3+2+1+2)+(3+3+2+3+1+2+1+2+1+2+2+2+1+2+2+2+2+1+2)+(2+3+4+2+1+2+2+2+1+2+2+1+2+4+2+2+1)</f>
        <v>125</v>
      </c>
      <c r="AJ13" s="112"/>
      <c r="AK13" s="112"/>
      <c r="AL13" s="112"/>
      <c r="AM13" s="112"/>
      <c r="AN13" s="112"/>
      <c r="AO13" s="109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06"/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38.4</v>
      </c>
      <c r="BK13">
        <f t="shared" si="0"/>
        <v>42.8</v>
      </c>
      <c r="BL13">
        <f t="shared" si="2"/>
        <v>43.3</v>
      </c>
      <c r="BM13">
        <f t="shared" si="0"/>
        <v>44.2</v>
      </c>
      <c r="BN13">
        <f t="shared" si="0"/>
        <v>48.7</v>
      </c>
      <c r="BO13">
        <f t="shared" si="0"/>
        <v>51.9</v>
      </c>
      <c r="BP13">
        <f t="shared" si="0"/>
        <v>50.3</v>
      </c>
      <c r="BQ13">
        <f t="shared" si="0"/>
        <v>52.8</v>
      </c>
      <c r="BR13">
        <f t="shared" si="3"/>
        <v>54.111111111111114</v>
      </c>
      <c r="BS13">
        <f t="shared" si="3"/>
        <v>55.375</v>
      </c>
      <c r="BT13">
        <f t="shared" si="0"/>
        <v>58.625</v>
      </c>
      <c r="BU13">
        <f t="shared" si="0"/>
        <v>55.857142857142854</v>
      </c>
      <c r="BV13">
        <f t="shared" si="0"/>
        <v>57.714285714285715</v>
      </c>
      <c r="BW13">
        <f t="shared" si="0"/>
        <v>60.571428571428569</v>
      </c>
      <c r="BX13">
        <f t="shared" si="0"/>
        <v>60.428571428571431</v>
      </c>
      <c r="BY13">
        <f t="shared" si="0"/>
        <v>66.571428571428569</v>
      </c>
      <c r="BZ13">
        <f t="shared" si="0"/>
        <v>78.285714285714292</v>
      </c>
      <c r="CA13">
        <f t="shared" si="0"/>
        <v>87.714285714285708</v>
      </c>
      <c r="CB13">
        <f t="shared" si="0"/>
        <v>91.125</v>
      </c>
      <c r="CC13">
        <f t="shared" si="0"/>
        <v>94.222222222222229</v>
      </c>
      <c r="CD13">
        <f t="shared" si="0"/>
        <v>109.44444444444444</v>
      </c>
      <c r="CE13">
        <f t="shared" si="0"/>
        <v>118.7</v>
      </c>
      <c r="CF13">
        <f t="shared" si="4"/>
        <v>131.30000000000001</v>
      </c>
      <c r="CG13">
        <f t="shared" si="5"/>
        <v>143.4</v>
      </c>
      <c r="CH13">
        <f t="shared" si="6"/>
        <v>148.80000000000001</v>
      </c>
      <c r="CI13">
        <f t="shared" si="7"/>
        <v>153</v>
      </c>
      <c r="CJ13">
        <f t="shared" si="8"/>
        <v>157.875</v>
      </c>
      <c r="CK13">
        <f t="shared" si="9"/>
        <v>161.71428571428572</v>
      </c>
      <c r="CL13">
        <f t="shared" si="10"/>
        <v>169.5</v>
      </c>
      <c r="CM13">
        <f t="shared" si="11"/>
        <v>179.6</v>
      </c>
      <c r="CN13">
        <f t="shared" si="12"/>
        <v>171.75</v>
      </c>
      <c r="CO13">
        <f t="shared" si="13"/>
        <v>161.66666666666666</v>
      </c>
      <c r="CP13">
        <f t="shared" si="14"/>
        <v>147</v>
      </c>
      <c r="CQ13">
        <f t="shared" si="15"/>
        <v>125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24</v>
      </c>
      <c r="C14" s="14">
        <v>36</v>
      </c>
      <c r="D14" s="14">
        <v>40</v>
      </c>
      <c r="E14" s="14">
        <v>50</v>
      </c>
      <c r="F14" s="14">
        <v>40</v>
      </c>
      <c r="G14" s="14">
        <v>35</v>
      </c>
      <c r="H14" s="14">
        <v>26</v>
      </c>
      <c r="I14" s="14">
        <v>48</v>
      </c>
      <c r="J14" s="14">
        <v>56</v>
      </c>
      <c r="K14" s="14">
        <v>58</v>
      </c>
      <c r="L14" s="14">
        <v>23</v>
      </c>
      <c r="M14" s="14">
        <v>61</v>
      </c>
      <c r="N14" s="14">
        <v>52</v>
      </c>
      <c r="O14" s="14">
        <v>32</v>
      </c>
      <c r="P14" s="14">
        <v>57</v>
      </c>
      <c r="Q14" s="14">
        <v>76</v>
      </c>
      <c r="R14" s="14">
        <v>80</v>
      </c>
      <c r="S14" s="14"/>
      <c r="T14" s="14"/>
      <c r="U14" s="15">
        <v>107</v>
      </c>
      <c r="V14" s="15"/>
      <c r="W14" s="15">
        <v>68</v>
      </c>
      <c r="X14" s="15">
        <v>91</v>
      </c>
      <c r="Y14" s="15">
        <v>58</v>
      </c>
      <c r="Z14" s="15">
        <v>70</v>
      </c>
      <c r="AA14" s="15">
        <v>95</v>
      </c>
      <c r="AB14" s="15">
        <v>116</v>
      </c>
      <c r="AC14" s="15">
        <v>102</v>
      </c>
      <c r="AD14" s="15">
        <v>121</v>
      </c>
      <c r="AE14" s="15">
        <v>243</v>
      </c>
      <c r="AF14" s="110">
        <v>219</v>
      </c>
      <c r="AG14" s="111">
        <f>44+54+48+50+60+48+33</f>
        <v>337</v>
      </c>
      <c r="AH14" s="111">
        <f>8+31+36+48+31+11</f>
        <v>165</v>
      </c>
      <c r="AI14" s="111"/>
      <c r="AJ14" s="111"/>
      <c r="AK14" s="111"/>
      <c r="AL14" s="111"/>
      <c r="AM14" s="111"/>
      <c r="AN14" s="111"/>
      <c r="AO14" s="110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80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41.3</v>
      </c>
      <c r="BK14">
        <f t="shared" si="0"/>
        <v>41.2</v>
      </c>
      <c r="BL14">
        <f t="shared" si="2"/>
        <v>43.7</v>
      </c>
      <c r="BM14">
        <f t="shared" si="0"/>
        <v>44.9</v>
      </c>
      <c r="BN14">
        <f t="shared" si="0"/>
        <v>43.1</v>
      </c>
      <c r="BO14">
        <f t="shared" si="0"/>
        <v>44.8</v>
      </c>
      <c r="BP14">
        <f t="shared" si="0"/>
        <v>48.9</v>
      </c>
      <c r="BQ14">
        <f t="shared" si="0"/>
        <v>54.3</v>
      </c>
      <c r="BR14">
        <f t="shared" si="3"/>
        <v>55</v>
      </c>
      <c r="BS14">
        <f t="shared" si="3"/>
        <v>54.875</v>
      </c>
      <c r="BT14">
        <f t="shared" si="0"/>
        <v>61</v>
      </c>
      <c r="BU14">
        <f t="shared" si="0"/>
        <v>66.428571428571431</v>
      </c>
      <c r="BV14">
        <f t="shared" si="0"/>
        <v>67.428571428571431</v>
      </c>
      <c r="BW14">
        <f t="shared" si="0"/>
        <v>73</v>
      </c>
      <c r="BX14">
        <f t="shared" si="0"/>
        <v>76.714285714285708</v>
      </c>
      <c r="BY14">
        <f t="shared" si="0"/>
        <v>78.571428571428569</v>
      </c>
      <c r="BZ14">
        <f t="shared" si="0"/>
        <v>81.285714285714292</v>
      </c>
      <c r="CA14">
        <f t="shared" si="0"/>
        <v>86.428571428571431</v>
      </c>
      <c r="CB14">
        <f t="shared" si="0"/>
        <v>88.375</v>
      </c>
      <c r="CC14">
        <f t="shared" si="0"/>
        <v>92</v>
      </c>
      <c r="CD14">
        <f t="shared" si="0"/>
        <v>107.11111111111111</v>
      </c>
      <c r="CE14">
        <f t="shared" si="0"/>
        <v>118.3</v>
      </c>
      <c r="CF14">
        <f t="shared" si="4"/>
        <v>145.19999999999999</v>
      </c>
      <c r="CG14">
        <f t="shared" si="5"/>
        <v>152.6</v>
      </c>
      <c r="CH14">
        <f t="shared" si="6"/>
        <v>163.11111111111111</v>
      </c>
      <c r="CI14">
        <f t="shared" si="7"/>
        <v>174.75</v>
      </c>
      <c r="CJ14">
        <f t="shared" si="8"/>
        <v>186.14285714285714</v>
      </c>
      <c r="CK14">
        <f t="shared" si="9"/>
        <v>197.83333333333334</v>
      </c>
      <c r="CL14">
        <f t="shared" si="10"/>
        <v>217</v>
      </c>
      <c r="CM14">
        <f t="shared" si="11"/>
        <v>241</v>
      </c>
      <c r="CN14">
        <f t="shared" si="12"/>
        <v>240.33333333333334</v>
      </c>
      <c r="CO14">
        <f t="shared" si="13"/>
        <v>251</v>
      </c>
      <c r="CP14">
        <f t="shared" si="14"/>
        <v>165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5" customFormat="1" ht="20" customHeight="1" x14ac:dyDescent="0.2">
      <c r="A15" s="102" t="s">
        <v>10</v>
      </c>
      <c r="B15" s="103">
        <v>29</v>
      </c>
      <c r="C15" s="103">
        <v>35</v>
      </c>
      <c r="D15" s="103">
        <v>16</v>
      </c>
      <c r="E15" s="103">
        <v>58</v>
      </c>
      <c r="F15" s="103">
        <v>34</v>
      </c>
      <c r="G15" s="103">
        <v>22</v>
      </c>
      <c r="H15" s="103">
        <v>29</v>
      </c>
      <c r="I15" s="103">
        <v>37</v>
      </c>
      <c r="J15" s="103">
        <v>46</v>
      </c>
      <c r="K15" s="103">
        <v>17</v>
      </c>
      <c r="L15" s="103">
        <v>47</v>
      </c>
      <c r="M15" s="103">
        <v>28</v>
      </c>
      <c r="N15" s="103">
        <v>39</v>
      </c>
      <c r="O15" s="103">
        <v>36</v>
      </c>
      <c r="P15" s="103">
        <v>47</v>
      </c>
      <c r="Q15" s="103">
        <v>40</v>
      </c>
      <c r="R15" s="103">
        <v>45</v>
      </c>
      <c r="S15" s="103"/>
      <c r="T15" s="103"/>
      <c r="U15" s="104">
        <v>146</v>
      </c>
      <c r="V15" s="104"/>
      <c r="W15" s="104">
        <v>41</v>
      </c>
      <c r="X15" s="104">
        <v>23</v>
      </c>
      <c r="Y15" s="104">
        <v>47</v>
      </c>
      <c r="Z15" s="104">
        <v>40</v>
      </c>
      <c r="AA15" s="104">
        <v>53</v>
      </c>
      <c r="AB15" s="104">
        <v>51</v>
      </c>
      <c r="AC15" s="104">
        <v>44</v>
      </c>
      <c r="AD15" s="104">
        <v>89</v>
      </c>
      <c r="AE15" s="104">
        <v>229</v>
      </c>
      <c r="AF15" s="109">
        <v>132</v>
      </c>
      <c r="AG15" s="112">
        <f>18+67+46+49</f>
        <v>180</v>
      </c>
      <c r="AH15" s="112">
        <f>3+63+35+53</f>
        <v>154</v>
      </c>
      <c r="AI15" s="112"/>
      <c r="AJ15" s="112"/>
      <c r="AK15" s="112"/>
      <c r="AL15" s="112"/>
      <c r="AM15" s="112"/>
      <c r="AN15" s="112"/>
      <c r="AO15" s="109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06"/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32.299999999999997</v>
      </c>
      <c r="BK15">
        <f t="shared" si="0"/>
        <v>34.1</v>
      </c>
      <c r="BL15">
        <f t="shared" si="2"/>
        <v>33.4</v>
      </c>
      <c r="BM15">
        <f t="shared" si="0"/>
        <v>35.700000000000003</v>
      </c>
      <c r="BN15">
        <f t="shared" si="0"/>
        <v>33.5</v>
      </c>
      <c r="BO15">
        <f t="shared" si="0"/>
        <v>34.799999999999997</v>
      </c>
      <c r="BP15">
        <f t="shared" si="0"/>
        <v>36.6</v>
      </c>
      <c r="BQ15">
        <f t="shared" si="0"/>
        <v>38.200000000000003</v>
      </c>
      <c r="BR15">
        <f t="shared" si="3"/>
        <v>38.333333333333336</v>
      </c>
      <c r="BS15">
        <f t="shared" si="3"/>
        <v>37.375</v>
      </c>
      <c r="BT15">
        <f t="shared" si="0"/>
        <v>53.5</v>
      </c>
      <c r="BU15">
        <f t="shared" si="0"/>
        <v>54.428571428571431</v>
      </c>
      <c r="BV15">
        <f t="shared" si="0"/>
        <v>56.285714285714285</v>
      </c>
      <c r="BW15">
        <f t="shared" si="0"/>
        <v>54</v>
      </c>
      <c r="BX15">
        <f t="shared" si="0"/>
        <v>55.571428571428569</v>
      </c>
      <c r="BY15">
        <f t="shared" si="0"/>
        <v>54.571428571428569</v>
      </c>
      <c r="BZ15">
        <f t="shared" si="0"/>
        <v>56.428571428571431</v>
      </c>
      <c r="CA15">
        <f t="shared" si="0"/>
        <v>57.285714285714285</v>
      </c>
      <c r="CB15">
        <f t="shared" si="0"/>
        <v>55.625</v>
      </c>
      <c r="CC15">
        <f t="shared" si="0"/>
        <v>59.333333333333336</v>
      </c>
      <c r="CD15">
        <f t="shared" si="0"/>
        <v>68.555555555555557</v>
      </c>
      <c r="CE15">
        <f t="shared" si="0"/>
        <v>74.900000000000006</v>
      </c>
      <c r="CF15">
        <f t="shared" si="4"/>
        <v>88.8</v>
      </c>
      <c r="CG15">
        <f t="shared" si="5"/>
        <v>101.9</v>
      </c>
      <c r="CH15">
        <f t="shared" si="6"/>
        <v>108</v>
      </c>
      <c r="CI15">
        <f t="shared" si="7"/>
        <v>116.5</v>
      </c>
      <c r="CJ15">
        <f t="shared" si="8"/>
        <v>125.57142857142857</v>
      </c>
      <c r="CK15">
        <f t="shared" si="9"/>
        <v>138</v>
      </c>
      <c r="CL15">
        <f t="shared" si="10"/>
        <v>156.80000000000001</v>
      </c>
      <c r="CM15">
        <f t="shared" si="11"/>
        <v>173.75</v>
      </c>
      <c r="CN15">
        <f t="shared" si="12"/>
        <v>155.33333333333334</v>
      </c>
      <c r="CO15">
        <f t="shared" si="13"/>
        <v>167</v>
      </c>
      <c r="CP15">
        <f t="shared" si="14"/>
        <v>154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10</v>
      </c>
      <c r="C16" s="14">
        <v>6</v>
      </c>
      <c r="D16" s="14">
        <v>6</v>
      </c>
      <c r="E16" s="14">
        <v>8</v>
      </c>
      <c r="F16" s="14">
        <v>28</v>
      </c>
      <c r="G16" s="14">
        <v>15</v>
      </c>
      <c r="H16" s="14">
        <v>3</v>
      </c>
      <c r="I16" s="14">
        <v>38</v>
      </c>
      <c r="J16" s="14">
        <v>33</v>
      </c>
      <c r="K16" s="14">
        <v>12</v>
      </c>
      <c r="L16" s="14">
        <v>0</v>
      </c>
      <c r="M16" s="14">
        <v>20</v>
      </c>
      <c r="N16" s="14">
        <v>30</v>
      </c>
      <c r="O16" s="14">
        <v>37</v>
      </c>
      <c r="P16" s="14">
        <v>13</v>
      </c>
      <c r="Q16" s="14">
        <v>75</v>
      </c>
      <c r="R16" s="14">
        <v>31</v>
      </c>
      <c r="S16" s="14"/>
      <c r="T16" s="14"/>
      <c r="U16" s="15">
        <v>37</v>
      </c>
      <c r="V16" s="15"/>
      <c r="W16" s="15">
        <v>19</v>
      </c>
      <c r="X16" s="15">
        <v>10</v>
      </c>
      <c r="Y16" s="15">
        <v>28</v>
      </c>
      <c r="Z16" s="15">
        <v>26</v>
      </c>
      <c r="AA16" s="15">
        <v>15</v>
      </c>
      <c r="AB16" s="15">
        <v>43</v>
      </c>
      <c r="AC16" s="15">
        <v>63</v>
      </c>
      <c r="AD16" s="15">
        <v>31</v>
      </c>
      <c r="AE16" s="15">
        <v>41</v>
      </c>
      <c r="AF16" s="110">
        <v>130</v>
      </c>
      <c r="AG16" s="111">
        <f>5+40+45</f>
        <v>90</v>
      </c>
      <c r="AH16" s="111">
        <f>52+56+4</f>
        <v>112</v>
      </c>
      <c r="AI16" s="111"/>
      <c r="AJ16" s="113"/>
      <c r="AK16" s="113"/>
      <c r="AL16" s="113"/>
      <c r="AM16" s="111"/>
      <c r="AN16" s="111"/>
      <c r="AO16" s="110"/>
      <c r="AP16" s="113"/>
      <c r="AQ16" s="113"/>
      <c r="AR16" s="111"/>
      <c r="AS16" s="113"/>
      <c r="AT16" s="113"/>
      <c r="AU16" s="113"/>
      <c r="AV16" s="111"/>
      <c r="AW16" s="111"/>
      <c r="AX16" s="111"/>
      <c r="AY16" s="111"/>
      <c r="AZ16" s="80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15.9</v>
      </c>
      <c r="BK16">
        <f t="shared" si="0"/>
        <v>14.9</v>
      </c>
      <c r="BL16">
        <f t="shared" si="2"/>
        <v>16.3</v>
      </c>
      <c r="BM16">
        <f t="shared" si="0"/>
        <v>18.7</v>
      </c>
      <c r="BN16">
        <f t="shared" si="0"/>
        <v>21.6</v>
      </c>
      <c r="BO16">
        <f t="shared" si="0"/>
        <v>20.100000000000001</v>
      </c>
      <c r="BP16">
        <f t="shared" si="0"/>
        <v>26.1</v>
      </c>
      <c r="BQ16">
        <f t="shared" si="0"/>
        <v>28.9</v>
      </c>
      <c r="BR16">
        <f t="shared" si="3"/>
        <v>27.888888888888889</v>
      </c>
      <c r="BS16">
        <f t="shared" si="3"/>
        <v>27.25</v>
      </c>
      <c r="BT16">
        <f t="shared" si="0"/>
        <v>30.375</v>
      </c>
      <c r="BU16">
        <f t="shared" si="0"/>
        <v>34.714285714285715</v>
      </c>
      <c r="BV16">
        <f t="shared" si="0"/>
        <v>34.571428571428569</v>
      </c>
      <c r="BW16">
        <f t="shared" si="0"/>
        <v>31.714285714285715</v>
      </c>
      <c r="BX16">
        <f t="shared" si="0"/>
        <v>30.428571428571427</v>
      </c>
      <c r="BY16">
        <f t="shared" si="0"/>
        <v>32.285714285714285</v>
      </c>
      <c r="BZ16">
        <f t="shared" si="0"/>
        <v>23.714285714285715</v>
      </c>
      <c r="CA16">
        <f t="shared" si="0"/>
        <v>25.428571428571427</v>
      </c>
      <c r="CB16">
        <f t="shared" si="0"/>
        <v>30.125</v>
      </c>
      <c r="CC16">
        <f t="shared" si="0"/>
        <v>30.222222222222221</v>
      </c>
      <c r="CD16">
        <f t="shared" si="0"/>
        <v>30.666666666666668</v>
      </c>
      <c r="CE16">
        <f t="shared" si="0"/>
        <v>40.6</v>
      </c>
      <c r="CF16">
        <f t="shared" si="4"/>
        <v>47.7</v>
      </c>
      <c r="CG16">
        <f t="shared" si="5"/>
        <v>57.9</v>
      </c>
      <c r="CH16">
        <f t="shared" si="6"/>
        <v>61.222222222222221</v>
      </c>
      <c r="CI16">
        <f t="shared" si="7"/>
        <v>65.625</v>
      </c>
      <c r="CJ16">
        <f t="shared" si="8"/>
        <v>72.857142857142861</v>
      </c>
      <c r="CK16">
        <f t="shared" si="9"/>
        <v>77.833333333333329</v>
      </c>
      <c r="CL16">
        <f t="shared" si="10"/>
        <v>80.8</v>
      </c>
      <c r="CM16">
        <f t="shared" si="11"/>
        <v>93.25</v>
      </c>
      <c r="CN16">
        <f t="shared" si="12"/>
        <v>110.66666666666667</v>
      </c>
      <c r="CO16">
        <f t="shared" si="13"/>
        <v>101</v>
      </c>
      <c r="CP16">
        <f t="shared" si="14"/>
        <v>112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3"/>
    </row>
    <row r="18" spans="1:81" s="25" customFormat="1" ht="20" customHeight="1" x14ac:dyDescent="0.2">
      <c r="A18" s="21" t="s">
        <v>32</v>
      </c>
      <c r="B18" s="22">
        <f>SUM(B5:B16)</f>
        <v>242</v>
      </c>
      <c r="C18" s="22">
        <f t="shared" ref="C18:AZ18" si="29">SUM(C5:C16)</f>
        <v>275</v>
      </c>
      <c r="D18" s="22">
        <f t="shared" si="29"/>
        <v>223</v>
      </c>
      <c r="E18" s="22">
        <f t="shared" si="29"/>
        <v>327</v>
      </c>
      <c r="F18" s="22">
        <f t="shared" si="29"/>
        <v>345</v>
      </c>
      <c r="G18" s="22">
        <f t="shared" si="29"/>
        <v>290</v>
      </c>
      <c r="H18" s="22">
        <f t="shared" si="29"/>
        <v>428</v>
      </c>
      <c r="I18" s="22">
        <f t="shared" si="29"/>
        <v>393</v>
      </c>
      <c r="J18" s="22">
        <f t="shared" si="29"/>
        <v>379</v>
      </c>
      <c r="K18" s="22">
        <f t="shared" si="29"/>
        <v>423</v>
      </c>
      <c r="L18" s="22">
        <f t="shared" si="29"/>
        <v>468</v>
      </c>
      <c r="M18" s="22">
        <f t="shared" si="29"/>
        <v>544</v>
      </c>
      <c r="N18" s="22">
        <f t="shared" si="29"/>
        <v>511</v>
      </c>
      <c r="O18" s="22">
        <f t="shared" si="29"/>
        <v>525</v>
      </c>
      <c r="P18" s="22">
        <f t="shared" si="29"/>
        <v>595</v>
      </c>
      <c r="Q18" s="22">
        <f t="shared" si="29"/>
        <v>598</v>
      </c>
      <c r="R18" s="22">
        <f t="shared" si="29"/>
        <v>687</v>
      </c>
      <c r="S18" s="22">
        <f t="shared" si="29"/>
        <v>0</v>
      </c>
      <c r="T18" s="22">
        <f t="shared" si="29"/>
        <v>0</v>
      </c>
      <c r="U18" s="22">
        <f t="shared" si="29"/>
        <v>916</v>
      </c>
      <c r="V18" s="22">
        <f t="shared" si="29"/>
        <v>0</v>
      </c>
      <c r="W18" s="22">
        <f t="shared" si="29"/>
        <v>901</v>
      </c>
      <c r="X18" s="22">
        <f t="shared" si="29"/>
        <v>733</v>
      </c>
      <c r="Y18" s="22">
        <f t="shared" si="29"/>
        <v>714</v>
      </c>
      <c r="Z18" s="22">
        <f t="shared" si="29"/>
        <v>760</v>
      </c>
      <c r="AA18" s="22">
        <f t="shared" si="29"/>
        <v>952</v>
      </c>
      <c r="AB18" s="22">
        <f t="shared" si="29"/>
        <v>901</v>
      </c>
      <c r="AC18" s="22">
        <f t="shared" si="29"/>
        <v>974</v>
      </c>
      <c r="AD18" s="22">
        <f t="shared" si="29"/>
        <v>1229</v>
      </c>
      <c r="AE18" s="22">
        <f t="shared" si="29"/>
        <v>2014</v>
      </c>
      <c r="AF18" s="22">
        <f t="shared" si="29"/>
        <v>2380</v>
      </c>
      <c r="AG18" s="22">
        <f t="shared" si="29"/>
        <v>2489</v>
      </c>
      <c r="AH18" s="22">
        <f t="shared" si="29"/>
        <v>1889</v>
      </c>
      <c r="AI18" s="22">
        <f t="shared" si="29"/>
        <v>1263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>AVERAGE(AK18:AT18)</f>
        <v>0</v>
      </c>
      <c r="BY18" s="25">
        <f>AVERAGE(AL18:AU18)</f>
        <v>0</v>
      </c>
      <c r="BZ18" s="25">
        <f>AVERAGE(AM18:AV18)</f>
        <v>0</v>
      </c>
      <c r="CA18" s="25">
        <f>AVERAGE(AN18:AW18)</f>
        <v>0</v>
      </c>
      <c r="CB18" s="25">
        <f>AVERAGE(AO18:AY18)</f>
        <v>0</v>
      </c>
      <c r="CC18" s="25">
        <f>AVERAGE(AP18:AZ18)</f>
        <v>0</v>
      </c>
    </row>
    <row r="22" spans="1:81" ht="20" customHeight="1" x14ac:dyDescent="0.2">
      <c r="A22" s="1"/>
      <c r="B22" s="1"/>
      <c r="C22" s="1"/>
    </row>
    <row r="23" spans="1:81" ht="20" customHeight="1" x14ac:dyDescent="0.2">
      <c r="A23" s="1"/>
      <c r="B23" s="1"/>
    </row>
    <row r="24" spans="1:81" ht="20" customHeight="1" x14ac:dyDescent="0.2">
      <c r="F24" s="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8" spans="1:81" ht="20" customHeight="1" x14ac:dyDescent="0.2">
      <c r="A28" s="1"/>
      <c r="B28" s="1"/>
      <c r="C28" s="1"/>
    </row>
    <row r="29" spans="1:81" ht="20" customHeight="1" x14ac:dyDescent="0.2">
      <c r="A29" s="1"/>
      <c r="B29" s="1"/>
      <c r="C29" s="1"/>
    </row>
    <row r="30" spans="1:81" ht="20" customHeight="1" x14ac:dyDescent="0.2">
      <c r="A30" s="1"/>
      <c r="B30" s="1"/>
      <c r="C30" s="1"/>
    </row>
    <row r="31" spans="1:81" ht="20" customHeight="1" x14ac:dyDescent="0.2">
      <c r="A31" s="1"/>
      <c r="B31" s="1"/>
      <c r="C31" s="1"/>
    </row>
    <row r="32" spans="1:81" ht="20" customHeight="1" x14ac:dyDescent="0.2">
      <c r="A32" s="1"/>
      <c r="B32" s="1"/>
      <c r="C32" s="1"/>
    </row>
    <row r="33" spans="1:56" ht="20" customHeight="1" x14ac:dyDescent="0.2">
      <c r="A33" s="1"/>
      <c r="B33" s="1"/>
      <c r="C33" s="1"/>
    </row>
    <row r="34" spans="1:56" ht="20" customHeight="1" x14ac:dyDescent="0.2">
      <c r="A34" s="1"/>
      <c r="B34" s="1"/>
      <c r="C34" s="1"/>
    </row>
    <row r="35" spans="1:56" ht="20" customHeight="1" x14ac:dyDescent="0.2">
      <c r="A35" s="1"/>
      <c r="B35" s="1"/>
      <c r="C35" s="1"/>
    </row>
    <row r="36" spans="1:56" ht="20" customHeight="1" x14ac:dyDescent="0.2">
      <c r="A36" s="1"/>
      <c r="B36" s="1"/>
      <c r="C36" s="1"/>
    </row>
    <row r="37" spans="1:56" ht="20" customHeight="1" x14ac:dyDescent="0.2">
      <c r="A37" s="1"/>
      <c r="B37" s="1"/>
      <c r="C37" s="1"/>
    </row>
    <row r="38" spans="1:56" ht="20" customHeight="1" x14ac:dyDescent="0.2">
      <c r="A38" s="1"/>
      <c r="B38" s="1"/>
      <c r="C38" s="1"/>
    </row>
    <row r="39" spans="1:56" ht="20" customHeight="1" x14ac:dyDescent="0.2">
      <c r="A39" s="1"/>
      <c r="B39" s="1"/>
      <c r="C39" s="1"/>
    </row>
    <row r="40" spans="1:56" ht="20" customHeight="1" x14ac:dyDescent="0.2">
      <c r="A40" s="1"/>
      <c r="B40" s="1"/>
      <c r="C40" s="1"/>
    </row>
    <row r="41" spans="1:56" ht="20" customHeight="1" x14ac:dyDescent="0.2">
      <c r="A41" s="1"/>
      <c r="B41" s="1"/>
      <c r="C41" s="1"/>
    </row>
    <row r="42" spans="1:56" ht="20" customHeight="1" x14ac:dyDescent="0.2">
      <c r="A42" s="1"/>
      <c r="B42" s="1"/>
      <c r="C42" s="1"/>
    </row>
    <row r="43" spans="1:56" ht="20" customHeight="1" x14ac:dyDescent="0.2">
      <c r="A43" s="1"/>
      <c r="B43" s="1"/>
      <c r="C43" s="1"/>
    </row>
    <row r="44" spans="1:56" ht="20" customHeight="1" x14ac:dyDescent="0.2">
      <c r="A44" s="1"/>
      <c r="B44" s="1"/>
      <c r="C44" s="1"/>
    </row>
    <row r="45" spans="1:56" ht="20" customHeight="1" x14ac:dyDescent="0.2">
      <c r="A45" s="1"/>
      <c r="B45" s="1"/>
      <c r="C45" s="1"/>
    </row>
    <row r="46" spans="1:56" ht="20" customHeight="1" x14ac:dyDescent="0.2">
      <c r="A46" s="1"/>
      <c r="B46" s="1"/>
      <c r="C46" s="1"/>
    </row>
    <row r="47" spans="1:56" ht="20" customHeight="1" x14ac:dyDescent="0.2">
      <c r="A47" s="1"/>
      <c r="B47" s="1"/>
      <c r="C47" s="1"/>
    </row>
    <row r="48" spans="1:56" ht="20" customHeight="1" x14ac:dyDescent="0.2">
      <c r="A48" s="1"/>
      <c r="B48" s="1"/>
      <c r="C48" s="1"/>
      <c r="AI48" s="1"/>
      <c r="BD48" s="1"/>
    </row>
    <row r="49" spans="1:28" ht="20" customHeight="1" x14ac:dyDescent="0.2">
      <c r="A49" s="1"/>
      <c r="B49" s="1"/>
      <c r="C49" s="1"/>
    </row>
    <row r="50" spans="1:28" ht="20" customHeight="1" x14ac:dyDescent="0.2">
      <c r="A50" s="1"/>
      <c r="B50" s="1"/>
      <c r="C50" s="1"/>
    </row>
    <row r="51" spans="1:28" ht="20" customHeight="1" x14ac:dyDescent="0.2">
      <c r="A51" s="1"/>
      <c r="B51" s="1"/>
      <c r="C51" s="1"/>
    </row>
    <row r="52" spans="1:28" ht="20" customHeight="1" x14ac:dyDescent="0.2">
      <c r="A52" s="1"/>
      <c r="B52" s="1"/>
      <c r="C52" s="1"/>
    </row>
    <row r="53" spans="1:28" ht="20" customHeight="1" x14ac:dyDescent="0.2">
      <c r="A53" s="1"/>
      <c r="B53" s="1"/>
      <c r="C53" s="1"/>
    </row>
    <row r="54" spans="1:28" ht="20" customHeight="1" x14ac:dyDescent="0.2">
      <c r="A54" s="1"/>
      <c r="B54" s="1"/>
      <c r="C54" s="1"/>
    </row>
    <row r="55" spans="1:28" ht="20" customHeight="1" x14ac:dyDescent="0.2">
      <c r="A55" s="1"/>
      <c r="B55" s="1"/>
      <c r="C55" s="1"/>
    </row>
    <row r="56" spans="1:28" ht="20" customHeight="1" x14ac:dyDescent="0.2">
      <c r="A56" s="1"/>
      <c r="B56" s="1"/>
      <c r="C56" s="1"/>
    </row>
    <row r="57" spans="1:28" ht="20" customHeight="1" x14ac:dyDescent="0.2">
      <c r="A57" s="1"/>
      <c r="B57" s="1"/>
      <c r="C57" s="1"/>
    </row>
    <row r="58" spans="1:28" ht="20" customHeight="1" x14ac:dyDescent="0.2">
      <c r="A58" s="1"/>
      <c r="B58" s="1"/>
      <c r="C58" s="1"/>
    </row>
    <row r="59" spans="1:28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20" customHeight="1" x14ac:dyDescent="0.2">
      <c r="A60" s="1"/>
      <c r="B60" s="1"/>
      <c r="C60" s="1"/>
    </row>
    <row r="61" spans="1:28" ht="20" customHeight="1" x14ac:dyDescent="0.2">
      <c r="A61" s="8"/>
      <c r="B61" s="1"/>
      <c r="C61" s="1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transitionEvaluation="1" codeName="Sheet5">
    <tabColor theme="3"/>
  </sheetPr>
  <dimension ref="A1:DJ192"/>
  <sheetViews>
    <sheetView defaultGridColor="0" colorId="22" zoomScale="90" zoomScaleNormal="90" workbookViewId="0">
      <pane xSplit="1" topLeftCell="W1" activePane="topRight" state="frozen"/>
      <selection activeCell="DM30" sqref="DM30"/>
      <selection pane="topRight" activeCell="AJ14" sqref="AJ14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8" width="5.7109375" style="5" customWidth="1"/>
    <col min="29" max="29" width="6.5703125" style="5" customWidth="1"/>
    <col min="30" max="30" width="9.42578125" style="5" customWidth="1"/>
    <col min="31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7" width="20" style="5" customWidth="1"/>
    <col min="78" max="79" width="16.42578125" style="5" customWidth="1"/>
    <col min="80" max="80" width="17.140625" style="5" customWidth="1"/>
    <col min="81" max="81" width="9.42578125" style="5" customWidth="1"/>
    <col min="82" max="82" width="16.85546875" style="5" customWidth="1"/>
    <col min="83" max="114" width="9.42578125" style="5" hidden="1" customWidth="1"/>
    <col min="115" max="16384" width="9.42578125" style="5"/>
  </cols>
  <sheetData>
    <row r="1" spans="1:108" s="34" customFormat="1" ht="25" customHeight="1" x14ac:dyDescent="0.2">
      <c r="A1" s="31" t="s">
        <v>12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E1" s="34" t="s">
        <v>128</v>
      </c>
      <c r="BA1" s="35"/>
      <c r="BE1" s="35"/>
    </row>
    <row r="2" spans="1:108" s="34" customFormat="1" ht="25" customHeight="1" x14ac:dyDescent="0.25">
      <c r="A2" s="36" t="s">
        <v>120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29</v>
      </c>
      <c r="C5" s="16">
        <v>25</v>
      </c>
      <c r="D5" s="16">
        <v>29</v>
      </c>
      <c r="E5" s="16">
        <v>40</v>
      </c>
      <c r="F5" s="16">
        <v>96</v>
      </c>
      <c r="G5" s="16">
        <v>34</v>
      </c>
      <c r="H5" s="16">
        <v>25</v>
      </c>
      <c r="I5" s="16">
        <v>77</v>
      </c>
      <c r="J5" s="16">
        <v>50</v>
      </c>
      <c r="K5" s="16">
        <v>67</v>
      </c>
      <c r="L5" s="16">
        <v>72</v>
      </c>
      <c r="M5" s="16">
        <v>75</v>
      </c>
      <c r="N5" s="16">
        <v>24</v>
      </c>
      <c r="O5" s="16">
        <v>68</v>
      </c>
      <c r="P5" s="16">
        <v>38</v>
      </c>
      <c r="Q5" s="16">
        <v>45</v>
      </c>
      <c r="R5" s="16">
        <v>66</v>
      </c>
      <c r="S5" s="16"/>
      <c r="T5" s="16"/>
      <c r="U5" s="17">
        <v>22</v>
      </c>
      <c r="V5" s="17"/>
      <c r="W5" s="17">
        <v>54</v>
      </c>
      <c r="X5" s="17">
        <v>58</v>
      </c>
      <c r="Y5" s="17">
        <v>71</v>
      </c>
      <c r="Z5" s="17">
        <v>108</v>
      </c>
      <c r="AA5" s="17">
        <v>197</v>
      </c>
      <c r="AB5" s="17">
        <v>168</v>
      </c>
      <c r="AC5" s="17">
        <v>116</v>
      </c>
      <c r="AD5" s="17">
        <v>101</v>
      </c>
      <c r="AE5" s="10">
        <v>166</v>
      </c>
      <c r="AF5" s="10">
        <v>185</v>
      </c>
      <c r="AG5" s="10">
        <f>35+32+15+42+8</f>
        <v>132</v>
      </c>
      <c r="AH5" s="10">
        <f>29+45+40+32+52+23</f>
        <v>221</v>
      </c>
      <c r="AI5" s="10">
        <f>SUM(5+6+6+2+3+3+1+2+2+3+5+1+4+1+2+2+2+1+1+1+1+1+3+1+22+1+2+7+2+2+1+1+3+1+1+3+1+1+1+1+2+1+2+2+1+4+1)</f>
        <v>122</v>
      </c>
      <c r="AJ5" s="10">
        <f>SUM(2+2+5+1+1+2+2+1+2+1+1+3+1+1+1+3+5+2+1+3+1+2+2+2+1+2+1+2+2+1+2+6+2+1+2+2+2+1+2+3+2+1+5+1+2+2+2+2+3+2+2+1+5+1+5+5+2+5+2+2+1+1+1+2+1+2+3+1)</f>
        <v>143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 t="shared" ref="BJ5:DD5" si="0">AVERAGE(B5:K5)</f>
        <v>47.2</v>
      </c>
      <c r="BK5">
        <f t="shared" si="0"/>
        <v>51.5</v>
      </c>
      <c r="BL5">
        <f t="shared" si="0"/>
        <v>56.5</v>
      </c>
      <c r="BM5">
        <f t="shared" si="0"/>
        <v>56</v>
      </c>
      <c r="BN5">
        <f t="shared" si="0"/>
        <v>58.8</v>
      </c>
      <c r="BO5">
        <f t="shared" si="0"/>
        <v>53</v>
      </c>
      <c r="BP5">
        <f t="shared" si="0"/>
        <v>54.1</v>
      </c>
      <c r="BQ5">
        <f t="shared" si="0"/>
        <v>58.2</v>
      </c>
      <c r="BR5">
        <f t="shared" si="0"/>
        <v>56.111111111111114</v>
      </c>
      <c r="BS5">
        <f t="shared" si="0"/>
        <v>56.875</v>
      </c>
      <c r="BT5">
        <f t="shared" si="0"/>
        <v>51.25</v>
      </c>
      <c r="BU5">
        <f t="shared" si="0"/>
        <v>48.285714285714285</v>
      </c>
      <c r="BV5">
        <f t="shared" si="0"/>
        <v>45.285714285714285</v>
      </c>
      <c r="BW5">
        <f t="shared" si="0"/>
        <v>50.142857142857146</v>
      </c>
      <c r="BX5">
        <f t="shared" si="0"/>
        <v>50.571428571428569</v>
      </c>
      <c r="BY5">
        <f t="shared" si="0"/>
        <v>60.571428571428569</v>
      </c>
      <c r="BZ5">
        <f t="shared" si="0"/>
        <v>82.285714285714292</v>
      </c>
      <c r="CA5">
        <f t="shared" si="0"/>
        <v>96.857142857142861</v>
      </c>
      <c r="CB5">
        <f t="shared" si="0"/>
        <v>99.25</v>
      </c>
      <c r="CC5">
        <f t="shared" si="0"/>
        <v>99.444444444444443</v>
      </c>
      <c r="CD5">
        <f t="shared" si="0"/>
        <v>115.44444444444444</v>
      </c>
      <c r="CE5">
        <f t="shared" si="0"/>
        <v>122.4</v>
      </c>
      <c r="CF5">
        <f t="shared" si="0"/>
        <v>130.19999999999999</v>
      </c>
      <c r="CG5">
        <f t="shared" si="0"/>
        <v>146.5</v>
      </c>
      <c r="CH5">
        <f t="shared" si="0"/>
        <v>151.6</v>
      </c>
      <c r="CI5">
        <f t="shared" si="0"/>
        <v>155.1</v>
      </c>
      <c r="CJ5">
        <f t="shared" si="0"/>
        <v>150.44444444444446</v>
      </c>
      <c r="CK5">
        <f t="shared" si="0"/>
        <v>148.25</v>
      </c>
      <c r="CL5">
        <f t="shared" si="0"/>
        <v>152.85714285714286</v>
      </c>
      <c r="CM5">
        <f t="shared" si="0"/>
        <v>161.5</v>
      </c>
      <c r="CN5">
        <f t="shared" si="0"/>
        <v>160.6</v>
      </c>
      <c r="CO5">
        <f t="shared" si="0"/>
        <v>154.5</v>
      </c>
      <c r="CP5">
        <f t="shared" si="0"/>
        <v>162</v>
      </c>
      <c r="CQ5">
        <f t="shared" si="0"/>
        <v>132.5</v>
      </c>
      <c r="CR5">
        <f t="shared" si="0"/>
        <v>143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66</v>
      </c>
      <c r="C6" s="14">
        <v>23</v>
      </c>
      <c r="D6" s="14">
        <v>28</v>
      </c>
      <c r="E6" s="14">
        <v>25</v>
      </c>
      <c r="F6" s="14">
        <v>50</v>
      </c>
      <c r="G6" s="14">
        <v>19</v>
      </c>
      <c r="H6" s="14">
        <v>35</v>
      </c>
      <c r="I6" s="14">
        <v>83</v>
      </c>
      <c r="J6" s="14">
        <v>75</v>
      </c>
      <c r="K6" s="14">
        <v>48</v>
      </c>
      <c r="L6" s="14">
        <v>75</v>
      </c>
      <c r="M6" s="14">
        <v>81</v>
      </c>
      <c r="N6" s="14">
        <v>22</v>
      </c>
      <c r="O6" s="14">
        <v>60</v>
      </c>
      <c r="P6" s="14">
        <v>89</v>
      </c>
      <c r="Q6" s="14">
        <v>61</v>
      </c>
      <c r="R6" s="14">
        <v>59</v>
      </c>
      <c r="S6" s="14"/>
      <c r="T6" s="14"/>
      <c r="U6" s="15">
        <v>36</v>
      </c>
      <c r="V6" s="15"/>
      <c r="W6" s="15">
        <v>63</v>
      </c>
      <c r="X6" s="15">
        <v>103</v>
      </c>
      <c r="Y6" s="15">
        <v>119</v>
      </c>
      <c r="Z6" s="15">
        <v>99</v>
      </c>
      <c r="AA6" s="15">
        <v>141</v>
      </c>
      <c r="AB6" s="15">
        <v>169</v>
      </c>
      <c r="AC6" s="15">
        <v>141</v>
      </c>
      <c r="AD6" s="15">
        <v>177</v>
      </c>
      <c r="AE6" s="124">
        <v>160</v>
      </c>
      <c r="AF6" s="124">
        <v>106</v>
      </c>
      <c r="AG6" s="124">
        <f>2+41+39+2+33+35+34+6+13</f>
        <v>205</v>
      </c>
      <c r="AH6" s="124">
        <f>18+41+59+48+1</f>
        <v>167</v>
      </c>
      <c r="AI6" s="124">
        <f>SUM(1+1+1+2+1+1+1+2+2+2+1+2+5+1+2+1+2+1+1+1+2+4+2+4+2+2+1+1+1+1+2+1+1+1+2+1+3+2+2+4+4+2+2+1+1+2+1+2+2+2+2+2+8+5+1+1+8+2+2+1+1+1+2+1+1+1+1+4+5+7+4+1+3+1+2+1+2+1+1+1+1+1+1+2+1+1+1+1+1+2+2+2)</f>
        <v>178</v>
      </c>
      <c r="AJ6" s="124">
        <f>SUM(1+2+1+2+3+5+1+1+2+2+2+2+2+2+2+1+2+1+3+3+34+2+2+2+2+1+1+12+2+2+2+2+2+1+1+2+2+1+1+2+1+2+2+2+7+2+2+1+2+2)</f>
        <v>139</v>
      </c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45.2</v>
      </c>
      <c r="BK6">
        <f t="shared" ref="BK6:BK16" si="2">AVERAGE(C6:L6)</f>
        <v>46.1</v>
      </c>
      <c r="BL6">
        <f t="shared" ref="BL6:BL16" si="3">AVERAGE(D6:M6)</f>
        <v>51.9</v>
      </c>
      <c r="BM6">
        <f t="shared" ref="BM6:BM16" si="4">AVERAGE(E6:N6)</f>
        <v>51.3</v>
      </c>
      <c r="BN6">
        <f t="shared" ref="BN6:BN16" si="5">AVERAGE(F6:O6)</f>
        <v>54.8</v>
      </c>
      <c r="BO6">
        <f t="shared" ref="BO6:BO16" si="6">AVERAGE(G6:P6)</f>
        <v>58.7</v>
      </c>
      <c r="BP6">
        <f t="shared" ref="BP6:BP16" si="7">AVERAGE(H6:Q6)</f>
        <v>62.9</v>
      </c>
      <c r="BQ6">
        <f t="shared" ref="BQ6:BQ16" si="8">AVERAGE(I6:R6)</f>
        <v>65.3</v>
      </c>
      <c r="BR6">
        <f t="shared" ref="BR6:BR16" si="9">AVERAGE(J6:S6)</f>
        <v>63.333333333333336</v>
      </c>
      <c r="BS6">
        <f t="shared" ref="BS6:BS16" si="10">AVERAGE(K6:T6)</f>
        <v>61.875</v>
      </c>
      <c r="BT6">
        <f t="shared" ref="BT6:BT16" si="11">AVERAGE(L6:U6)</f>
        <v>60.375</v>
      </c>
      <c r="BU6">
        <f t="shared" ref="BU6:BU16" si="12">AVERAGE(M6:V6)</f>
        <v>58.285714285714285</v>
      </c>
      <c r="BV6">
        <f t="shared" ref="BV6:BV16" si="13">AVERAGE(N6:W6)</f>
        <v>55.714285714285715</v>
      </c>
      <c r="BW6">
        <f t="shared" ref="BW6:BW16" si="14">AVERAGE(O6:X6)</f>
        <v>67.285714285714292</v>
      </c>
      <c r="BX6">
        <f t="shared" ref="BX6:BX16" si="15">AVERAGE(P6:Y6)</f>
        <v>75.714285714285708</v>
      </c>
      <c r="BY6">
        <f t="shared" ref="BY6:BY16" si="16">AVERAGE(Q6:Z6)</f>
        <v>77.142857142857139</v>
      </c>
      <c r="BZ6">
        <f t="shared" ref="BZ6:BZ16" si="17">AVERAGE(R6:AA6)</f>
        <v>88.571428571428569</v>
      </c>
      <c r="CA6">
        <f t="shared" ref="CA6:CA16" si="18">AVERAGE(S6:AB6)</f>
        <v>104.28571428571429</v>
      </c>
      <c r="CB6">
        <f t="shared" ref="CB6:CB16" si="19">AVERAGE(T6:AC6)</f>
        <v>108.875</v>
      </c>
      <c r="CC6">
        <f t="shared" ref="CC6:CC16" si="20">AVERAGE(U6:AD6)</f>
        <v>116.44444444444444</v>
      </c>
      <c r="CD6">
        <f t="shared" ref="CD6:CD16" si="21">AVERAGE(V6:AE6)</f>
        <v>130.22222222222223</v>
      </c>
      <c r="CE6">
        <f t="shared" ref="CE6:CE16" si="22">AVERAGE(W6:AF6)</f>
        <v>127.8</v>
      </c>
      <c r="CF6">
        <f t="shared" ref="CF6:CF16" si="23">AVERAGE(X6:AG6)</f>
        <v>142</v>
      </c>
      <c r="CG6">
        <f t="shared" ref="CG6:CG16" si="24">AVERAGE(Y6:AH6)</f>
        <v>148.4</v>
      </c>
      <c r="CH6">
        <f t="shared" ref="CH6:CH16" si="25">AVERAGE(Z6:AI6)</f>
        <v>154.30000000000001</v>
      </c>
      <c r="CI6">
        <f t="shared" ref="CI6:CI16" si="26">AVERAGE(AA6:AJ6)</f>
        <v>158.30000000000001</v>
      </c>
      <c r="CJ6">
        <f t="shared" ref="CJ6:CJ16" si="27">AVERAGE(AB6:AK6)</f>
        <v>160.22222222222223</v>
      </c>
      <c r="CK6">
        <f t="shared" ref="CK6:CK16" si="28">AVERAGE(AC6:AL6)</f>
        <v>159.125</v>
      </c>
      <c r="CL6">
        <f t="shared" ref="CL6:CL16" si="29">AVERAGE(AD6:AM6)</f>
        <v>161.71428571428572</v>
      </c>
      <c r="CM6">
        <f t="shared" ref="CM6:CM16" si="30">AVERAGE(AE6:AN6)</f>
        <v>159.16666666666666</v>
      </c>
      <c r="CN6">
        <f t="shared" ref="CN6:CN16" si="31">AVERAGE(AF6:AO6)</f>
        <v>159</v>
      </c>
      <c r="CO6">
        <f t="shared" ref="CO6:CO16" si="32">AVERAGE(AG6:AP6)</f>
        <v>172.25</v>
      </c>
      <c r="CP6">
        <f t="shared" ref="CP6:CP16" si="33">AVERAGE(AH6:AQ6)</f>
        <v>161.33333333333334</v>
      </c>
      <c r="CQ6">
        <f t="shared" ref="CQ6:CQ16" si="34">AVERAGE(AI6:AR6)</f>
        <v>158.5</v>
      </c>
      <c r="CR6">
        <f t="shared" ref="CR6:CR16" si="35">AVERAGE(AJ6:AS6)</f>
        <v>139</v>
      </c>
      <c r="CS6" t="e">
        <f t="shared" ref="CS6:CS16" si="36">AVERAGE(AK6:AT6)</f>
        <v>#DIV/0!</v>
      </c>
      <c r="CT6" t="e">
        <f t="shared" ref="CT6:CT16" si="37">AVERAGE(AL6:AU6)</f>
        <v>#DIV/0!</v>
      </c>
      <c r="CU6" t="e">
        <f t="shared" ref="CU6:CU16" si="38">AVERAGE(AM6:AV6)</f>
        <v>#DIV/0!</v>
      </c>
      <c r="CV6" t="e">
        <f t="shared" ref="CV6:CV16" si="39">AVERAGE(AN6:AW6)</f>
        <v>#DIV/0!</v>
      </c>
      <c r="CW6" t="e">
        <f t="shared" ref="CW6:CW16" si="40">AVERAGE(AO6:AX6)</f>
        <v>#DIV/0!</v>
      </c>
      <c r="CX6" t="e">
        <f t="shared" ref="CX6:CX16" si="41">AVERAGE(AP6:AY6)</f>
        <v>#DIV/0!</v>
      </c>
      <c r="CY6" t="e">
        <f t="shared" ref="CY6:CY16" si="42">AVERAGE(AQ6:AZ6)</f>
        <v>#DIV/0!</v>
      </c>
      <c r="CZ6" t="e">
        <f t="shared" ref="CZ6:CZ16" si="43">AVERAGE(AR6:BA6)</f>
        <v>#N/A</v>
      </c>
      <c r="DA6" t="e">
        <f t="shared" ref="DA6:DA16" si="44">AVERAGE(AS6:BB6)</f>
        <v>#N/A</v>
      </c>
      <c r="DB6" t="e">
        <f t="shared" ref="DB6:DB16" si="45">AVERAGE(AT6:BC6)</f>
        <v>#N/A</v>
      </c>
      <c r="DC6" t="e">
        <f t="shared" ref="DC6:DC16" si="46">AVERAGE(AU6:BD6)</f>
        <v>#N/A</v>
      </c>
      <c r="DD6" t="e">
        <f t="shared" ref="DD6:DD16" si="47">AVERAGE(AV6:BE6)</f>
        <v>#N/A</v>
      </c>
    </row>
    <row r="7" spans="1:108" s="10" customFormat="1" ht="20" customHeight="1" x14ac:dyDescent="0.2">
      <c r="A7" s="9" t="s">
        <v>2</v>
      </c>
      <c r="B7" s="16">
        <v>14</v>
      </c>
      <c r="C7" s="16">
        <v>35</v>
      </c>
      <c r="D7" s="16">
        <v>12</v>
      </c>
      <c r="E7" s="16">
        <v>42</v>
      </c>
      <c r="F7" s="16">
        <v>51</v>
      </c>
      <c r="G7" s="16">
        <v>55</v>
      </c>
      <c r="H7" s="16">
        <v>30</v>
      </c>
      <c r="I7" s="16">
        <v>28</v>
      </c>
      <c r="J7" s="16">
        <v>59</v>
      </c>
      <c r="K7" s="16">
        <v>40</v>
      </c>
      <c r="L7" s="16">
        <v>56</v>
      </c>
      <c r="M7" s="16">
        <v>54</v>
      </c>
      <c r="N7" s="16">
        <v>26</v>
      </c>
      <c r="O7" s="16">
        <v>39</v>
      </c>
      <c r="P7" s="16">
        <v>54</v>
      </c>
      <c r="Q7" s="16">
        <v>57</v>
      </c>
      <c r="R7" s="16">
        <v>65</v>
      </c>
      <c r="S7" s="16"/>
      <c r="T7" s="16"/>
      <c r="U7" s="17">
        <v>31</v>
      </c>
      <c r="V7" s="17"/>
      <c r="W7" s="17">
        <v>45</v>
      </c>
      <c r="X7" s="17">
        <v>112</v>
      </c>
      <c r="Y7" s="17">
        <v>69</v>
      </c>
      <c r="Z7" s="17">
        <v>90</v>
      </c>
      <c r="AA7" s="17">
        <v>192</v>
      </c>
      <c r="AB7" s="17">
        <v>96</v>
      </c>
      <c r="AC7" s="17">
        <v>86</v>
      </c>
      <c r="AD7" s="17">
        <v>69</v>
      </c>
      <c r="AE7" s="10">
        <v>182</v>
      </c>
      <c r="AF7" s="10">
        <v>174</v>
      </c>
      <c r="AG7" s="10">
        <f>25+18+31+36+19</f>
        <v>129</v>
      </c>
      <c r="AH7" s="10">
        <f>30+43+34+32</f>
        <v>139</v>
      </c>
      <c r="AI7" s="10">
        <f>SUM(2+1+1+1+1+1+2+2+2+1+2+2+4+2+1+2+1+3+1+1+12+1+2+1+2+2+1+1+1+1+1+2+1+1+2+5+2+3+1+2+3+2+3+1+1+2+2+2+1+1+6+7+2+2+1+2+1+1+1+1+7+2+2+1+20+3+1+3+2+1+2+2+1+1+1+1+2+3+2+3+9+1+1+1+5+2+2+3+2+2+1+3+2+2)</f>
        <v>215</v>
      </c>
      <c r="AJ7" s="10">
        <f>SUM(1+9+4+2+4+1+2+1+1+1+2+2+1+3+1+1+1+4+1+1+1+5+2+1+4+1+1+1+2+1+1+2+2+1+1+1+2+3+2+2+2+2+2+1+2+1+2+2+2+3+2+1+1+4+7+2+1+1+1+2+1+2+2+1+2+3)</f>
        <v>131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36.6</v>
      </c>
      <c r="BK7">
        <f t="shared" si="2"/>
        <v>40.799999999999997</v>
      </c>
      <c r="BL7">
        <f t="shared" si="3"/>
        <v>42.7</v>
      </c>
      <c r="BM7">
        <f t="shared" si="4"/>
        <v>44.1</v>
      </c>
      <c r="BN7">
        <f t="shared" si="5"/>
        <v>43.8</v>
      </c>
      <c r="BO7">
        <f t="shared" si="6"/>
        <v>44.1</v>
      </c>
      <c r="BP7">
        <f t="shared" si="7"/>
        <v>44.3</v>
      </c>
      <c r="BQ7">
        <f t="shared" si="8"/>
        <v>47.8</v>
      </c>
      <c r="BR7">
        <f t="shared" si="9"/>
        <v>50</v>
      </c>
      <c r="BS7">
        <f t="shared" si="10"/>
        <v>48.875</v>
      </c>
      <c r="BT7">
        <f t="shared" si="11"/>
        <v>47.75</v>
      </c>
      <c r="BU7">
        <f t="shared" si="12"/>
        <v>46.571428571428569</v>
      </c>
      <c r="BV7">
        <f t="shared" si="13"/>
        <v>45.285714285714285</v>
      </c>
      <c r="BW7">
        <f t="shared" si="14"/>
        <v>57.571428571428569</v>
      </c>
      <c r="BX7">
        <f t="shared" si="15"/>
        <v>61.857142857142854</v>
      </c>
      <c r="BY7">
        <f t="shared" si="16"/>
        <v>67</v>
      </c>
      <c r="BZ7">
        <f t="shared" si="17"/>
        <v>86.285714285714292</v>
      </c>
      <c r="CA7">
        <f t="shared" si="18"/>
        <v>90.714285714285708</v>
      </c>
      <c r="CB7">
        <f t="shared" si="19"/>
        <v>90.125</v>
      </c>
      <c r="CC7">
        <f t="shared" si="20"/>
        <v>87.777777777777771</v>
      </c>
      <c r="CD7">
        <f t="shared" si="21"/>
        <v>104.55555555555556</v>
      </c>
      <c r="CE7">
        <f t="shared" si="22"/>
        <v>111.5</v>
      </c>
      <c r="CF7">
        <f t="shared" si="23"/>
        <v>119.9</v>
      </c>
      <c r="CG7">
        <f t="shared" si="24"/>
        <v>122.6</v>
      </c>
      <c r="CH7">
        <f t="shared" si="25"/>
        <v>137.19999999999999</v>
      </c>
      <c r="CI7">
        <f t="shared" si="26"/>
        <v>141.30000000000001</v>
      </c>
      <c r="CJ7">
        <f t="shared" si="27"/>
        <v>135.66666666666666</v>
      </c>
      <c r="CK7">
        <f t="shared" si="28"/>
        <v>140.625</v>
      </c>
      <c r="CL7">
        <f t="shared" si="29"/>
        <v>148.42857142857142</v>
      </c>
      <c r="CM7">
        <f t="shared" si="30"/>
        <v>161.66666666666666</v>
      </c>
      <c r="CN7">
        <f t="shared" si="31"/>
        <v>157.6</v>
      </c>
      <c r="CO7">
        <f t="shared" si="32"/>
        <v>153.5</v>
      </c>
      <c r="CP7">
        <f t="shared" si="33"/>
        <v>161.66666666666666</v>
      </c>
      <c r="CQ7">
        <f t="shared" si="34"/>
        <v>173</v>
      </c>
      <c r="CR7">
        <f t="shared" si="35"/>
        <v>131</v>
      </c>
      <c r="CS7" t="e">
        <f t="shared" si="36"/>
        <v>#DIV/0!</v>
      </c>
      <c r="CT7" t="e">
        <f t="shared" si="37"/>
        <v>#DIV/0!</v>
      </c>
      <c r="CU7" t="e">
        <f t="shared" si="38"/>
        <v>#DIV/0!</v>
      </c>
      <c r="CV7" t="e">
        <f t="shared" si="39"/>
        <v>#DIV/0!</v>
      </c>
      <c r="CW7" t="e">
        <f t="shared" si="40"/>
        <v>#DIV/0!</v>
      </c>
      <c r="CX7" t="e">
        <f t="shared" si="41"/>
        <v>#DIV/0!</v>
      </c>
      <c r="CY7" t="e">
        <f t="shared" si="42"/>
        <v>#DIV/0!</v>
      </c>
      <c r="CZ7" t="e">
        <f t="shared" si="43"/>
        <v>#N/A</v>
      </c>
      <c r="DA7" t="e">
        <f t="shared" si="44"/>
        <v>#N/A</v>
      </c>
      <c r="DB7" t="e">
        <f t="shared" si="45"/>
        <v>#N/A</v>
      </c>
      <c r="DC7" t="e">
        <f t="shared" si="46"/>
        <v>#N/A</v>
      </c>
      <c r="DD7" t="e">
        <f t="shared" si="47"/>
        <v>#N/A</v>
      </c>
    </row>
    <row r="8" spans="1:108" ht="20" customHeight="1" x14ac:dyDescent="0.2">
      <c r="A8" s="7" t="s">
        <v>3</v>
      </c>
      <c r="B8" s="14">
        <v>15</v>
      </c>
      <c r="C8" s="14">
        <v>56</v>
      </c>
      <c r="D8" s="14">
        <v>20</v>
      </c>
      <c r="E8" s="14">
        <v>36</v>
      </c>
      <c r="F8" s="14">
        <v>85</v>
      </c>
      <c r="G8" s="14">
        <v>85</v>
      </c>
      <c r="H8" s="14">
        <v>28</v>
      </c>
      <c r="I8" s="14">
        <v>80</v>
      </c>
      <c r="J8" s="14">
        <v>110</v>
      </c>
      <c r="K8" s="14">
        <v>55</v>
      </c>
      <c r="L8" s="14">
        <v>34</v>
      </c>
      <c r="M8" s="14">
        <v>60</v>
      </c>
      <c r="N8" s="14">
        <v>46</v>
      </c>
      <c r="O8" s="14">
        <v>121</v>
      </c>
      <c r="P8" s="14">
        <v>64</v>
      </c>
      <c r="Q8" s="14">
        <v>106</v>
      </c>
      <c r="R8" s="14">
        <v>65</v>
      </c>
      <c r="S8" s="14"/>
      <c r="T8" s="14"/>
      <c r="U8" s="15">
        <v>66</v>
      </c>
      <c r="V8" s="15"/>
      <c r="W8" s="15">
        <v>72</v>
      </c>
      <c r="X8" s="15">
        <v>117</v>
      </c>
      <c r="Y8" s="15">
        <v>87</v>
      </c>
      <c r="Z8" s="15">
        <v>105</v>
      </c>
      <c r="AA8" s="15">
        <v>225</v>
      </c>
      <c r="AB8" s="15">
        <v>246</v>
      </c>
      <c r="AC8" s="15">
        <v>138</v>
      </c>
      <c r="AD8" s="15">
        <v>115</v>
      </c>
      <c r="AE8" s="124">
        <v>150</v>
      </c>
      <c r="AF8" s="124">
        <v>200</v>
      </c>
      <c r="AG8" s="124">
        <f>7+22+46+45+40+37+18</f>
        <v>215</v>
      </c>
      <c r="AH8" s="124">
        <f>16+44+23+41</f>
        <v>124</v>
      </c>
      <c r="AI8" s="124">
        <f>SUM(1+1+1+1+2+1+2+2+2+2+1+2+1+1+2+2+12+1+2+1+2+1+1+1+2+3+3+1+3+4+1+1+1+1+6+2+1+2+1+2+1+1+5+1+2+1+7+1+1+3+1+5+1+2+2+1+1+2+5+2+4+3+2+2+1+2+1+1+2+1)</f>
        <v>143</v>
      </c>
      <c r="AJ8" s="124">
        <f>SUM(1+1+1+1+1+1+2+4+1+2+2+2+2+1+1+5+1+1+1+2+1+1+2+1+2+1+1+2+2+1+2+2+1+1+7+2+7+2+1+1+4+1+1+1+3+3+2+1+3+1+3+1+2+2+2+2+1+2+1+6+2+3+1+1+2+2+2+4+2+1+2+2+2+3+2+1+3+1+3+2+2+2+3+2+1+1+2+2+1+1)</f>
        <v>173</v>
      </c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57</v>
      </c>
      <c r="BK8">
        <f t="shared" si="2"/>
        <v>58.9</v>
      </c>
      <c r="BL8">
        <f t="shared" si="3"/>
        <v>59.3</v>
      </c>
      <c r="BM8">
        <f t="shared" si="4"/>
        <v>61.9</v>
      </c>
      <c r="BN8">
        <f t="shared" si="5"/>
        <v>70.400000000000006</v>
      </c>
      <c r="BO8">
        <f t="shared" si="6"/>
        <v>68.3</v>
      </c>
      <c r="BP8">
        <f t="shared" si="7"/>
        <v>70.400000000000006</v>
      </c>
      <c r="BQ8">
        <f t="shared" si="8"/>
        <v>74.099999999999994</v>
      </c>
      <c r="BR8">
        <f t="shared" si="9"/>
        <v>73.444444444444443</v>
      </c>
      <c r="BS8">
        <f t="shared" si="10"/>
        <v>68.875</v>
      </c>
      <c r="BT8">
        <f t="shared" si="11"/>
        <v>70.25</v>
      </c>
      <c r="BU8">
        <f t="shared" si="12"/>
        <v>75.428571428571431</v>
      </c>
      <c r="BV8">
        <f t="shared" si="13"/>
        <v>77.142857142857139</v>
      </c>
      <c r="BW8">
        <f t="shared" si="14"/>
        <v>87.285714285714292</v>
      </c>
      <c r="BX8">
        <f t="shared" si="15"/>
        <v>82.428571428571431</v>
      </c>
      <c r="BY8">
        <f t="shared" si="16"/>
        <v>88.285714285714292</v>
      </c>
      <c r="BZ8">
        <f t="shared" si="17"/>
        <v>105.28571428571429</v>
      </c>
      <c r="CA8">
        <f t="shared" si="18"/>
        <v>131.14285714285714</v>
      </c>
      <c r="CB8">
        <f t="shared" si="19"/>
        <v>132</v>
      </c>
      <c r="CC8">
        <f t="shared" si="20"/>
        <v>130.11111111111111</v>
      </c>
      <c r="CD8">
        <f t="shared" si="21"/>
        <v>139.44444444444446</v>
      </c>
      <c r="CE8">
        <f t="shared" si="22"/>
        <v>145.5</v>
      </c>
      <c r="CF8">
        <f t="shared" si="23"/>
        <v>159.80000000000001</v>
      </c>
      <c r="CG8">
        <f t="shared" si="24"/>
        <v>160.5</v>
      </c>
      <c r="CH8">
        <f t="shared" si="25"/>
        <v>166.1</v>
      </c>
      <c r="CI8">
        <f t="shared" si="26"/>
        <v>172.9</v>
      </c>
      <c r="CJ8">
        <f t="shared" si="27"/>
        <v>167.11111111111111</v>
      </c>
      <c r="CK8">
        <f t="shared" si="28"/>
        <v>157.25</v>
      </c>
      <c r="CL8">
        <f t="shared" si="29"/>
        <v>160</v>
      </c>
      <c r="CM8">
        <f t="shared" si="30"/>
        <v>167.5</v>
      </c>
      <c r="CN8">
        <f t="shared" si="31"/>
        <v>171</v>
      </c>
      <c r="CO8">
        <f t="shared" si="32"/>
        <v>163.75</v>
      </c>
      <c r="CP8">
        <f t="shared" si="33"/>
        <v>146.66666666666666</v>
      </c>
      <c r="CQ8">
        <f t="shared" si="34"/>
        <v>158</v>
      </c>
      <c r="CR8">
        <f t="shared" si="35"/>
        <v>173</v>
      </c>
      <c r="CS8" t="e">
        <f t="shared" si="36"/>
        <v>#DIV/0!</v>
      </c>
      <c r="CT8" t="e">
        <f t="shared" si="37"/>
        <v>#DIV/0!</v>
      </c>
      <c r="CU8" t="e">
        <f t="shared" si="38"/>
        <v>#DIV/0!</v>
      </c>
      <c r="CV8" t="e">
        <f t="shared" si="39"/>
        <v>#DIV/0!</v>
      </c>
      <c r="CW8" t="e">
        <f t="shared" si="40"/>
        <v>#DIV/0!</v>
      </c>
      <c r="CX8" t="e">
        <f t="shared" si="41"/>
        <v>#DIV/0!</v>
      </c>
      <c r="CY8" t="e">
        <f t="shared" si="42"/>
        <v>#DIV/0!</v>
      </c>
      <c r="CZ8" t="e">
        <f t="shared" si="43"/>
        <v>#N/A</v>
      </c>
      <c r="DA8" t="e">
        <f t="shared" si="44"/>
        <v>#N/A</v>
      </c>
      <c r="DB8" t="e">
        <f t="shared" si="45"/>
        <v>#N/A</v>
      </c>
      <c r="DC8" t="e">
        <f t="shared" si="46"/>
        <v>#N/A</v>
      </c>
      <c r="DD8" t="e">
        <f t="shared" si="47"/>
        <v>#N/A</v>
      </c>
    </row>
    <row r="9" spans="1:108" s="10" customFormat="1" ht="20" customHeight="1" x14ac:dyDescent="0.2">
      <c r="A9" s="9" t="s">
        <v>4</v>
      </c>
      <c r="B9" s="16">
        <v>168</v>
      </c>
      <c r="C9" s="16">
        <v>87</v>
      </c>
      <c r="D9" s="16">
        <v>116</v>
      </c>
      <c r="E9" s="16">
        <v>115</v>
      </c>
      <c r="F9" s="16">
        <v>119</v>
      </c>
      <c r="G9" s="16">
        <v>63</v>
      </c>
      <c r="H9" s="16">
        <v>109</v>
      </c>
      <c r="I9" s="16">
        <v>161</v>
      </c>
      <c r="J9" s="16">
        <v>139</v>
      </c>
      <c r="K9" s="16">
        <v>115</v>
      </c>
      <c r="L9" s="16">
        <v>130</v>
      </c>
      <c r="M9" s="16">
        <v>143</v>
      </c>
      <c r="N9" s="16">
        <v>54</v>
      </c>
      <c r="O9" s="16">
        <v>115</v>
      </c>
      <c r="P9" s="16">
        <v>121</v>
      </c>
      <c r="Q9" s="16">
        <v>123</v>
      </c>
      <c r="R9" s="16">
        <v>148</v>
      </c>
      <c r="S9" s="16"/>
      <c r="T9" s="16"/>
      <c r="U9" s="17">
        <v>61</v>
      </c>
      <c r="V9" s="17"/>
      <c r="W9" s="17">
        <v>126</v>
      </c>
      <c r="X9" s="17">
        <v>169</v>
      </c>
      <c r="Y9" s="17">
        <v>133</v>
      </c>
      <c r="Z9" s="17">
        <v>227</v>
      </c>
      <c r="AA9" s="17">
        <v>182</v>
      </c>
      <c r="AB9" s="17">
        <v>185</v>
      </c>
      <c r="AC9" s="17">
        <v>210</v>
      </c>
      <c r="AD9" s="17">
        <v>239</v>
      </c>
      <c r="AE9" s="10">
        <v>205</v>
      </c>
      <c r="AF9" s="10">
        <v>227</v>
      </c>
      <c r="AG9" s="10">
        <f>26+35+61+39+37+35+19</f>
        <v>252</v>
      </c>
      <c r="AH9" s="10">
        <f>10+39+7+43+39+34+49+39+13</f>
        <v>273</v>
      </c>
      <c r="AI9" s="10">
        <f>SUM(2+1+1+3+1+1+2+1+2+1+2+2+1+1+1+2+1+1+2+1+2+1+2+2+4+2+6+1+1+2+2+3+3+1+2+1+4+1+3+1+2+2+2+2+2+2+2+2+2+1+3+1+1+3+6+1+2+1+3+2+1+2+2+1+2+3+2+2+2+1+2+2+2+2+2+2+4+2+1+2+1+3+3+2+1+4+2+2+2+6+1+1+2+4+2+1+2+6+2+2+1+4+3+2+4+5+2+2+6+2+4+3+4+2+3+3+2+2+2+2+3+1+2+2+2+2+5+2+1+2+1+2+2+1)</f>
        <v>289</v>
      </c>
      <c r="AJ9" s="10">
        <f>SUM(2+2+3+1+4+1+1+4+10+1+1+1+1+1+3+2+4+3+2+2+1+4+3+6+1+1+1+2+1+2+2+1+2+2+2+1+2+2+2+2+1+3+2+2+4+1+1+2+2+2+1+2+2+4+1+2+1+2+2+2+2+1+3+3+2+2+1+1+20+2+2+1+2+4+3+1+1+2+1+1+2+3+6+3+3+3+2+1+1+1+1+2+9+2+1+4+2+1+2+12+1+2+2+2+2+1+1+1+1+1+1+1+1+2+2+1+2+2+2+2+3)</f>
        <v>277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119.2</v>
      </c>
      <c r="BK9">
        <f t="shared" si="2"/>
        <v>115.4</v>
      </c>
      <c r="BL9">
        <f t="shared" si="3"/>
        <v>121</v>
      </c>
      <c r="BM9">
        <f t="shared" si="4"/>
        <v>114.8</v>
      </c>
      <c r="BN9">
        <f t="shared" si="5"/>
        <v>114.8</v>
      </c>
      <c r="BO9">
        <f t="shared" si="6"/>
        <v>115</v>
      </c>
      <c r="BP9">
        <f t="shared" si="7"/>
        <v>121</v>
      </c>
      <c r="BQ9">
        <f t="shared" si="8"/>
        <v>124.9</v>
      </c>
      <c r="BR9">
        <f t="shared" si="9"/>
        <v>120.88888888888889</v>
      </c>
      <c r="BS9">
        <f t="shared" si="10"/>
        <v>118.625</v>
      </c>
      <c r="BT9">
        <f t="shared" si="11"/>
        <v>111.875</v>
      </c>
      <c r="BU9">
        <f t="shared" si="12"/>
        <v>109.28571428571429</v>
      </c>
      <c r="BV9">
        <f t="shared" si="13"/>
        <v>106.85714285714286</v>
      </c>
      <c r="BW9">
        <f t="shared" si="14"/>
        <v>123.28571428571429</v>
      </c>
      <c r="BX9">
        <f t="shared" si="15"/>
        <v>125.85714285714286</v>
      </c>
      <c r="BY9">
        <f t="shared" si="16"/>
        <v>141</v>
      </c>
      <c r="BZ9">
        <f t="shared" si="17"/>
        <v>149.42857142857142</v>
      </c>
      <c r="CA9">
        <f t="shared" si="18"/>
        <v>154.71428571428572</v>
      </c>
      <c r="CB9">
        <f t="shared" si="19"/>
        <v>161.625</v>
      </c>
      <c r="CC9">
        <f t="shared" si="20"/>
        <v>170.22222222222223</v>
      </c>
      <c r="CD9">
        <f t="shared" si="21"/>
        <v>186.22222222222223</v>
      </c>
      <c r="CE9">
        <f t="shared" si="22"/>
        <v>190.3</v>
      </c>
      <c r="CF9">
        <f t="shared" si="23"/>
        <v>202.9</v>
      </c>
      <c r="CG9">
        <f t="shared" si="24"/>
        <v>213.3</v>
      </c>
      <c r="CH9">
        <f t="shared" si="25"/>
        <v>228.9</v>
      </c>
      <c r="CI9">
        <f t="shared" si="26"/>
        <v>233.9</v>
      </c>
      <c r="CJ9">
        <f t="shared" si="27"/>
        <v>239.66666666666666</v>
      </c>
      <c r="CK9">
        <f t="shared" si="28"/>
        <v>246.5</v>
      </c>
      <c r="CL9">
        <f t="shared" si="29"/>
        <v>251.71428571428572</v>
      </c>
      <c r="CM9">
        <f t="shared" si="30"/>
        <v>253.83333333333334</v>
      </c>
      <c r="CN9">
        <f t="shared" si="31"/>
        <v>263.60000000000002</v>
      </c>
      <c r="CO9">
        <f t="shared" si="32"/>
        <v>272.75</v>
      </c>
      <c r="CP9">
        <f t="shared" si="33"/>
        <v>279.66666666666669</v>
      </c>
      <c r="CQ9">
        <f t="shared" si="34"/>
        <v>283</v>
      </c>
      <c r="CR9">
        <f t="shared" si="35"/>
        <v>277</v>
      </c>
      <c r="CS9" t="e">
        <f t="shared" si="36"/>
        <v>#DIV/0!</v>
      </c>
      <c r="CT9" t="e">
        <f t="shared" si="37"/>
        <v>#DIV/0!</v>
      </c>
      <c r="CU9" t="e">
        <f t="shared" si="38"/>
        <v>#DIV/0!</v>
      </c>
      <c r="CV9" t="e">
        <f t="shared" si="39"/>
        <v>#DIV/0!</v>
      </c>
      <c r="CW9" t="e">
        <f t="shared" si="40"/>
        <v>#DIV/0!</v>
      </c>
      <c r="CX9" t="e">
        <f t="shared" si="41"/>
        <v>#DIV/0!</v>
      </c>
      <c r="CY9" t="e">
        <f t="shared" si="42"/>
        <v>#DIV/0!</v>
      </c>
      <c r="CZ9" t="e">
        <f t="shared" si="43"/>
        <v>#N/A</v>
      </c>
      <c r="DA9" t="e">
        <f t="shared" si="44"/>
        <v>#N/A</v>
      </c>
      <c r="DB9" t="e">
        <f t="shared" si="45"/>
        <v>#N/A</v>
      </c>
      <c r="DC9" t="e">
        <f t="shared" si="46"/>
        <v>#N/A</v>
      </c>
      <c r="DD9" t="e">
        <f t="shared" si="47"/>
        <v>#N/A</v>
      </c>
    </row>
    <row r="10" spans="1:108" ht="20" customHeight="1" x14ac:dyDescent="0.2">
      <c r="A10" s="7" t="s">
        <v>5</v>
      </c>
      <c r="B10" s="14">
        <v>81</v>
      </c>
      <c r="C10" s="14">
        <v>36</v>
      </c>
      <c r="D10" s="14">
        <v>62</v>
      </c>
      <c r="E10" s="14">
        <v>43</v>
      </c>
      <c r="F10" s="14">
        <v>86</v>
      </c>
      <c r="G10" s="14">
        <v>106</v>
      </c>
      <c r="H10" s="14">
        <v>126</v>
      </c>
      <c r="I10" s="14">
        <v>121</v>
      </c>
      <c r="J10" s="14">
        <v>135</v>
      </c>
      <c r="K10" s="14">
        <v>155</v>
      </c>
      <c r="L10" s="14">
        <v>113</v>
      </c>
      <c r="M10" s="14">
        <v>177</v>
      </c>
      <c r="N10" s="14">
        <v>166</v>
      </c>
      <c r="O10" s="14">
        <v>108</v>
      </c>
      <c r="P10" s="14">
        <v>106</v>
      </c>
      <c r="Q10" s="14">
        <v>88</v>
      </c>
      <c r="R10" s="14">
        <v>153</v>
      </c>
      <c r="S10" s="14"/>
      <c r="T10" s="14"/>
      <c r="U10" s="15">
        <v>71</v>
      </c>
      <c r="V10" s="15"/>
      <c r="W10" s="15">
        <v>129</v>
      </c>
      <c r="X10" s="15">
        <v>120</v>
      </c>
      <c r="Y10" s="15">
        <v>238</v>
      </c>
      <c r="Z10" s="15">
        <v>176</v>
      </c>
      <c r="AA10" s="15">
        <v>226</v>
      </c>
      <c r="AB10" s="15">
        <v>291</v>
      </c>
      <c r="AC10" s="15">
        <v>183</v>
      </c>
      <c r="AD10" s="15">
        <v>285</v>
      </c>
      <c r="AE10" s="124">
        <v>221</v>
      </c>
      <c r="AF10" s="124">
        <v>288</v>
      </c>
      <c r="AG10" s="124">
        <f>56+47+38+55+47+52+20</f>
        <v>315</v>
      </c>
      <c r="AH10" s="124">
        <f>31+36+36+56+36+44+21</f>
        <v>260</v>
      </c>
      <c r="AI10" s="124">
        <f>SUM(2+2+9+4+2+5+2+5+2+2+1+1+1+2+2+1+2+1+2+1+1+7+3+5+3+2+5+2+3+2+2+2+2+2+2+2+4+2+2+1+1+1+1+1+3+2+5+2+2+2+3+1+1+4+2+2+1+2+2+1+5+2+2+19+2+4+2+1+7+2+7+3+2+1+2+3+1+2+1+1+2+2+2+1+2+2+2+3+5+2+1+1+2+2+2+2+2+2+2+2+2+2+1+2+2+2+3+2+2+19+2+1+3+2+2+2+2)</f>
        <v>303</v>
      </c>
      <c r="AJ10" s="124">
        <f>SUM(2+2+2+1+3+3+2+1+3+2+2+2+2+1+2+1+3+1+1+2+1+2+2+6+2+2+1+1+4+1+1+1+2+1+2+4+1+2+3+1+1+1+1+1+1+2+1+1+2+1+1+6+2+2+1+2+3+1+3+3+3+1+2+1+3+2+1+2+2+3+1+2+1+2+2+1+1+2+2+2+2+2+2+2+2+1+3+2+2+2+2+1+1+1+2+2+2+1+2+1+1+2+1+2+2+1+8+1+2+2+3+2+7+1+2+2+1+1+2+1+2)</f>
        <v>231</v>
      </c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95.1</v>
      </c>
      <c r="BK10">
        <f t="shared" si="2"/>
        <v>98.3</v>
      </c>
      <c r="BL10">
        <f t="shared" si="3"/>
        <v>112.4</v>
      </c>
      <c r="BM10">
        <f t="shared" si="4"/>
        <v>122.8</v>
      </c>
      <c r="BN10">
        <f t="shared" si="5"/>
        <v>129.30000000000001</v>
      </c>
      <c r="BO10">
        <f t="shared" si="6"/>
        <v>131.30000000000001</v>
      </c>
      <c r="BP10">
        <f t="shared" si="7"/>
        <v>129.5</v>
      </c>
      <c r="BQ10">
        <f t="shared" si="8"/>
        <v>132.19999999999999</v>
      </c>
      <c r="BR10">
        <f t="shared" si="9"/>
        <v>133.44444444444446</v>
      </c>
      <c r="BS10">
        <f t="shared" si="10"/>
        <v>133.25</v>
      </c>
      <c r="BT10">
        <f t="shared" si="11"/>
        <v>122.75</v>
      </c>
      <c r="BU10">
        <f t="shared" si="12"/>
        <v>124.14285714285714</v>
      </c>
      <c r="BV10">
        <f t="shared" si="13"/>
        <v>117.28571428571429</v>
      </c>
      <c r="BW10">
        <f t="shared" si="14"/>
        <v>110.71428571428571</v>
      </c>
      <c r="BX10">
        <f t="shared" si="15"/>
        <v>129.28571428571428</v>
      </c>
      <c r="BY10">
        <f t="shared" si="16"/>
        <v>139.28571428571428</v>
      </c>
      <c r="BZ10">
        <f t="shared" si="17"/>
        <v>159</v>
      </c>
      <c r="CA10">
        <f t="shared" si="18"/>
        <v>178.71428571428572</v>
      </c>
      <c r="CB10">
        <f t="shared" si="19"/>
        <v>179.25</v>
      </c>
      <c r="CC10">
        <f t="shared" si="20"/>
        <v>191</v>
      </c>
      <c r="CD10">
        <f t="shared" si="21"/>
        <v>207.66666666666666</v>
      </c>
      <c r="CE10">
        <f t="shared" si="22"/>
        <v>215.7</v>
      </c>
      <c r="CF10">
        <f t="shared" si="23"/>
        <v>234.3</v>
      </c>
      <c r="CG10">
        <f t="shared" si="24"/>
        <v>248.3</v>
      </c>
      <c r="CH10">
        <f t="shared" si="25"/>
        <v>254.8</v>
      </c>
      <c r="CI10">
        <f t="shared" si="26"/>
        <v>260.3</v>
      </c>
      <c r="CJ10">
        <f t="shared" si="27"/>
        <v>264.11111111111109</v>
      </c>
      <c r="CK10">
        <f t="shared" si="28"/>
        <v>260.75</v>
      </c>
      <c r="CL10">
        <f t="shared" si="29"/>
        <v>271.85714285714283</v>
      </c>
      <c r="CM10">
        <f t="shared" si="30"/>
        <v>269.66666666666669</v>
      </c>
      <c r="CN10">
        <f t="shared" si="31"/>
        <v>279.39999999999998</v>
      </c>
      <c r="CO10">
        <f t="shared" si="32"/>
        <v>277.25</v>
      </c>
      <c r="CP10">
        <f t="shared" si="33"/>
        <v>264.66666666666669</v>
      </c>
      <c r="CQ10">
        <f t="shared" si="34"/>
        <v>267</v>
      </c>
      <c r="CR10">
        <f t="shared" si="35"/>
        <v>231</v>
      </c>
      <c r="CS10" t="e">
        <f t="shared" si="36"/>
        <v>#DIV/0!</v>
      </c>
      <c r="CT10" t="e">
        <f t="shared" si="37"/>
        <v>#DIV/0!</v>
      </c>
      <c r="CU10" t="e">
        <f t="shared" si="38"/>
        <v>#DIV/0!</v>
      </c>
      <c r="CV10" t="e">
        <f t="shared" si="39"/>
        <v>#DIV/0!</v>
      </c>
      <c r="CW10" t="e">
        <f t="shared" si="40"/>
        <v>#DIV/0!</v>
      </c>
      <c r="CX10" t="e">
        <f t="shared" si="41"/>
        <v>#DIV/0!</v>
      </c>
      <c r="CY10" t="e">
        <f t="shared" si="42"/>
        <v>#DIV/0!</v>
      </c>
      <c r="CZ10" t="e">
        <f t="shared" si="43"/>
        <v>#N/A</v>
      </c>
      <c r="DA10" t="e">
        <f t="shared" si="44"/>
        <v>#N/A</v>
      </c>
      <c r="DB10" t="e">
        <f t="shared" si="45"/>
        <v>#N/A</v>
      </c>
      <c r="DC10" t="e">
        <f t="shared" si="46"/>
        <v>#N/A</v>
      </c>
      <c r="DD10" t="e">
        <f t="shared" si="47"/>
        <v>#N/A</v>
      </c>
    </row>
    <row r="11" spans="1:108" s="10" customFormat="1" ht="20" customHeight="1" x14ac:dyDescent="0.2">
      <c r="A11" s="9" t="s">
        <v>6</v>
      </c>
      <c r="B11" s="16">
        <v>91</v>
      </c>
      <c r="C11" s="16">
        <v>166</v>
      </c>
      <c r="D11" s="16">
        <v>176</v>
      </c>
      <c r="E11" s="16">
        <v>231</v>
      </c>
      <c r="F11" s="16">
        <v>106</v>
      </c>
      <c r="G11" s="16">
        <v>137</v>
      </c>
      <c r="H11" s="16">
        <v>178</v>
      </c>
      <c r="I11" s="16">
        <v>121</v>
      </c>
      <c r="J11" s="16">
        <v>227</v>
      </c>
      <c r="K11" s="16">
        <v>295</v>
      </c>
      <c r="L11" s="16">
        <v>172</v>
      </c>
      <c r="M11" s="16">
        <v>154</v>
      </c>
      <c r="N11" s="16">
        <v>165</v>
      </c>
      <c r="O11" s="16">
        <v>159</v>
      </c>
      <c r="P11" s="16">
        <v>84</v>
      </c>
      <c r="Q11" s="16">
        <v>178</v>
      </c>
      <c r="R11" s="16">
        <v>124</v>
      </c>
      <c r="S11" s="16"/>
      <c r="T11" s="16"/>
      <c r="U11" s="17">
        <v>143</v>
      </c>
      <c r="V11" s="17"/>
      <c r="W11" s="17">
        <v>171</v>
      </c>
      <c r="X11" s="17">
        <v>211</v>
      </c>
      <c r="Y11" s="17">
        <v>244</v>
      </c>
      <c r="Z11" s="17">
        <v>256</v>
      </c>
      <c r="AA11" s="17">
        <v>289</v>
      </c>
      <c r="AB11" s="17">
        <v>109</v>
      </c>
      <c r="AC11" s="17">
        <v>224</v>
      </c>
      <c r="AD11" s="17">
        <v>384</v>
      </c>
      <c r="AE11" s="10">
        <v>356</v>
      </c>
      <c r="AF11" s="10">
        <v>291</v>
      </c>
      <c r="AG11" s="10">
        <f>16+40+39+49+45+38+42+35+59+33+27</f>
        <v>423</v>
      </c>
      <c r="AH11" s="10">
        <f>26+49+48+35+44+43+36+30+62</f>
        <v>373</v>
      </c>
      <c r="AI11" s="10">
        <f>SUM(1+5+6+1+1+2+2+2+1+2+2+1+1+2+2+3+2+2+1+2+2+2+6+2+6+2+2+3+1+2+1+1+2+1+8+1+1+2+1+1+6+2+3+1+1+1+2+2+3+3+2+2+1+2+2+4+4+2+4+3+2+2+2+1+1+2+4+1+2+2+3+2+2+2+1+2+4+2+2+4+2+1+1+1+2+1+1+1+2+14+1+2+3+1+2+2+3+2+2+2+2+1+2+1+2+2+1+2+1+1+1+8+1+5+1+1+2+1+2+2+4+1+2+2+2+4+1+1+2+2+2+2+4+2+2+2+3+2+1+5+3+2+2+2+2+2+3+2+2+8+1+3+1+9+9)</f>
        <v>363</v>
      </c>
      <c r="AJ11" s="10">
        <f>SUM(2+2+5+3+2+1+4+3+2+3+3+3+3+2+1+2+3+3+2+2+2+2+4+1+4+2+2+2+6+5+7+3+2+2+1+2+1+1+3+1+3+18+3+1+5+2+1+2+3+2+2+1+1+1+1+1+5+2+1+1+1+2+2+3+3+2+1+5+2+2+2+1+1+2+1+1+2+1+2+7+2+3+2+2+1+1+2+2+2+3+10+1+1+1+1+6+2+4+2+2+1+8+2+2+2+1+2+10+1+2+2+1+1+2+2+4+3+1+1+2+2+7+2+1+2+1+1+2+2+2+2+2+2+2+2+4+1)</f>
        <v>340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172.8</v>
      </c>
      <c r="BK11">
        <f t="shared" si="2"/>
        <v>180.9</v>
      </c>
      <c r="BL11">
        <f t="shared" si="3"/>
        <v>179.7</v>
      </c>
      <c r="BM11">
        <f t="shared" si="4"/>
        <v>178.6</v>
      </c>
      <c r="BN11">
        <f t="shared" si="5"/>
        <v>171.4</v>
      </c>
      <c r="BO11">
        <f t="shared" si="6"/>
        <v>169.2</v>
      </c>
      <c r="BP11">
        <f t="shared" si="7"/>
        <v>173.3</v>
      </c>
      <c r="BQ11">
        <f t="shared" si="8"/>
        <v>167.9</v>
      </c>
      <c r="BR11">
        <f t="shared" si="9"/>
        <v>173.11111111111111</v>
      </c>
      <c r="BS11">
        <f t="shared" si="10"/>
        <v>166.375</v>
      </c>
      <c r="BT11">
        <f t="shared" si="11"/>
        <v>147.375</v>
      </c>
      <c r="BU11">
        <f t="shared" si="12"/>
        <v>143.85714285714286</v>
      </c>
      <c r="BV11">
        <f t="shared" si="13"/>
        <v>146.28571428571428</v>
      </c>
      <c r="BW11">
        <f t="shared" si="14"/>
        <v>152.85714285714286</v>
      </c>
      <c r="BX11">
        <f t="shared" si="15"/>
        <v>165</v>
      </c>
      <c r="BY11">
        <f t="shared" si="16"/>
        <v>189.57142857142858</v>
      </c>
      <c r="BZ11">
        <f t="shared" si="17"/>
        <v>205.42857142857142</v>
      </c>
      <c r="CA11">
        <f t="shared" si="18"/>
        <v>203.28571428571428</v>
      </c>
      <c r="CB11">
        <f t="shared" si="19"/>
        <v>205.875</v>
      </c>
      <c r="CC11">
        <f t="shared" si="20"/>
        <v>225.66666666666666</v>
      </c>
      <c r="CD11">
        <f t="shared" si="21"/>
        <v>249.33333333333334</v>
      </c>
      <c r="CE11">
        <f t="shared" si="22"/>
        <v>253.5</v>
      </c>
      <c r="CF11">
        <f t="shared" si="23"/>
        <v>278.7</v>
      </c>
      <c r="CG11">
        <f t="shared" si="24"/>
        <v>294.89999999999998</v>
      </c>
      <c r="CH11">
        <f t="shared" si="25"/>
        <v>306.8</v>
      </c>
      <c r="CI11">
        <f t="shared" si="26"/>
        <v>315.2</v>
      </c>
      <c r="CJ11">
        <f t="shared" si="27"/>
        <v>318.11111111111109</v>
      </c>
      <c r="CK11">
        <f t="shared" si="28"/>
        <v>344.25</v>
      </c>
      <c r="CL11">
        <f t="shared" si="29"/>
        <v>361.42857142857144</v>
      </c>
      <c r="CM11">
        <f t="shared" si="30"/>
        <v>357.66666666666669</v>
      </c>
      <c r="CN11">
        <f t="shared" si="31"/>
        <v>358</v>
      </c>
      <c r="CO11">
        <f t="shared" si="32"/>
        <v>374.75</v>
      </c>
      <c r="CP11">
        <f t="shared" si="33"/>
        <v>358.66666666666669</v>
      </c>
      <c r="CQ11">
        <f t="shared" si="34"/>
        <v>351.5</v>
      </c>
      <c r="CR11">
        <f t="shared" si="35"/>
        <v>340</v>
      </c>
      <c r="CS11" t="e">
        <f t="shared" si="36"/>
        <v>#DIV/0!</v>
      </c>
      <c r="CT11" t="e">
        <f t="shared" si="37"/>
        <v>#DIV/0!</v>
      </c>
      <c r="CU11" t="e">
        <f t="shared" si="38"/>
        <v>#DIV/0!</v>
      </c>
      <c r="CV11" t="e">
        <f t="shared" si="39"/>
        <v>#DIV/0!</v>
      </c>
      <c r="CW11" t="e">
        <f t="shared" si="40"/>
        <v>#DIV/0!</v>
      </c>
      <c r="CX11" t="e">
        <f t="shared" si="41"/>
        <v>#DIV/0!</v>
      </c>
      <c r="CY11" t="e">
        <f t="shared" si="42"/>
        <v>#DIV/0!</v>
      </c>
      <c r="CZ11" t="e">
        <f t="shared" si="43"/>
        <v>#N/A</v>
      </c>
      <c r="DA11" t="e">
        <f t="shared" si="44"/>
        <v>#N/A</v>
      </c>
      <c r="DB11" t="e">
        <f t="shared" si="45"/>
        <v>#N/A</v>
      </c>
      <c r="DC11" t="e">
        <f t="shared" si="46"/>
        <v>#N/A</v>
      </c>
      <c r="DD11" t="e">
        <f t="shared" si="47"/>
        <v>#N/A</v>
      </c>
    </row>
    <row r="12" spans="1:108" ht="20" customHeight="1" x14ac:dyDescent="0.2">
      <c r="A12" s="7" t="s">
        <v>7</v>
      </c>
      <c r="B12" s="14">
        <v>112</v>
      </c>
      <c r="C12" s="14">
        <v>164</v>
      </c>
      <c r="D12" s="14">
        <v>132</v>
      </c>
      <c r="E12" s="14">
        <v>150</v>
      </c>
      <c r="F12" s="14">
        <v>88</v>
      </c>
      <c r="G12" s="14">
        <v>116</v>
      </c>
      <c r="H12" s="14">
        <v>125</v>
      </c>
      <c r="I12" s="14">
        <v>163</v>
      </c>
      <c r="J12" s="14">
        <v>91</v>
      </c>
      <c r="K12" s="14">
        <v>119</v>
      </c>
      <c r="L12" s="14">
        <v>177</v>
      </c>
      <c r="M12" s="14">
        <v>120</v>
      </c>
      <c r="N12" s="14">
        <v>209</v>
      </c>
      <c r="O12" s="14">
        <v>150</v>
      </c>
      <c r="P12" s="14">
        <v>179</v>
      </c>
      <c r="Q12" s="14">
        <v>221</v>
      </c>
      <c r="R12" s="14">
        <v>138</v>
      </c>
      <c r="S12" s="14"/>
      <c r="T12" s="14"/>
      <c r="U12" s="15">
        <v>122</v>
      </c>
      <c r="V12" s="15"/>
      <c r="W12" s="15">
        <v>160</v>
      </c>
      <c r="X12" s="15">
        <v>252</v>
      </c>
      <c r="Y12" s="15">
        <v>318</v>
      </c>
      <c r="Z12" s="15">
        <v>288</v>
      </c>
      <c r="AA12" s="15">
        <v>316</v>
      </c>
      <c r="AB12" s="15">
        <v>268</v>
      </c>
      <c r="AC12" s="15">
        <v>273</v>
      </c>
      <c r="AD12" s="15">
        <v>509</v>
      </c>
      <c r="AE12" s="124">
        <v>429</v>
      </c>
      <c r="AF12" s="124">
        <v>269</v>
      </c>
      <c r="AG12" s="124">
        <f>7+59+41+45+20+38+47+39+47+56+30</f>
        <v>429</v>
      </c>
      <c r="AH12" s="124">
        <f>46+43+37+34+71+41+30+47+34+11</f>
        <v>394</v>
      </c>
      <c r="AI12" s="124">
        <f>SUM(3+4+2+2+3+2+2+1+4+2+4+2+3+1+2+1+7+1+2+2+2+1+2+5+2+2+6+3+2+1+2+2+2+1+2+2+1+4+2+5+2+2+1+3+1+1+2+2+4+1+1+1+1+2+2+1+2+6+1+1+2+20+2+2+2+2+1+2+1+1+2+3+2+3+2+2+3+2+2+4+2+2+3+1+1+4+11+2+1+11+2+2+2+3+1+2+3+2+3+4+1+1+1+1+1+2+2+4+2+6+4+2+2+2+1+9+2+4+2+3+1+2+2+1+2+6+2+1+14+2+2+2+1+2+2+2+1+2+1+4+3+1+2+2+2+1+1+2+2+3+1+2+1+2+2+1+2)</f>
        <v>392</v>
      </c>
      <c r="AJ12" s="124">
        <f>SUM(1+3+1+2+1+2+1+1+1+4+3+1+1+1+2+2+2+2+2+2+2+2+2+1+3+2+1+3+2+2+4+4+1+2+1+2+1+6+4+1+1+1+1+7+3+4+2+2+2+2+2+3+1+1+1+4+2+2+1+2+4+2+17+3+2+1+2+3+2+2+2+2+2+4+2+4+2+1+2+1+1+7+1+3+2+2+1+2+2+1+1+2+2+2+1+1+3+3+2+2+2+2+3+3+1+2+1+1+2+2+2+2+2+2+2+3+1+1+1+1+2+3+1+1+2+2+2+1+2+2+3+2+2+3+1+2+2+4+6+1+1+1+5+2+1+2+1+2+2+2+2+1+2+2+2+3+2+2+2+2+1+2+2+1+2+1)</f>
        <v>354</v>
      </c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126</v>
      </c>
      <c r="BK12">
        <f t="shared" si="2"/>
        <v>132.5</v>
      </c>
      <c r="BL12">
        <f t="shared" si="3"/>
        <v>128.1</v>
      </c>
      <c r="BM12">
        <f t="shared" si="4"/>
        <v>135.80000000000001</v>
      </c>
      <c r="BN12">
        <f t="shared" si="5"/>
        <v>135.80000000000001</v>
      </c>
      <c r="BO12">
        <f t="shared" si="6"/>
        <v>144.9</v>
      </c>
      <c r="BP12">
        <f t="shared" si="7"/>
        <v>155.4</v>
      </c>
      <c r="BQ12">
        <f t="shared" si="8"/>
        <v>156.69999999999999</v>
      </c>
      <c r="BR12">
        <f t="shared" si="9"/>
        <v>156</v>
      </c>
      <c r="BS12">
        <f t="shared" si="10"/>
        <v>164.125</v>
      </c>
      <c r="BT12">
        <f t="shared" si="11"/>
        <v>164.5</v>
      </c>
      <c r="BU12">
        <f t="shared" si="12"/>
        <v>162.71428571428572</v>
      </c>
      <c r="BV12">
        <f t="shared" si="13"/>
        <v>168.42857142857142</v>
      </c>
      <c r="BW12">
        <f t="shared" si="14"/>
        <v>174.57142857142858</v>
      </c>
      <c r="BX12">
        <f t="shared" si="15"/>
        <v>198.57142857142858</v>
      </c>
      <c r="BY12">
        <f t="shared" si="16"/>
        <v>214.14285714285714</v>
      </c>
      <c r="BZ12">
        <f t="shared" si="17"/>
        <v>227.71428571428572</v>
      </c>
      <c r="CA12">
        <f t="shared" si="18"/>
        <v>246.28571428571428</v>
      </c>
      <c r="CB12">
        <f t="shared" si="19"/>
        <v>249.625</v>
      </c>
      <c r="CC12">
        <f t="shared" si="20"/>
        <v>278.44444444444446</v>
      </c>
      <c r="CD12">
        <f t="shared" si="21"/>
        <v>312.55555555555554</v>
      </c>
      <c r="CE12">
        <f t="shared" si="22"/>
        <v>308.2</v>
      </c>
      <c r="CF12">
        <f t="shared" si="23"/>
        <v>335.1</v>
      </c>
      <c r="CG12">
        <f t="shared" si="24"/>
        <v>349.3</v>
      </c>
      <c r="CH12">
        <f t="shared" si="25"/>
        <v>356.7</v>
      </c>
      <c r="CI12">
        <f t="shared" si="26"/>
        <v>363.3</v>
      </c>
      <c r="CJ12">
        <f t="shared" si="27"/>
        <v>368.55555555555554</v>
      </c>
      <c r="CK12">
        <f t="shared" si="28"/>
        <v>381.125</v>
      </c>
      <c r="CL12">
        <f t="shared" si="29"/>
        <v>396.57142857142856</v>
      </c>
      <c r="CM12">
        <f t="shared" si="30"/>
        <v>377.83333333333331</v>
      </c>
      <c r="CN12">
        <f t="shared" si="31"/>
        <v>367.6</v>
      </c>
      <c r="CO12">
        <f t="shared" si="32"/>
        <v>392.25</v>
      </c>
      <c r="CP12">
        <f t="shared" si="33"/>
        <v>380</v>
      </c>
      <c r="CQ12">
        <f t="shared" si="34"/>
        <v>373</v>
      </c>
      <c r="CR12">
        <f t="shared" si="35"/>
        <v>354</v>
      </c>
      <c r="CS12" t="e">
        <f t="shared" si="36"/>
        <v>#DIV/0!</v>
      </c>
      <c r="CT12" t="e">
        <f t="shared" si="37"/>
        <v>#DIV/0!</v>
      </c>
      <c r="CU12" t="e">
        <f t="shared" si="38"/>
        <v>#DIV/0!</v>
      </c>
      <c r="CV12" t="e">
        <f t="shared" si="39"/>
        <v>#DIV/0!</v>
      </c>
      <c r="CW12" t="e">
        <f t="shared" si="40"/>
        <v>#DIV/0!</v>
      </c>
      <c r="CX12" t="e">
        <f t="shared" si="41"/>
        <v>#DIV/0!</v>
      </c>
      <c r="CY12" t="e">
        <f t="shared" si="42"/>
        <v>#DIV/0!</v>
      </c>
      <c r="CZ12" t="e">
        <f t="shared" si="43"/>
        <v>#N/A</v>
      </c>
      <c r="DA12" t="e">
        <f t="shared" si="44"/>
        <v>#N/A</v>
      </c>
      <c r="DB12" t="e">
        <f t="shared" si="45"/>
        <v>#N/A</v>
      </c>
      <c r="DC12" t="e">
        <f t="shared" si="46"/>
        <v>#N/A</v>
      </c>
      <c r="DD12" t="e">
        <f t="shared" si="47"/>
        <v>#N/A</v>
      </c>
    </row>
    <row r="13" spans="1:108" s="10" customFormat="1" ht="20" customHeight="1" x14ac:dyDescent="0.2">
      <c r="A13" s="9" t="s">
        <v>8</v>
      </c>
      <c r="B13" s="16">
        <v>139</v>
      </c>
      <c r="C13" s="16">
        <v>67</v>
      </c>
      <c r="D13" s="16">
        <v>109</v>
      </c>
      <c r="E13" s="16">
        <v>154</v>
      </c>
      <c r="F13" s="16">
        <v>157</v>
      </c>
      <c r="G13" s="16">
        <v>56</v>
      </c>
      <c r="H13" s="16">
        <v>83</v>
      </c>
      <c r="I13" s="16">
        <v>64</v>
      </c>
      <c r="J13" s="16">
        <v>186</v>
      </c>
      <c r="K13" s="16">
        <v>137</v>
      </c>
      <c r="L13" s="16">
        <v>213</v>
      </c>
      <c r="M13" s="16">
        <v>175</v>
      </c>
      <c r="N13" s="16">
        <v>54</v>
      </c>
      <c r="O13" s="16">
        <v>188</v>
      </c>
      <c r="P13" s="16">
        <v>171</v>
      </c>
      <c r="Q13" s="16">
        <v>141</v>
      </c>
      <c r="R13" s="16">
        <v>131</v>
      </c>
      <c r="S13" s="16"/>
      <c r="T13" s="16"/>
      <c r="U13" s="17">
        <v>74</v>
      </c>
      <c r="V13" s="17"/>
      <c r="W13" s="17">
        <v>143</v>
      </c>
      <c r="X13" s="17">
        <v>174</v>
      </c>
      <c r="Y13" s="17">
        <v>150</v>
      </c>
      <c r="Z13" s="17">
        <v>224</v>
      </c>
      <c r="AA13" s="17">
        <v>170</v>
      </c>
      <c r="AB13" s="17">
        <v>241</v>
      </c>
      <c r="AC13" s="17">
        <v>247</v>
      </c>
      <c r="AD13" s="17">
        <v>499</v>
      </c>
      <c r="AE13" s="10">
        <v>401</v>
      </c>
      <c r="AF13" s="10">
        <v>248</v>
      </c>
      <c r="AG13" s="10">
        <f>3+41+16+52+35+43+16+3+25+22+39+51</f>
        <v>346</v>
      </c>
      <c r="AH13" s="10">
        <f>28+28+35+45+39+36+36+41+35+8</f>
        <v>331</v>
      </c>
      <c r="AI13" s="10">
        <f>SUM(1+2+2+2+2+1+2+2+4+2+1+2+2+3+3+2+2+3+2+1+1+1+2+5+2+2+1+7+1+1+2+1+2+10+2+2+3+2+4+2+2+2+3+4+5+4+2+2+1+1+1+1+3+1+3+2+1+2+2+1+5+2+2+1+2+2+2+4+4+1+2+1+1+1+2+1+2+1+1+1+2+1+5+1+2+2+2+3+10+2+1+2+3+2+2+1+2+2+2+2+2+3+1+1+1+1+2+2+2+2+3+2+2+2+4+4+2+2+1+2+2+2+5+2+2+2+1+1+9+2+1+1+2+1+2+1+2+3+1+2+2+3+1+3+1+4+2+2+4+2+4+2+2+1+1+2+2)</f>
        <v>347</v>
      </c>
      <c r="AJ13" s="10">
        <f>SUM(1+2+2+2+2+2+3)</f>
        <v>14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115.2</v>
      </c>
      <c r="BK13">
        <f t="shared" si="2"/>
        <v>122.6</v>
      </c>
      <c r="BL13">
        <f t="shared" si="3"/>
        <v>133.4</v>
      </c>
      <c r="BM13">
        <f t="shared" si="4"/>
        <v>127.9</v>
      </c>
      <c r="BN13">
        <f t="shared" si="5"/>
        <v>131.30000000000001</v>
      </c>
      <c r="BO13">
        <f t="shared" si="6"/>
        <v>132.69999999999999</v>
      </c>
      <c r="BP13">
        <f t="shared" si="7"/>
        <v>141.19999999999999</v>
      </c>
      <c r="BQ13">
        <f t="shared" si="8"/>
        <v>146</v>
      </c>
      <c r="BR13">
        <f t="shared" si="9"/>
        <v>155.11111111111111</v>
      </c>
      <c r="BS13">
        <f t="shared" si="10"/>
        <v>151.25</v>
      </c>
      <c r="BT13">
        <f t="shared" si="11"/>
        <v>143.375</v>
      </c>
      <c r="BU13">
        <f t="shared" si="12"/>
        <v>133.42857142857142</v>
      </c>
      <c r="BV13">
        <f t="shared" si="13"/>
        <v>128.85714285714286</v>
      </c>
      <c r="BW13">
        <f t="shared" si="14"/>
        <v>146</v>
      </c>
      <c r="BX13">
        <f t="shared" si="15"/>
        <v>140.57142857142858</v>
      </c>
      <c r="BY13">
        <f t="shared" si="16"/>
        <v>148.14285714285714</v>
      </c>
      <c r="BZ13">
        <f t="shared" si="17"/>
        <v>152.28571428571428</v>
      </c>
      <c r="CA13">
        <f t="shared" si="18"/>
        <v>168</v>
      </c>
      <c r="CB13">
        <f t="shared" si="19"/>
        <v>177.875</v>
      </c>
      <c r="CC13">
        <f t="shared" si="20"/>
        <v>213.55555555555554</v>
      </c>
      <c r="CD13">
        <f t="shared" si="21"/>
        <v>249.88888888888889</v>
      </c>
      <c r="CE13">
        <f t="shared" si="22"/>
        <v>249.7</v>
      </c>
      <c r="CF13">
        <f t="shared" si="23"/>
        <v>270</v>
      </c>
      <c r="CG13">
        <f t="shared" si="24"/>
        <v>285.7</v>
      </c>
      <c r="CH13">
        <f t="shared" si="25"/>
        <v>305.39999999999998</v>
      </c>
      <c r="CI13">
        <f t="shared" si="26"/>
        <v>284.39999999999998</v>
      </c>
      <c r="CJ13">
        <f t="shared" si="27"/>
        <v>297.11111111111109</v>
      </c>
      <c r="CK13">
        <f t="shared" si="28"/>
        <v>304.125</v>
      </c>
      <c r="CL13">
        <f t="shared" si="29"/>
        <v>312.28571428571428</v>
      </c>
      <c r="CM13">
        <f t="shared" si="30"/>
        <v>281.16666666666669</v>
      </c>
      <c r="CN13">
        <f t="shared" si="31"/>
        <v>257.2</v>
      </c>
      <c r="CO13">
        <f t="shared" si="32"/>
        <v>259.5</v>
      </c>
      <c r="CP13">
        <f t="shared" si="33"/>
        <v>230.66666666666666</v>
      </c>
      <c r="CQ13">
        <f t="shared" si="34"/>
        <v>180.5</v>
      </c>
      <c r="CR13">
        <f t="shared" si="35"/>
        <v>14</v>
      </c>
      <c r="CS13" t="e">
        <f t="shared" si="36"/>
        <v>#DIV/0!</v>
      </c>
      <c r="CT13" t="e">
        <f t="shared" si="37"/>
        <v>#DIV/0!</v>
      </c>
      <c r="CU13" t="e">
        <f t="shared" si="38"/>
        <v>#DIV/0!</v>
      </c>
      <c r="CV13" t="e">
        <f t="shared" si="39"/>
        <v>#DIV/0!</v>
      </c>
      <c r="CW13" t="e">
        <f t="shared" si="40"/>
        <v>#DIV/0!</v>
      </c>
      <c r="CX13" t="e">
        <f t="shared" si="41"/>
        <v>#DIV/0!</v>
      </c>
      <c r="CY13" t="e">
        <f t="shared" si="42"/>
        <v>#DIV/0!</v>
      </c>
      <c r="CZ13" t="e">
        <f t="shared" si="43"/>
        <v>#N/A</v>
      </c>
      <c r="DA13" t="e">
        <f t="shared" si="44"/>
        <v>#N/A</v>
      </c>
      <c r="DB13" t="e">
        <f t="shared" si="45"/>
        <v>#N/A</v>
      </c>
      <c r="DC13" t="e">
        <f t="shared" si="46"/>
        <v>#N/A</v>
      </c>
      <c r="DD13" t="e">
        <f t="shared" si="47"/>
        <v>#N/A</v>
      </c>
    </row>
    <row r="14" spans="1:108" ht="20" customHeight="1" x14ac:dyDescent="0.2">
      <c r="A14" s="7" t="s">
        <v>9</v>
      </c>
      <c r="B14" s="14">
        <v>96</v>
      </c>
      <c r="C14" s="14">
        <v>58</v>
      </c>
      <c r="D14" s="14">
        <v>120</v>
      </c>
      <c r="E14" s="14">
        <v>220</v>
      </c>
      <c r="F14" s="14">
        <v>82</v>
      </c>
      <c r="G14" s="14">
        <v>108</v>
      </c>
      <c r="H14" s="14">
        <v>95</v>
      </c>
      <c r="I14" s="14">
        <v>175</v>
      </c>
      <c r="J14" s="14">
        <v>162</v>
      </c>
      <c r="K14" s="14">
        <v>189</v>
      </c>
      <c r="L14" s="14">
        <v>215</v>
      </c>
      <c r="M14" s="14">
        <v>166</v>
      </c>
      <c r="N14" s="14">
        <v>199</v>
      </c>
      <c r="O14" s="14">
        <v>216</v>
      </c>
      <c r="P14" s="14">
        <v>147</v>
      </c>
      <c r="Q14" s="14">
        <v>178</v>
      </c>
      <c r="R14" s="14">
        <v>122</v>
      </c>
      <c r="S14" s="14"/>
      <c r="T14" s="14"/>
      <c r="U14" s="15">
        <v>107</v>
      </c>
      <c r="V14" s="15"/>
      <c r="W14" s="15">
        <v>168</v>
      </c>
      <c r="X14" s="15">
        <v>177</v>
      </c>
      <c r="Y14" s="15">
        <v>280</v>
      </c>
      <c r="Z14" s="15">
        <v>191</v>
      </c>
      <c r="AA14" s="15">
        <v>329</v>
      </c>
      <c r="AB14" s="15">
        <v>344</v>
      </c>
      <c r="AC14" s="15">
        <v>309</v>
      </c>
      <c r="AD14" s="15">
        <v>565</v>
      </c>
      <c r="AE14" s="124">
        <v>505</v>
      </c>
      <c r="AF14" s="124">
        <v>366</v>
      </c>
      <c r="AG14" s="124">
        <f>8+49+32+42+49+38+37+52+37+43+42+27</f>
        <v>456</v>
      </c>
      <c r="AH14" s="124">
        <f>31+51+34+35+45+42+49+18</f>
        <v>305</v>
      </c>
      <c r="AI14" s="124">
        <f>SUM(1+2+3+2+2+1+2+1+2+1+3+1+2+1+4+2+4+1+1+1+1+2+4+2+3+2+1+2+2+2+3+1+2+2+2+2+2+2+3+2+2+8+1+2+1+1+3+4+4+1+2+2+1+2+2+4+2+2+3+2+1+1+2+1+1+1+2+2+1+2+2+1+3+2+1+3+3+3+1+2+1+5+1+1+1+4+2+2+4+2+2+5+2+2+2+2+2+2+5+5+5+2+2+1+3+2+3+2+2+2+3+2+2+5+3+2+4+2+2+2+1+2+2+2+4+2+9+1+2+2+2+2+4+2+1+2+2+3+1+4+2+5+1+4+4+4+2+1+5+5+2+2+2+2+2+3+1+2+4+3+2+1+1+1+1+1+1+2+2+2+1+4+2+1+3+1+3+2+1+2+2+2+2+2+2+2+2+1+2+1+4+2+1+5+1+1+2+2+3+2+4+1+1+2+1+5+1)</f>
        <v>462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130.5</v>
      </c>
      <c r="BK14">
        <f t="shared" si="2"/>
        <v>142.4</v>
      </c>
      <c r="BL14">
        <f t="shared" si="3"/>
        <v>153.19999999999999</v>
      </c>
      <c r="BM14">
        <f t="shared" si="4"/>
        <v>161.1</v>
      </c>
      <c r="BN14">
        <f t="shared" si="5"/>
        <v>160.69999999999999</v>
      </c>
      <c r="BO14">
        <f t="shared" si="6"/>
        <v>167.2</v>
      </c>
      <c r="BP14">
        <f t="shared" si="7"/>
        <v>174.2</v>
      </c>
      <c r="BQ14">
        <f t="shared" si="8"/>
        <v>176.9</v>
      </c>
      <c r="BR14">
        <f t="shared" si="9"/>
        <v>177.11111111111111</v>
      </c>
      <c r="BS14">
        <f t="shared" si="10"/>
        <v>179</v>
      </c>
      <c r="BT14">
        <f t="shared" si="11"/>
        <v>168.75</v>
      </c>
      <c r="BU14">
        <f t="shared" si="12"/>
        <v>162.14285714285714</v>
      </c>
      <c r="BV14">
        <f t="shared" si="13"/>
        <v>162.42857142857142</v>
      </c>
      <c r="BW14">
        <f t="shared" si="14"/>
        <v>159.28571428571428</v>
      </c>
      <c r="BX14">
        <f t="shared" si="15"/>
        <v>168.42857142857142</v>
      </c>
      <c r="BY14">
        <f t="shared" si="16"/>
        <v>174.71428571428572</v>
      </c>
      <c r="BZ14">
        <f t="shared" si="17"/>
        <v>196.28571428571428</v>
      </c>
      <c r="CA14">
        <f t="shared" si="18"/>
        <v>228</v>
      </c>
      <c r="CB14">
        <f t="shared" si="19"/>
        <v>238.125</v>
      </c>
      <c r="CC14">
        <f t="shared" si="20"/>
        <v>274.44444444444446</v>
      </c>
      <c r="CD14">
        <f t="shared" si="21"/>
        <v>318.66666666666669</v>
      </c>
      <c r="CE14">
        <f t="shared" si="22"/>
        <v>323.39999999999998</v>
      </c>
      <c r="CF14">
        <f t="shared" si="23"/>
        <v>352.2</v>
      </c>
      <c r="CG14">
        <f t="shared" si="24"/>
        <v>365</v>
      </c>
      <c r="CH14">
        <f t="shared" si="25"/>
        <v>383.2</v>
      </c>
      <c r="CI14">
        <f t="shared" si="26"/>
        <v>404.55555555555554</v>
      </c>
      <c r="CJ14">
        <f t="shared" si="27"/>
        <v>414</v>
      </c>
      <c r="CK14">
        <f t="shared" si="28"/>
        <v>424</v>
      </c>
      <c r="CL14">
        <f t="shared" si="29"/>
        <v>443.16666666666669</v>
      </c>
      <c r="CM14">
        <f t="shared" si="30"/>
        <v>418.8</v>
      </c>
      <c r="CN14">
        <f t="shared" si="31"/>
        <v>397.25</v>
      </c>
      <c r="CO14">
        <f t="shared" si="32"/>
        <v>407.66666666666669</v>
      </c>
      <c r="CP14">
        <f t="shared" si="33"/>
        <v>383.5</v>
      </c>
      <c r="CQ14">
        <f t="shared" si="34"/>
        <v>462</v>
      </c>
      <c r="CR14" t="e">
        <f t="shared" si="35"/>
        <v>#DIV/0!</v>
      </c>
      <c r="CS14" t="e">
        <f t="shared" si="36"/>
        <v>#DIV/0!</v>
      </c>
      <c r="CT14" t="e">
        <f t="shared" si="37"/>
        <v>#DIV/0!</v>
      </c>
      <c r="CU14" t="e">
        <f t="shared" si="38"/>
        <v>#DIV/0!</v>
      </c>
      <c r="CV14" t="e">
        <f t="shared" si="39"/>
        <v>#DIV/0!</v>
      </c>
      <c r="CW14" t="e">
        <f t="shared" si="40"/>
        <v>#DIV/0!</v>
      </c>
      <c r="CX14" t="e">
        <f t="shared" si="41"/>
        <v>#DIV/0!</v>
      </c>
      <c r="CY14" t="e">
        <f t="shared" si="42"/>
        <v>#DIV/0!</v>
      </c>
      <c r="CZ14" t="e">
        <f t="shared" si="43"/>
        <v>#N/A</v>
      </c>
      <c r="DA14" t="e">
        <f t="shared" si="44"/>
        <v>#N/A</v>
      </c>
      <c r="DB14" t="e">
        <f t="shared" si="45"/>
        <v>#N/A</v>
      </c>
      <c r="DC14" t="e">
        <f t="shared" si="46"/>
        <v>#N/A</v>
      </c>
      <c r="DD14" t="e">
        <f t="shared" si="47"/>
        <v>#N/A</v>
      </c>
    </row>
    <row r="15" spans="1:108" s="10" customFormat="1" ht="20" customHeight="1" x14ac:dyDescent="0.2">
      <c r="A15" s="9" t="s">
        <v>10</v>
      </c>
      <c r="B15" s="16">
        <v>43</v>
      </c>
      <c r="C15" s="16">
        <v>36</v>
      </c>
      <c r="D15" s="16">
        <v>65</v>
      </c>
      <c r="E15" s="16">
        <v>74</v>
      </c>
      <c r="F15" s="16">
        <v>30</v>
      </c>
      <c r="G15" s="16">
        <v>27</v>
      </c>
      <c r="H15" s="16">
        <v>65</v>
      </c>
      <c r="I15" s="16">
        <v>55</v>
      </c>
      <c r="J15" s="16">
        <v>75</v>
      </c>
      <c r="K15" s="16">
        <v>61</v>
      </c>
      <c r="L15" s="16">
        <v>147</v>
      </c>
      <c r="M15" s="16">
        <v>73</v>
      </c>
      <c r="N15" s="16">
        <v>108</v>
      </c>
      <c r="O15" s="16">
        <v>69</v>
      </c>
      <c r="P15" s="16">
        <v>57</v>
      </c>
      <c r="Q15" s="16">
        <v>64</v>
      </c>
      <c r="R15" s="16">
        <v>48</v>
      </c>
      <c r="S15" s="16"/>
      <c r="T15" s="16"/>
      <c r="U15" s="17">
        <v>146</v>
      </c>
      <c r="V15" s="17"/>
      <c r="W15" s="17">
        <v>74</v>
      </c>
      <c r="X15" s="17">
        <v>100</v>
      </c>
      <c r="Y15" s="17">
        <v>111</v>
      </c>
      <c r="Z15" s="17">
        <v>134</v>
      </c>
      <c r="AA15" s="17">
        <v>168</v>
      </c>
      <c r="AB15" s="17">
        <v>156</v>
      </c>
      <c r="AC15" s="17">
        <v>120</v>
      </c>
      <c r="AD15" s="17">
        <v>227</v>
      </c>
      <c r="AE15" s="10">
        <v>266</v>
      </c>
      <c r="AF15" s="10">
        <v>193</v>
      </c>
      <c r="AG15" s="10">
        <f>13+37+37+35+53+13</f>
        <v>188</v>
      </c>
      <c r="AH15" s="10">
        <f>45+39+42+42+39+50+27</f>
        <v>284</v>
      </c>
      <c r="AI15" s="10">
        <f>SUM(1+4+1+7+7+2+1+2+2+2+1+2+2+2+1+1+3+2+2+3+2+3+1+3+2+2+2+1+2+2+1+1+1+1+2+1+4+2+2+4+2+4+2+2+2+2+2+2+3+3+3+2+1+2+2+2+2+2+3+2+2+2+10+2+2+2+2+2+2+2+1+4+2+2+2+2+1+1+2+2+1+1+2+1+1+2+4+1+2+2+2+1+3+2+1+3+1+1+1+6+1+1+2+1+1+2+1+1+2+1+1+3+1+2+1+1+1+2+1+2+2+2+2)</f>
        <v>251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53.1</v>
      </c>
      <c r="BK15">
        <f t="shared" si="2"/>
        <v>63.5</v>
      </c>
      <c r="BL15">
        <f t="shared" si="3"/>
        <v>67.2</v>
      </c>
      <c r="BM15">
        <f t="shared" si="4"/>
        <v>71.5</v>
      </c>
      <c r="BN15">
        <f t="shared" si="5"/>
        <v>71</v>
      </c>
      <c r="BO15">
        <f t="shared" si="6"/>
        <v>73.7</v>
      </c>
      <c r="BP15">
        <f t="shared" si="7"/>
        <v>77.400000000000006</v>
      </c>
      <c r="BQ15">
        <f t="shared" si="8"/>
        <v>75.7</v>
      </c>
      <c r="BR15">
        <f t="shared" si="9"/>
        <v>78</v>
      </c>
      <c r="BS15">
        <f t="shared" si="10"/>
        <v>78.375</v>
      </c>
      <c r="BT15">
        <f t="shared" si="11"/>
        <v>89</v>
      </c>
      <c r="BU15">
        <f t="shared" si="12"/>
        <v>80.714285714285708</v>
      </c>
      <c r="BV15">
        <f t="shared" si="13"/>
        <v>80.857142857142861</v>
      </c>
      <c r="BW15">
        <f t="shared" si="14"/>
        <v>79.714285714285708</v>
      </c>
      <c r="BX15">
        <f t="shared" si="15"/>
        <v>85.714285714285708</v>
      </c>
      <c r="BY15">
        <f t="shared" si="16"/>
        <v>96.714285714285708</v>
      </c>
      <c r="BZ15">
        <f t="shared" si="17"/>
        <v>111.57142857142857</v>
      </c>
      <c r="CA15">
        <f t="shared" si="18"/>
        <v>127</v>
      </c>
      <c r="CB15">
        <f t="shared" si="19"/>
        <v>126.125</v>
      </c>
      <c r="CC15">
        <f t="shared" si="20"/>
        <v>137.33333333333334</v>
      </c>
      <c r="CD15">
        <f t="shared" si="21"/>
        <v>150.66666666666666</v>
      </c>
      <c r="CE15">
        <f t="shared" si="22"/>
        <v>154.9</v>
      </c>
      <c r="CF15">
        <f t="shared" si="23"/>
        <v>166.3</v>
      </c>
      <c r="CG15">
        <f t="shared" si="24"/>
        <v>184.7</v>
      </c>
      <c r="CH15">
        <f t="shared" si="25"/>
        <v>198.7</v>
      </c>
      <c r="CI15">
        <f t="shared" si="26"/>
        <v>205.88888888888889</v>
      </c>
      <c r="CJ15">
        <f t="shared" si="27"/>
        <v>210.625</v>
      </c>
      <c r="CK15">
        <f t="shared" si="28"/>
        <v>218.42857142857142</v>
      </c>
      <c r="CL15">
        <f t="shared" si="29"/>
        <v>234.83333333333334</v>
      </c>
      <c r="CM15">
        <f t="shared" si="30"/>
        <v>236.4</v>
      </c>
      <c r="CN15">
        <f t="shared" si="31"/>
        <v>229</v>
      </c>
      <c r="CO15">
        <f t="shared" si="32"/>
        <v>241</v>
      </c>
      <c r="CP15">
        <f t="shared" si="33"/>
        <v>267.5</v>
      </c>
      <c r="CQ15">
        <f t="shared" si="34"/>
        <v>251</v>
      </c>
      <c r="CR15" t="e">
        <f t="shared" si="35"/>
        <v>#DIV/0!</v>
      </c>
      <c r="CS15" t="e">
        <f t="shared" si="36"/>
        <v>#DIV/0!</v>
      </c>
      <c r="CT15" t="e">
        <f t="shared" si="37"/>
        <v>#DIV/0!</v>
      </c>
      <c r="CU15" t="e">
        <f t="shared" si="38"/>
        <v>#DIV/0!</v>
      </c>
      <c r="CV15" t="e">
        <f t="shared" si="39"/>
        <v>#DIV/0!</v>
      </c>
      <c r="CW15" t="e">
        <f t="shared" si="40"/>
        <v>#DIV/0!</v>
      </c>
      <c r="CX15" t="e">
        <f t="shared" si="41"/>
        <v>#DIV/0!</v>
      </c>
      <c r="CY15" t="e">
        <f t="shared" si="42"/>
        <v>#DIV/0!</v>
      </c>
      <c r="CZ15" t="e">
        <f t="shared" si="43"/>
        <v>#N/A</v>
      </c>
      <c r="DA15" t="e">
        <f t="shared" si="44"/>
        <v>#N/A</v>
      </c>
      <c r="DB15" t="e">
        <f t="shared" si="45"/>
        <v>#N/A</v>
      </c>
      <c r="DC15" t="e">
        <f t="shared" si="46"/>
        <v>#N/A</v>
      </c>
      <c r="DD15" t="e">
        <f t="shared" si="47"/>
        <v>#N/A</v>
      </c>
    </row>
    <row r="16" spans="1:108" ht="20" customHeight="1" x14ac:dyDescent="0.2">
      <c r="A16" s="7" t="s">
        <v>11</v>
      </c>
      <c r="B16" s="14">
        <v>7</v>
      </c>
      <c r="C16" s="14">
        <v>12</v>
      </c>
      <c r="D16" s="14">
        <v>22</v>
      </c>
      <c r="E16" s="14">
        <v>26</v>
      </c>
      <c r="F16" s="14">
        <v>22</v>
      </c>
      <c r="G16" s="14">
        <v>7</v>
      </c>
      <c r="H16" s="14">
        <v>28</v>
      </c>
      <c r="I16" s="14">
        <v>40</v>
      </c>
      <c r="J16" s="14">
        <v>50</v>
      </c>
      <c r="K16" s="14">
        <v>35</v>
      </c>
      <c r="L16" s="14">
        <v>130</v>
      </c>
      <c r="M16" s="14">
        <v>50</v>
      </c>
      <c r="N16" s="14">
        <v>58</v>
      </c>
      <c r="O16" s="14">
        <v>48</v>
      </c>
      <c r="P16" s="14">
        <v>42</v>
      </c>
      <c r="Q16" s="14">
        <v>77</v>
      </c>
      <c r="R16" s="14">
        <v>64</v>
      </c>
      <c r="S16" s="14"/>
      <c r="T16" s="14"/>
      <c r="U16" s="15">
        <v>37</v>
      </c>
      <c r="V16" s="15"/>
      <c r="W16" s="15">
        <v>56</v>
      </c>
      <c r="X16" s="15">
        <v>69</v>
      </c>
      <c r="Y16" s="15">
        <v>112</v>
      </c>
      <c r="Z16" s="15">
        <v>135</v>
      </c>
      <c r="AA16" s="15">
        <v>90</v>
      </c>
      <c r="AB16" s="15">
        <v>102</v>
      </c>
      <c r="AC16" s="15">
        <v>139</v>
      </c>
      <c r="AD16" s="15">
        <v>146</v>
      </c>
      <c r="AE16" s="124">
        <v>117</v>
      </c>
      <c r="AF16" s="124">
        <v>158</v>
      </c>
      <c r="AG16" s="124">
        <f>14+36+29+37+6</f>
        <v>122</v>
      </c>
      <c r="AH16" s="124">
        <f>7+16+33+40+49+32</f>
        <v>177</v>
      </c>
      <c r="AI16" s="124">
        <f>SUM(2+1+2+3+1+2+1+1+1+1+1+2+1+3+1+2+1+2+2+1+1+2+2+3+3+2+3+1+2+2+3+2+1+1+1+1+4+2+2+1+2+1+1+1+1+2+2+2+2+1+2+3+1+1+2+1+1+1+3+2+2+1+1+3+1+1+2+1+3+1+2+1+1+1+2+2+2+2+2)</f>
        <v>133</v>
      </c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24.9</v>
      </c>
      <c r="BK16">
        <f t="shared" si="2"/>
        <v>37.200000000000003</v>
      </c>
      <c r="BL16">
        <f t="shared" si="3"/>
        <v>41</v>
      </c>
      <c r="BM16">
        <f t="shared" si="4"/>
        <v>44.6</v>
      </c>
      <c r="BN16">
        <f t="shared" si="5"/>
        <v>46.8</v>
      </c>
      <c r="BO16">
        <f t="shared" si="6"/>
        <v>48.8</v>
      </c>
      <c r="BP16">
        <f t="shared" si="7"/>
        <v>55.8</v>
      </c>
      <c r="BQ16">
        <f t="shared" si="8"/>
        <v>59.4</v>
      </c>
      <c r="BR16">
        <f t="shared" si="9"/>
        <v>61.555555555555557</v>
      </c>
      <c r="BS16">
        <f t="shared" si="10"/>
        <v>63</v>
      </c>
      <c r="BT16">
        <f t="shared" si="11"/>
        <v>63.25</v>
      </c>
      <c r="BU16">
        <f t="shared" si="12"/>
        <v>53.714285714285715</v>
      </c>
      <c r="BV16">
        <f t="shared" si="13"/>
        <v>54.571428571428569</v>
      </c>
      <c r="BW16">
        <f t="shared" si="14"/>
        <v>56.142857142857146</v>
      </c>
      <c r="BX16">
        <f t="shared" si="15"/>
        <v>65.285714285714292</v>
      </c>
      <c r="BY16">
        <f t="shared" si="16"/>
        <v>78.571428571428569</v>
      </c>
      <c r="BZ16">
        <f t="shared" si="17"/>
        <v>80.428571428571431</v>
      </c>
      <c r="CA16">
        <f t="shared" si="18"/>
        <v>85.857142857142861</v>
      </c>
      <c r="CB16">
        <f t="shared" si="19"/>
        <v>92.5</v>
      </c>
      <c r="CC16">
        <f t="shared" si="20"/>
        <v>98.444444444444443</v>
      </c>
      <c r="CD16">
        <f t="shared" si="21"/>
        <v>107.33333333333333</v>
      </c>
      <c r="CE16">
        <f t="shared" si="22"/>
        <v>112.4</v>
      </c>
      <c r="CF16">
        <f t="shared" si="23"/>
        <v>119</v>
      </c>
      <c r="CG16">
        <f t="shared" si="24"/>
        <v>129.80000000000001</v>
      </c>
      <c r="CH16">
        <f t="shared" si="25"/>
        <v>131.9</v>
      </c>
      <c r="CI16">
        <f t="shared" si="26"/>
        <v>131.55555555555554</v>
      </c>
      <c r="CJ16">
        <f t="shared" si="27"/>
        <v>136.75</v>
      </c>
      <c r="CK16">
        <f t="shared" si="28"/>
        <v>141.71428571428572</v>
      </c>
      <c r="CL16">
        <f t="shared" si="29"/>
        <v>142.16666666666666</v>
      </c>
      <c r="CM16">
        <f t="shared" si="30"/>
        <v>141.4</v>
      </c>
      <c r="CN16">
        <f t="shared" si="31"/>
        <v>147.5</v>
      </c>
      <c r="CO16">
        <f t="shared" si="32"/>
        <v>144</v>
      </c>
      <c r="CP16">
        <f t="shared" si="33"/>
        <v>155</v>
      </c>
      <c r="CQ16">
        <f t="shared" si="34"/>
        <v>133</v>
      </c>
      <c r="CR16" t="e">
        <f t="shared" si="35"/>
        <v>#DIV/0!</v>
      </c>
      <c r="CS16" t="e">
        <f t="shared" si="36"/>
        <v>#DIV/0!</v>
      </c>
      <c r="CT16" t="e">
        <f t="shared" si="37"/>
        <v>#DIV/0!</v>
      </c>
      <c r="CU16" t="e">
        <f t="shared" si="38"/>
        <v>#DIV/0!</v>
      </c>
      <c r="CV16" t="e">
        <f t="shared" si="39"/>
        <v>#DIV/0!</v>
      </c>
      <c r="CW16" t="e">
        <f t="shared" si="40"/>
        <v>#DIV/0!</v>
      </c>
      <c r="CX16" t="e">
        <f t="shared" si="41"/>
        <v>#DIV/0!</v>
      </c>
      <c r="CY16" t="e">
        <f t="shared" si="42"/>
        <v>#DIV/0!</v>
      </c>
      <c r="CZ16" t="e">
        <f t="shared" si="43"/>
        <v>#N/A</v>
      </c>
      <c r="DA16" t="e">
        <f t="shared" si="44"/>
        <v>#N/A</v>
      </c>
      <c r="DB16" t="e">
        <f t="shared" si="45"/>
        <v>#N/A</v>
      </c>
      <c r="DC16" t="e">
        <f t="shared" si="46"/>
        <v>#N/A</v>
      </c>
      <c r="DD16" t="e">
        <f t="shared" si="47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 t="shared" ref="B18:AG18" si="48">SUM(B5:B16)</f>
        <v>861</v>
      </c>
      <c r="C18" s="22">
        <f t="shared" si="48"/>
        <v>765</v>
      </c>
      <c r="D18" s="22">
        <f t="shared" si="48"/>
        <v>891</v>
      </c>
      <c r="E18" s="22">
        <f t="shared" si="48"/>
        <v>1156</v>
      </c>
      <c r="F18" s="22">
        <f t="shared" si="48"/>
        <v>972</v>
      </c>
      <c r="G18" s="22">
        <f t="shared" si="48"/>
        <v>813</v>
      </c>
      <c r="H18" s="22">
        <f t="shared" si="48"/>
        <v>927</v>
      </c>
      <c r="I18" s="22">
        <f t="shared" si="48"/>
        <v>1168</v>
      </c>
      <c r="J18" s="22">
        <f t="shared" si="48"/>
        <v>1359</v>
      </c>
      <c r="K18" s="22">
        <f t="shared" si="48"/>
        <v>1316</v>
      </c>
      <c r="L18" s="22">
        <f t="shared" si="48"/>
        <v>1534</v>
      </c>
      <c r="M18" s="22">
        <f t="shared" si="48"/>
        <v>1328</v>
      </c>
      <c r="N18" s="22">
        <f t="shared" si="48"/>
        <v>1131</v>
      </c>
      <c r="O18" s="22">
        <f t="shared" si="48"/>
        <v>1341</v>
      </c>
      <c r="P18" s="22">
        <f t="shared" si="48"/>
        <v>1152</v>
      </c>
      <c r="Q18" s="22">
        <f t="shared" si="48"/>
        <v>1339</v>
      </c>
      <c r="R18" s="22">
        <f t="shared" si="48"/>
        <v>1183</v>
      </c>
      <c r="S18" s="22">
        <f t="shared" si="48"/>
        <v>0</v>
      </c>
      <c r="T18" s="22">
        <f t="shared" si="48"/>
        <v>0</v>
      </c>
      <c r="U18" s="22">
        <f t="shared" si="48"/>
        <v>916</v>
      </c>
      <c r="V18" s="22">
        <f t="shared" si="48"/>
        <v>0</v>
      </c>
      <c r="W18" s="22">
        <f t="shared" si="48"/>
        <v>1261</v>
      </c>
      <c r="X18" s="22">
        <f t="shared" si="48"/>
        <v>1662</v>
      </c>
      <c r="Y18" s="22">
        <f t="shared" si="48"/>
        <v>1932</v>
      </c>
      <c r="Z18" s="22">
        <f t="shared" si="48"/>
        <v>2033</v>
      </c>
      <c r="AA18" s="22">
        <f t="shared" si="48"/>
        <v>2525</v>
      </c>
      <c r="AB18" s="22">
        <f t="shared" si="48"/>
        <v>2375</v>
      </c>
      <c r="AC18" s="22">
        <f t="shared" si="48"/>
        <v>2186</v>
      </c>
      <c r="AD18" s="22">
        <f t="shared" si="48"/>
        <v>3316</v>
      </c>
      <c r="AE18" s="22">
        <f t="shared" si="48"/>
        <v>3158</v>
      </c>
      <c r="AF18" s="22">
        <f t="shared" si="48"/>
        <v>2705</v>
      </c>
      <c r="AG18" s="22">
        <f t="shared" si="48"/>
        <v>3212</v>
      </c>
      <c r="AH18" s="22">
        <f t="shared" ref="AH18:AZ18" si="49">SUM(AH5:AH16)</f>
        <v>3048</v>
      </c>
      <c r="AI18" s="22">
        <f t="shared" si="49"/>
        <v>3198</v>
      </c>
      <c r="AJ18" s="22">
        <f t="shared" si="49"/>
        <v>1802</v>
      </c>
      <c r="AK18" s="22">
        <f t="shared" si="49"/>
        <v>0</v>
      </c>
      <c r="AL18" s="22">
        <f t="shared" si="49"/>
        <v>0</v>
      </c>
      <c r="AM18" s="22">
        <f t="shared" si="49"/>
        <v>0</v>
      </c>
      <c r="AN18" s="22">
        <f t="shared" si="49"/>
        <v>0</v>
      </c>
      <c r="AO18" s="22">
        <f t="shared" si="49"/>
        <v>0</v>
      </c>
      <c r="AP18" s="22">
        <f t="shared" si="49"/>
        <v>0</v>
      </c>
      <c r="AQ18" s="22">
        <f t="shared" si="49"/>
        <v>0</v>
      </c>
      <c r="AR18" s="22">
        <f t="shared" si="49"/>
        <v>0</v>
      </c>
      <c r="AS18" s="22">
        <f t="shared" si="49"/>
        <v>0</v>
      </c>
      <c r="AT18" s="22">
        <f t="shared" si="49"/>
        <v>0</v>
      </c>
      <c r="AU18" s="22">
        <f t="shared" si="49"/>
        <v>0</v>
      </c>
      <c r="AV18" s="22">
        <f t="shared" si="49"/>
        <v>0</v>
      </c>
      <c r="AW18" s="22">
        <f t="shared" si="49"/>
        <v>0</v>
      </c>
      <c r="AX18" s="22">
        <f t="shared" si="49"/>
        <v>0</v>
      </c>
      <c r="AY18" s="22">
        <f t="shared" si="49"/>
        <v>0</v>
      </c>
      <c r="AZ18" s="22">
        <f t="shared" si="49"/>
        <v>0</v>
      </c>
      <c r="BA18" s="24"/>
      <c r="BX18" s="25">
        <f>AVERAGE(P18:Y18)</f>
        <v>944.5</v>
      </c>
      <c r="BY18" s="25">
        <f>AVERAGE(Q18:Z18)</f>
        <v>1032.5999999999999</v>
      </c>
      <c r="BZ18" s="25">
        <f>AVERAGE(R18:AA18)</f>
        <v>1151.2</v>
      </c>
      <c r="CA18" s="25">
        <f>AVERAGE(S18:AB18)</f>
        <v>1270.4000000000001</v>
      </c>
      <c r="CB18" s="25">
        <f>AVERAGE(T18:AC18)</f>
        <v>1489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transitionEvaluation="1" codeName="Sheet6">
    <tabColor theme="3"/>
  </sheetPr>
  <dimension ref="A1:DF192"/>
  <sheetViews>
    <sheetView defaultGridColor="0" colorId="22" zoomScale="70" zoomScaleNormal="70" workbookViewId="0">
      <pane xSplit="1" topLeftCell="X1" activePane="topRight" state="frozen"/>
      <selection activeCell="A2" sqref="A2"/>
      <selection pane="topRight" activeCell="AI15" sqref="AI15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8" width="5.7109375" style="5" customWidth="1"/>
    <col min="29" max="29" width="6.140625" style="5" customWidth="1"/>
    <col min="30" max="30" width="6.85546875" style="5" customWidth="1"/>
    <col min="31" max="31" width="6.5703125" customWidth="1"/>
    <col min="32" max="52" width="9.42578125" customWidth="1"/>
    <col min="53" max="74" width="9.42578125" style="5" customWidth="1"/>
    <col min="75" max="75" width="4.7109375" style="5" customWidth="1"/>
    <col min="76" max="77" width="25" style="5" customWidth="1"/>
    <col min="78" max="79" width="16.28515625" style="5" customWidth="1"/>
    <col min="80" max="80" width="17.28515625" style="5" customWidth="1"/>
    <col min="81" max="81" width="9.425781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12</v>
      </c>
      <c r="B1" s="32"/>
      <c r="C1" s="32"/>
      <c r="D1" s="32"/>
      <c r="E1" s="32"/>
      <c r="F1" s="98"/>
      <c r="G1" s="98"/>
      <c r="H1" s="98" t="s">
        <v>79</v>
      </c>
      <c r="I1" s="98"/>
      <c r="J1" s="98"/>
      <c r="K1" s="98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77.25" customHeight="1" x14ac:dyDescent="0.25">
      <c r="A2" s="166" t="s">
        <v>135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5</v>
      </c>
      <c r="C5" s="16">
        <v>9</v>
      </c>
      <c r="D5" s="16">
        <v>5</v>
      </c>
      <c r="E5" s="16">
        <v>1</v>
      </c>
      <c r="F5" s="16">
        <v>3</v>
      </c>
      <c r="G5" s="16">
        <v>1</v>
      </c>
      <c r="H5" s="16">
        <v>0</v>
      </c>
      <c r="I5" s="16">
        <v>4</v>
      </c>
      <c r="J5" s="16">
        <v>3</v>
      </c>
      <c r="K5" s="16">
        <v>4</v>
      </c>
      <c r="L5" s="16">
        <v>6</v>
      </c>
      <c r="M5" s="16">
        <v>1</v>
      </c>
      <c r="N5" s="16">
        <v>0</v>
      </c>
      <c r="O5" s="16">
        <v>2</v>
      </c>
      <c r="P5" s="16">
        <v>1</v>
      </c>
      <c r="Q5" s="16">
        <v>0</v>
      </c>
      <c r="R5" s="16">
        <v>2</v>
      </c>
      <c r="S5" s="16"/>
      <c r="T5" s="16"/>
      <c r="U5" s="17"/>
      <c r="V5" s="17"/>
      <c r="W5" s="17"/>
      <c r="X5" s="17"/>
      <c r="Y5" s="17">
        <v>9</v>
      </c>
      <c r="Z5" s="17">
        <v>9</v>
      </c>
      <c r="AA5" s="17">
        <v>3</v>
      </c>
      <c r="AB5" s="17">
        <v>3</v>
      </c>
      <c r="AC5" s="17">
        <v>4</v>
      </c>
      <c r="AD5" s="112">
        <v>20</v>
      </c>
      <c r="AE5" s="10">
        <v>4</v>
      </c>
      <c r="AF5" s="10">
        <v>7</v>
      </c>
      <c r="AG5" s="10">
        <v>1</v>
      </c>
      <c r="AH5" s="10">
        <v>0</v>
      </c>
      <c r="AI5" s="10">
        <f>(0)</f>
        <v>0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3.5</v>
      </c>
      <c r="BK5">
        <f t="shared" ref="BK5:DD16" si="0">AVERAGE(C5:L5)</f>
        <v>3.6</v>
      </c>
      <c r="BL5">
        <f>AVERAGE(D5:M5)</f>
        <v>2.8</v>
      </c>
      <c r="BM5">
        <f t="shared" si="0"/>
        <v>2.2999999999999998</v>
      </c>
      <c r="BN5">
        <f t="shared" si="0"/>
        <v>2.4</v>
      </c>
      <c r="BO5">
        <f t="shared" si="0"/>
        <v>2.2000000000000002</v>
      </c>
      <c r="BP5">
        <f t="shared" si="0"/>
        <v>2.1</v>
      </c>
      <c r="BQ5">
        <f t="shared" si="0"/>
        <v>2.2999999999999998</v>
      </c>
      <c r="BR5">
        <f t="shared" si="0"/>
        <v>2.1111111111111112</v>
      </c>
      <c r="BS5">
        <f t="shared" si="0"/>
        <v>2</v>
      </c>
      <c r="BT5">
        <f t="shared" si="0"/>
        <v>1.7142857142857142</v>
      </c>
      <c r="BU5">
        <f t="shared" si="0"/>
        <v>1</v>
      </c>
      <c r="BV5">
        <f t="shared" si="0"/>
        <v>1</v>
      </c>
      <c r="BW5">
        <f t="shared" si="0"/>
        <v>1.25</v>
      </c>
      <c r="BX5">
        <f t="shared" si="0"/>
        <v>3</v>
      </c>
      <c r="BY5">
        <f t="shared" si="0"/>
        <v>5</v>
      </c>
      <c r="BZ5">
        <f t="shared" si="0"/>
        <v>5.75</v>
      </c>
      <c r="CA5">
        <f t="shared" si="0"/>
        <v>6</v>
      </c>
      <c r="CB5">
        <f t="shared" si="0"/>
        <v>5.6</v>
      </c>
      <c r="CC5">
        <f t="shared" si="0"/>
        <v>8</v>
      </c>
      <c r="CD5">
        <f t="shared" si="0"/>
        <v>7.4285714285714288</v>
      </c>
      <c r="CE5">
        <f t="shared" si="0"/>
        <v>7.375</v>
      </c>
      <c r="CF5">
        <f t="shared" si="0"/>
        <v>6.666666666666667</v>
      </c>
      <c r="CG5">
        <f t="shared" si="0"/>
        <v>6</v>
      </c>
      <c r="CH5">
        <f t="shared" si="0"/>
        <v>5.0999999999999996</v>
      </c>
      <c r="CI5">
        <f t="shared" si="0"/>
        <v>4.666666666666667</v>
      </c>
      <c r="CJ5">
        <f t="shared" si="0"/>
        <v>4.875</v>
      </c>
      <c r="CK5">
        <f t="shared" si="0"/>
        <v>5.1428571428571432</v>
      </c>
      <c r="CL5">
        <f t="shared" si="0"/>
        <v>5.333333333333333</v>
      </c>
      <c r="CM5">
        <f t="shared" si="0"/>
        <v>2.4</v>
      </c>
      <c r="CN5">
        <f t="shared" si="0"/>
        <v>2</v>
      </c>
      <c r="CO5">
        <f t="shared" si="0"/>
        <v>0.33333333333333331</v>
      </c>
      <c r="CP5">
        <f t="shared" si="0"/>
        <v>0</v>
      </c>
      <c r="CQ5">
        <f t="shared" si="0"/>
        <v>0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1</v>
      </c>
      <c r="C6" s="14">
        <v>3</v>
      </c>
      <c r="D6" s="14">
        <v>14</v>
      </c>
      <c r="E6" s="14">
        <v>8</v>
      </c>
      <c r="F6" s="14">
        <v>9</v>
      </c>
      <c r="G6" s="14">
        <v>1</v>
      </c>
      <c r="H6" s="14">
        <v>2</v>
      </c>
      <c r="I6" s="14">
        <v>3</v>
      </c>
      <c r="J6" s="14">
        <v>0</v>
      </c>
      <c r="K6" s="14">
        <v>0</v>
      </c>
      <c r="L6" s="14">
        <v>11</v>
      </c>
      <c r="M6" s="14">
        <v>6</v>
      </c>
      <c r="N6" s="14">
        <v>0</v>
      </c>
      <c r="O6" s="14">
        <v>0</v>
      </c>
      <c r="P6" s="14">
        <v>0</v>
      </c>
      <c r="Q6" s="14">
        <v>1</v>
      </c>
      <c r="R6" s="14">
        <v>2</v>
      </c>
      <c r="S6" s="14"/>
      <c r="T6" s="14"/>
      <c r="U6" s="15"/>
      <c r="V6" s="15"/>
      <c r="W6" s="15"/>
      <c r="X6" s="15"/>
      <c r="Y6" s="15">
        <v>0</v>
      </c>
      <c r="Z6" s="15">
        <v>0</v>
      </c>
      <c r="AA6" s="15">
        <v>2</v>
      </c>
      <c r="AB6" s="15">
        <v>2</v>
      </c>
      <c r="AC6" s="15">
        <v>2</v>
      </c>
      <c r="AD6" s="111">
        <v>18</v>
      </c>
      <c r="AE6" s="124">
        <v>0</v>
      </c>
      <c r="AF6" s="124">
        <v>0</v>
      </c>
      <c r="AG6" s="124">
        <v>0</v>
      </c>
      <c r="AH6" s="124">
        <v>1</v>
      </c>
      <c r="AI6" s="124">
        <f>(1)</f>
        <v>1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4.0999999999999996</v>
      </c>
      <c r="BK6">
        <f t="shared" si="0"/>
        <v>5.0999999999999996</v>
      </c>
      <c r="BL6">
        <f t="shared" ref="BL6:BL16" si="2">AVERAGE(D6:M6)</f>
        <v>5.4</v>
      </c>
      <c r="BM6">
        <f t="shared" si="0"/>
        <v>4</v>
      </c>
      <c r="BN6">
        <f t="shared" si="0"/>
        <v>3.2</v>
      </c>
      <c r="BO6">
        <f t="shared" si="0"/>
        <v>2.2999999999999998</v>
      </c>
      <c r="BP6">
        <f t="shared" si="0"/>
        <v>2.2999999999999998</v>
      </c>
      <c r="BQ6">
        <f t="shared" si="0"/>
        <v>2.2999999999999998</v>
      </c>
      <c r="BR6">
        <f t="shared" ref="BR6:BS16" si="3">AVERAGE(J6:S6)</f>
        <v>2.2222222222222223</v>
      </c>
      <c r="BS6">
        <f t="shared" si="3"/>
        <v>2.5</v>
      </c>
      <c r="BT6">
        <f t="shared" si="0"/>
        <v>2.8571428571428572</v>
      </c>
      <c r="BU6">
        <f t="shared" si="0"/>
        <v>1.5</v>
      </c>
      <c r="BV6">
        <f t="shared" si="0"/>
        <v>0.6</v>
      </c>
      <c r="BW6">
        <f t="shared" si="0"/>
        <v>0.75</v>
      </c>
      <c r="BX6">
        <f t="shared" si="0"/>
        <v>0.75</v>
      </c>
      <c r="BY6">
        <f t="shared" si="0"/>
        <v>0.75</v>
      </c>
      <c r="BZ6">
        <f t="shared" si="0"/>
        <v>1</v>
      </c>
      <c r="CA6">
        <f t="shared" si="0"/>
        <v>1</v>
      </c>
      <c r="CB6">
        <f t="shared" si="0"/>
        <v>1.2</v>
      </c>
      <c r="CC6">
        <f t="shared" si="0"/>
        <v>4</v>
      </c>
      <c r="CD6">
        <f t="shared" si="0"/>
        <v>3.4285714285714284</v>
      </c>
      <c r="CE6">
        <f t="shared" si="0"/>
        <v>3</v>
      </c>
      <c r="CF6">
        <f t="shared" ref="CF6:CF16" si="4">AVERAGE(X6:AG6)</f>
        <v>2.6666666666666665</v>
      </c>
      <c r="CG6">
        <f t="shared" ref="CG6:CG16" si="5">AVERAGE(Y6:AH6)</f>
        <v>2.5</v>
      </c>
      <c r="CH6">
        <f t="shared" ref="CH6:CH16" si="6">AVERAGE(Z6:AI6)</f>
        <v>2.6</v>
      </c>
      <c r="CI6">
        <f t="shared" ref="CI6:CI16" si="7">AVERAGE(AA6:AJ6)</f>
        <v>2.8888888888888888</v>
      </c>
      <c r="CJ6">
        <f t="shared" ref="CJ6:CJ16" si="8">AVERAGE(AB6:AK6)</f>
        <v>3</v>
      </c>
      <c r="CK6">
        <f t="shared" ref="CK6:CK16" si="9">AVERAGE(AC6:AL6)</f>
        <v>3.1428571428571428</v>
      </c>
      <c r="CL6">
        <f t="shared" ref="CL6:CL16" si="10">AVERAGE(AD6:AM6)</f>
        <v>3.3333333333333335</v>
      </c>
      <c r="CM6">
        <f t="shared" ref="CM6:CM16" si="11">AVERAGE(AE6:AN6)</f>
        <v>0.4</v>
      </c>
      <c r="CN6">
        <f t="shared" ref="CN6:CN16" si="12">AVERAGE(AF6:AO6)</f>
        <v>0.5</v>
      </c>
      <c r="CO6">
        <f t="shared" ref="CO6:CO16" si="13">AVERAGE(AG6:AP6)</f>
        <v>0.66666666666666663</v>
      </c>
      <c r="CP6">
        <f t="shared" ref="CP6:CP16" si="14">AVERAGE(AH6:AQ6)</f>
        <v>1</v>
      </c>
      <c r="CQ6">
        <f t="shared" ref="CQ6:CQ16" si="15">AVERAGE(AI6:AR6)</f>
        <v>1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3</v>
      </c>
      <c r="C7" s="16">
        <v>1</v>
      </c>
      <c r="D7" s="16">
        <v>0</v>
      </c>
      <c r="E7" s="16">
        <v>10</v>
      </c>
      <c r="F7" s="16">
        <v>9</v>
      </c>
      <c r="G7" s="16">
        <v>2</v>
      </c>
      <c r="H7" s="16">
        <v>5</v>
      </c>
      <c r="I7" s="16">
        <v>12</v>
      </c>
      <c r="J7" s="16">
        <v>4</v>
      </c>
      <c r="K7" s="16">
        <v>0</v>
      </c>
      <c r="L7" s="16">
        <v>0</v>
      </c>
      <c r="M7" s="16">
        <v>1</v>
      </c>
      <c r="N7" s="16">
        <v>2</v>
      </c>
      <c r="O7" s="16">
        <v>1</v>
      </c>
      <c r="P7" s="16">
        <v>3</v>
      </c>
      <c r="Q7" s="16">
        <v>11</v>
      </c>
      <c r="R7" s="16">
        <v>4</v>
      </c>
      <c r="S7" s="16"/>
      <c r="T7" s="16"/>
      <c r="U7" s="17"/>
      <c r="V7" s="17"/>
      <c r="W7" s="17"/>
      <c r="X7" s="17"/>
      <c r="Y7" s="17">
        <v>0</v>
      </c>
      <c r="Z7" s="17">
        <v>0</v>
      </c>
      <c r="AA7" s="17">
        <v>13</v>
      </c>
      <c r="AB7" s="17">
        <v>1</v>
      </c>
      <c r="AC7" s="17">
        <v>0</v>
      </c>
      <c r="AD7" s="112">
        <v>24</v>
      </c>
      <c r="AE7" s="10">
        <v>2</v>
      </c>
      <c r="AF7" s="10">
        <v>11</v>
      </c>
      <c r="AG7" s="10">
        <v>0</v>
      </c>
      <c r="AH7" s="10">
        <v>0</v>
      </c>
      <c r="AI7" s="10">
        <f>(2+2)</f>
        <v>4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4.5999999999999996</v>
      </c>
      <c r="BK7">
        <f t="shared" si="0"/>
        <v>4.3</v>
      </c>
      <c r="BL7">
        <f t="shared" si="2"/>
        <v>4.3</v>
      </c>
      <c r="BM7">
        <f t="shared" si="0"/>
        <v>4.5</v>
      </c>
      <c r="BN7">
        <f t="shared" si="0"/>
        <v>3.6</v>
      </c>
      <c r="BO7">
        <f t="shared" si="0"/>
        <v>3</v>
      </c>
      <c r="BP7">
        <f t="shared" si="0"/>
        <v>3.9</v>
      </c>
      <c r="BQ7">
        <f t="shared" si="0"/>
        <v>3.8</v>
      </c>
      <c r="BR7">
        <f t="shared" si="3"/>
        <v>2.8888888888888888</v>
      </c>
      <c r="BS7">
        <f t="shared" si="3"/>
        <v>2.75</v>
      </c>
      <c r="BT7">
        <f t="shared" si="0"/>
        <v>3.1428571428571428</v>
      </c>
      <c r="BU7">
        <f t="shared" si="0"/>
        <v>3.6666666666666665</v>
      </c>
      <c r="BV7">
        <f t="shared" si="0"/>
        <v>4.2</v>
      </c>
      <c r="BW7">
        <f t="shared" si="0"/>
        <v>4.75</v>
      </c>
      <c r="BX7">
        <f>AVERAGE(P7:Y7)</f>
        <v>4.5</v>
      </c>
      <c r="BY7">
        <f t="shared" si="0"/>
        <v>3.75</v>
      </c>
      <c r="BZ7">
        <f t="shared" si="0"/>
        <v>4.25</v>
      </c>
      <c r="CA7">
        <f t="shared" si="0"/>
        <v>3.5</v>
      </c>
      <c r="CB7">
        <f t="shared" si="0"/>
        <v>2.8</v>
      </c>
      <c r="CC7">
        <f t="shared" si="0"/>
        <v>6.333333333333333</v>
      </c>
      <c r="CD7">
        <f t="shared" si="0"/>
        <v>5.7142857142857144</v>
      </c>
      <c r="CE7">
        <f>AVERAGE(W7:AF7)</f>
        <v>6.375</v>
      </c>
      <c r="CF7">
        <f t="shared" si="4"/>
        <v>5.666666666666667</v>
      </c>
      <c r="CG7">
        <f t="shared" si="5"/>
        <v>5.0999999999999996</v>
      </c>
      <c r="CH7">
        <f t="shared" si="6"/>
        <v>5.5</v>
      </c>
      <c r="CI7">
        <f t="shared" si="7"/>
        <v>6.1111111111111107</v>
      </c>
      <c r="CJ7">
        <f t="shared" si="8"/>
        <v>5.25</v>
      </c>
      <c r="CK7">
        <f t="shared" si="9"/>
        <v>5.8571428571428568</v>
      </c>
      <c r="CL7">
        <f t="shared" si="10"/>
        <v>6.833333333333333</v>
      </c>
      <c r="CM7">
        <f t="shared" si="11"/>
        <v>3.4</v>
      </c>
      <c r="CN7">
        <f t="shared" si="12"/>
        <v>3.75</v>
      </c>
      <c r="CO7">
        <f t="shared" si="13"/>
        <v>1.3333333333333333</v>
      </c>
      <c r="CP7">
        <f t="shared" si="14"/>
        <v>2</v>
      </c>
      <c r="CQ7">
        <f t="shared" si="15"/>
        <v>4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15</v>
      </c>
      <c r="C8" s="14">
        <v>7</v>
      </c>
      <c r="D8" s="14">
        <v>5</v>
      </c>
      <c r="E8" s="14">
        <v>16</v>
      </c>
      <c r="F8" s="14">
        <v>8</v>
      </c>
      <c r="G8" s="14">
        <v>11</v>
      </c>
      <c r="H8" s="14">
        <v>14</v>
      </c>
      <c r="I8" s="14">
        <v>9</v>
      </c>
      <c r="J8" s="14">
        <v>26</v>
      </c>
      <c r="K8" s="14">
        <v>24</v>
      </c>
      <c r="L8" s="14">
        <v>8</v>
      </c>
      <c r="M8" s="14">
        <v>3</v>
      </c>
      <c r="N8" s="14">
        <v>10</v>
      </c>
      <c r="O8" s="14">
        <v>12</v>
      </c>
      <c r="P8" s="14">
        <v>8</v>
      </c>
      <c r="Q8" s="14">
        <v>11</v>
      </c>
      <c r="R8" s="14">
        <v>13</v>
      </c>
      <c r="S8" s="14"/>
      <c r="T8" s="14"/>
      <c r="U8" s="15"/>
      <c r="V8" s="15"/>
      <c r="W8" s="15"/>
      <c r="X8" s="15"/>
      <c r="Y8" s="15">
        <v>3</v>
      </c>
      <c r="Z8" s="15">
        <v>2</v>
      </c>
      <c r="AA8" s="15">
        <v>30</v>
      </c>
      <c r="AB8" s="15">
        <v>26</v>
      </c>
      <c r="AC8" s="15">
        <v>7</v>
      </c>
      <c r="AD8" s="111">
        <v>10</v>
      </c>
      <c r="AE8" s="124">
        <v>17</v>
      </c>
      <c r="AF8" s="124">
        <v>8</v>
      </c>
      <c r="AG8" s="124">
        <v>6</v>
      </c>
      <c r="AH8" s="124">
        <v>13</v>
      </c>
      <c r="AI8" s="124">
        <f>(1+2+1)</f>
        <v>4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13.5</v>
      </c>
      <c r="BK8">
        <f t="shared" si="0"/>
        <v>12.8</v>
      </c>
      <c r="BL8">
        <f t="shared" si="2"/>
        <v>12.4</v>
      </c>
      <c r="BM8">
        <f t="shared" si="0"/>
        <v>12.9</v>
      </c>
      <c r="BN8">
        <f t="shared" si="0"/>
        <v>12.5</v>
      </c>
      <c r="BO8">
        <f t="shared" si="0"/>
        <v>12.5</v>
      </c>
      <c r="BP8">
        <f t="shared" si="0"/>
        <v>12.5</v>
      </c>
      <c r="BQ8">
        <f t="shared" si="0"/>
        <v>12.4</v>
      </c>
      <c r="BR8">
        <f t="shared" si="3"/>
        <v>12.777777777777779</v>
      </c>
      <c r="BS8">
        <f t="shared" si="3"/>
        <v>11.125</v>
      </c>
      <c r="BT8">
        <f>AVERAGE(L8:U8)</f>
        <v>9.2857142857142865</v>
      </c>
      <c r="BU8">
        <f t="shared" si="0"/>
        <v>9.5</v>
      </c>
      <c r="BV8">
        <f t="shared" si="0"/>
        <v>10.8</v>
      </c>
      <c r="BW8">
        <f t="shared" si="0"/>
        <v>11</v>
      </c>
      <c r="BX8">
        <f t="shared" si="0"/>
        <v>8.75</v>
      </c>
      <c r="BY8">
        <f t="shared" si="0"/>
        <v>7.25</v>
      </c>
      <c r="BZ8">
        <f t="shared" si="0"/>
        <v>12</v>
      </c>
      <c r="CA8">
        <f t="shared" si="0"/>
        <v>15.25</v>
      </c>
      <c r="CB8">
        <f t="shared" si="0"/>
        <v>13.6</v>
      </c>
      <c r="CC8">
        <f t="shared" si="0"/>
        <v>13</v>
      </c>
      <c r="CD8">
        <f t="shared" si="0"/>
        <v>13.571428571428571</v>
      </c>
      <c r="CE8">
        <f t="shared" si="0"/>
        <v>12.875</v>
      </c>
      <c r="CF8">
        <f t="shared" si="4"/>
        <v>12.111111111111111</v>
      </c>
      <c r="CG8">
        <f t="shared" si="5"/>
        <v>12.2</v>
      </c>
      <c r="CH8">
        <f t="shared" si="6"/>
        <v>12.3</v>
      </c>
      <c r="CI8">
        <f t="shared" si="7"/>
        <v>13.444444444444445</v>
      </c>
      <c r="CJ8">
        <f t="shared" si="8"/>
        <v>11.375</v>
      </c>
      <c r="CK8">
        <f t="shared" si="9"/>
        <v>9.2857142857142865</v>
      </c>
      <c r="CL8">
        <f t="shared" si="10"/>
        <v>9.6666666666666661</v>
      </c>
      <c r="CM8">
        <f t="shared" si="11"/>
        <v>9.6</v>
      </c>
      <c r="CN8">
        <f t="shared" si="12"/>
        <v>7.75</v>
      </c>
      <c r="CO8">
        <f t="shared" si="13"/>
        <v>7.666666666666667</v>
      </c>
      <c r="CP8">
        <f t="shared" si="14"/>
        <v>8.5</v>
      </c>
      <c r="CQ8">
        <f t="shared" si="15"/>
        <v>4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31</v>
      </c>
      <c r="C9" s="16">
        <v>20</v>
      </c>
      <c r="D9" s="16">
        <v>48</v>
      </c>
      <c r="E9" s="16">
        <v>35</v>
      </c>
      <c r="F9" s="16">
        <v>28</v>
      </c>
      <c r="G9" s="16">
        <v>57</v>
      </c>
      <c r="H9" s="16">
        <v>32</v>
      </c>
      <c r="I9" s="16">
        <v>44</v>
      </c>
      <c r="J9" s="16">
        <v>43</v>
      </c>
      <c r="K9" s="16">
        <v>30</v>
      </c>
      <c r="L9" s="16">
        <v>20</v>
      </c>
      <c r="M9" s="16">
        <v>18</v>
      </c>
      <c r="N9" s="16">
        <v>0</v>
      </c>
      <c r="O9" s="16">
        <v>20</v>
      </c>
      <c r="P9" s="16">
        <v>36</v>
      </c>
      <c r="Q9" s="16">
        <v>26</v>
      </c>
      <c r="R9" s="16">
        <v>29</v>
      </c>
      <c r="S9" s="16"/>
      <c r="T9" s="16"/>
      <c r="U9" s="17"/>
      <c r="V9" s="17"/>
      <c r="W9" s="17"/>
      <c r="X9" s="17"/>
      <c r="Y9" s="17">
        <v>30</v>
      </c>
      <c r="Z9" s="17">
        <v>23</v>
      </c>
      <c r="AA9" s="17">
        <v>22</v>
      </c>
      <c r="AB9" s="17">
        <v>43</v>
      </c>
      <c r="AC9" s="17">
        <v>30</v>
      </c>
      <c r="AD9" s="112">
        <v>26</v>
      </c>
      <c r="AE9" s="10">
        <v>32</v>
      </c>
      <c r="AF9" s="10">
        <v>17</v>
      </c>
      <c r="AG9" s="10">
        <v>19</v>
      </c>
      <c r="AH9" s="10">
        <f>2+(1+2+1+6+1+1+2+2+1+2+3+1+1)</f>
        <v>26</v>
      </c>
      <c r="AI9" s="10">
        <f>(2+2+4)+(4+2+4+3+2+1+2+1+1+1+1)+(3+1)</f>
        <v>34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36.799999999999997</v>
      </c>
      <c r="BK9">
        <f t="shared" si="0"/>
        <v>35.700000000000003</v>
      </c>
      <c r="BL9">
        <f t="shared" si="2"/>
        <v>35.5</v>
      </c>
      <c r="BM9">
        <f t="shared" si="0"/>
        <v>30.7</v>
      </c>
      <c r="BN9">
        <f t="shared" si="0"/>
        <v>29.2</v>
      </c>
      <c r="BO9">
        <f t="shared" si="0"/>
        <v>30</v>
      </c>
      <c r="BP9">
        <f t="shared" si="0"/>
        <v>26.9</v>
      </c>
      <c r="BQ9">
        <f t="shared" si="0"/>
        <v>26.6</v>
      </c>
      <c r="BR9">
        <f t="shared" si="3"/>
        <v>24.666666666666668</v>
      </c>
      <c r="BS9">
        <f t="shared" si="3"/>
        <v>22.375</v>
      </c>
      <c r="BT9">
        <f t="shared" si="0"/>
        <v>21.285714285714285</v>
      </c>
      <c r="BU9">
        <f t="shared" si="0"/>
        <v>21.5</v>
      </c>
      <c r="BV9">
        <f t="shared" si="0"/>
        <v>22.2</v>
      </c>
      <c r="BW9">
        <f t="shared" si="0"/>
        <v>27.75</v>
      </c>
      <c r="BX9">
        <f t="shared" si="0"/>
        <v>30.25</v>
      </c>
      <c r="BY9">
        <f t="shared" si="0"/>
        <v>27</v>
      </c>
      <c r="BZ9">
        <f t="shared" si="0"/>
        <v>26</v>
      </c>
      <c r="CA9">
        <f t="shared" si="0"/>
        <v>29.5</v>
      </c>
      <c r="CB9">
        <f t="shared" si="0"/>
        <v>29.6</v>
      </c>
      <c r="CC9">
        <f t="shared" si="0"/>
        <v>29</v>
      </c>
      <c r="CD9">
        <f t="shared" si="0"/>
        <v>29.428571428571427</v>
      </c>
      <c r="CE9">
        <f t="shared" si="0"/>
        <v>27.875</v>
      </c>
      <c r="CF9">
        <f t="shared" si="4"/>
        <v>26.888888888888889</v>
      </c>
      <c r="CG9">
        <f t="shared" si="5"/>
        <v>26.8</v>
      </c>
      <c r="CH9">
        <f t="shared" si="6"/>
        <v>27.2</v>
      </c>
      <c r="CI9">
        <f t="shared" si="7"/>
        <v>27.666666666666668</v>
      </c>
      <c r="CJ9">
        <f t="shared" si="8"/>
        <v>28.375</v>
      </c>
      <c r="CK9">
        <f t="shared" si="9"/>
        <v>26.285714285714285</v>
      </c>
      <c r="CL9">
        <f t="shared" si="10"/>
        <v>25.666666666666668</v>
      </c>
      <c r="CM9">
        <f t="shared" si="11"/>
        <v>25.6</v>
      </c>
      <c r="CN9">
        <f t="shared" si="12"/>
        <v>24</v>
      </c>
      <c r="CO9">
        <f t="shared" si="13"/>
        <v>26.333333333333332</v>
      </c>
      <c r="CP9">
        <f t="shared" si="14"/>
        <v>30</v>
      </c>
      <c r="CQ9">
        <f t="shared" si="15"/>
        <v>34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29</v>
      </c>
      <c r="C10" s="14">
        <v>17</v>
      </c>
      <c r="D10" s="14">
        <v>10</v>
      </c>
      <c r="E10" s="14">
        <v>26</v>
      </c>
      <c r="F10" s="14">
        <v>27</v>
      </c>
      <c r="G10" s="14">
        <v>25</v>
      </c>
      <c r="H10" s="14">
        <v>31</v>
      </c>
      <c r="I10" s="14">
        <v>42</v>
      </c>
      <c r="J10" s="14">
        <v>11</v>
      </c>
      <c r="K10" s="14">
        <v>34</v>
      </c>
      <c r="L10" s="14">
        <v>36</v>
      </c>
      <c r="M10" s="14">
        <v>6</v>
      </c>
      <c r="N10" s="14">
        <v>12</v>
      </c>
      <c r="O10" s="14">
        <v>11</v>
      </c>
      <c r="P10" s="14">
        <v>14</v>
      </c>
      <c r="Q10" s="14">
        <v>13</v>
      </c>
      <c r="R10" s="14">
        <v>27</v>
      </c>
      <c r="S10" s="14"/>
      <c r="T10" s="14"/>
      <c r="U10" s="15"/>
      <c r="V10" s="15"/>
      <c r="W10" s="15"/>
      <c r="X10" s="15"/>
      <c r="Y10" s="15">
        <v>22</v>
      </c>
      <c r="Z10" s="15">
        <v>16</v>
      </c>
      <c r="AA10" s="15">
        <v>7</v>
      </c>
      <c r="AB10" s="15">
        <v>50</v>
      </c>
      <c r="AC10" s="15">
        <v>47</v>
      </c>
      <c r="AD10" s="111">
        <v>46</v>
      </c>
      <c r="AE10" s="124">
        <v>29</v>
      </c>
      <c r="AF10" s="124">
        <v>23</v>
      </c>
      <c r="AG10" s="124">
        <v>19</v>
      </c>
      <c r="AH10" s="124">
        <f>(2+1+1+1+1+1)+(2+2)</f>
        <v>11</v>
      </c>
      <c r="AI10" s="124">
        <f>(1+2)+(2+2+2+1+2+1)</f>
        <v>13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25.2</v>
      </c>
      <c r="BK10">
        <f t="shared" si="0"/>
        <v>25.9</v>
      </c>
      <c r="BL10">
        <f t="shared" si="2"/>
        <v>24.8</v>
      </c>
      <c r="BM10">
        <f t="shared" si="0"/>
        <v>25</v>
      </c>
      <c r="BN10">
        <f t="shared" si="0"/>
        <v>23.5</v>
      </c>
      <c r="BO10">
        <f t="shared" si="0"/>
        <v>22.2</v>
      </c>
      <c r="BP10">
        <f t="shared" si="0"/>
        <v>21</v>
      </c>
      <c r="BQ10">
        <f t="shared" si="0"/>
        <v>20.6</v>
      </c>
      <c r="BR10">
        <f t="shared" si="3"/>
        <v>18.222222222222221</v>
      </c>
      <c r="BS10">
        <f t="shared" si="3"/>
        <v>19.125</v>
      </c>
      <c r="BT10">
        <f t="shared" si="0"/>
        <v>17</v>
      </c>
      <c r="BU10">
        <f t="shared" si="0"/>
        <v>13.833333333333334</v>
      </c>
      <c r="BV10">
        <f t="shared" si="0"/>
        <v>15.4</v>
      </c>
      <c r="BW10">
        <f t="shared" si="0"/>
        <v>16.25</v>
      </c>
      <c r="BX10">
        <f t="shared" si="0"/>
        <v>19</v>
      </c>
      <c r="BY10">
        <f t="shared" si="0"/>
        <v>19.5</v>
      </c>
      <c r="BZ10">
        <f t="shared" si="0"/>
        <v>18</v>
      </c>
      <c r="CA10">
        <f t="shared" si="0"/>
        <v>23.75</v>
      </c>
      <c r="CB10">
        <f t="shared" si="0"/>
        <v>28.4</v>
      </c>
      <c r="CC10">
        <f t="shared" si="0"/>
        <v>31.333333333333332</v>
      </c>
      <c r="CD10">
        <f t="shared" si="0"/>
        <v>31</v>
      </c>
      <c r="CE10">
        <f t="shared" si="0"/>
        <v>30</v>
      </c>
      <c r="CF10">
        <f t="shared" si="4"/>
        <v>28.777777777777779</v>
      </c>
      <c r="CG10">
        <f t="shared" si="5"/>
        <v>27</v>
      </c>
      <c r="CH10">
        <f t="shared" si="6"/>
        <v>26.1</v>
      </c>
      <c r="CI10">
        <f t="shared" si="7"/>
        <v>27.222222222222221</v>
      </c>
      <c r="CJ10">
        <f t="shared" si="8"/>
        <v>29.75</v>
      </c>
      <c r="CK10">
        <f t="shared" si="9"/>
        <v>26.857142857142858</v>
      </c>
      <c r="CL10">
        <f t="shared" si="10"/>
        <v>23.5</v>
      </c>
      <c r="CM10">
        <f t="shared" si="11"/>
        <v>19</v>
      </c>
      <c r="CN10">
        <f t="shared" si="12"/>
        <v>16.5</v>
      </c>
      <c r="CO10">
        <f t="shared" si="13"/>
        <v>14.333333333333334</v>
      </c>
      <c r="CP10">
        <f t="shared" si="14"/>
        <v>12</v>
      </c>
      <c r="CQ10">
        <f t="shared" si="15"/>
        <v>13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38</v>
      </c>
      <c r="C11" s="16">
        <v>63</v>
      </c>
      <c r="D11" s="16">
        <v>83</v>
      </c>
      <c r="E11" s="16">
        <v>74</v>
      </c>
      <c r="F11" s="16">
        <v>71</v>
      </c>
      <c r="G11" s="16">
        <v>63</v>
      </c>
      <c r="H11" s="16">
        <v>72</v>
      </c>
      <c r="I11" s="16">
        <v>45</v>
      </c>
      <c r="J11" s="16">
        <v>29</v>
      </c>
      <c r="K11" s="16">
        <v>88</v>
      </c>
      <c r="L11" s="16">
        <v>23</v>
      </c>
      <c r="M11" s="16">
        <v>20</v>
      </c>
      <c r="N11" s="16">
        <v>15</v>
      </c>
      <c r="O11" s="16">
        <v>47</v>
      </c>
      <c r="P11" s="16">
        <v>44</v>
      </c>
      <c r="Q11" s="16">
        <v>42</v>
      </c>
      <c r="R11" s="16">
        <v>45</v>
      </c>
      <c r="S11" s="16"/>
      <c r="T11" s="16"/>
      <c r="U11" s="17"/>
      <c r="V11" s="17"/>
      <c r="W11" s="17"/>
      <c r="X11" s="17"/>
      <c r="Y11" s="17">
        <v>11</v>
      </c>
      <c r="Z11" s="17">
        <v>33</v>
      </c>
      <c r="AA11" s="17">
        <v>35</v>
      </c>
      <c r="AB11" s="17">
        <v>36</v>
      </c>
      <c r="AC11" s="17">
        <v>40</v>
      </c>
      <c r="AD11" s="112">
        <v>21</v>
      </c>
      <c r="AE11" s="10">
        <v>35</v>
      </c>
      <c r="AF11" s="10">
        <v>47</v>
      </c>
      <c r="AG11" s="10">
        <f>19+15</f>
        <v>34</v>
      </c>
      <c r="AH11" s="10">
        <f>(1+1+8+1+2+2)</f>
        <v>15</v>
      </c>
      <c r="AI11" s="10">
        <f>(3+2+4)+(1+5+2+1+1+1+1)</f>
        <v>21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62.6</v>
      </c>
      <c r="BK11">
        <f t="shared" si="0"/>
        <v>61.1</v>
      </c>
      <c r="BL11">
        <f t="shared" si="2"/>
        <v>56.8</v>
      </c>
      <c r="BM11">
        <f t="shared" si="0"/>
        <v>50</v>
      </c>
      <c r="BN11">
        <f t="shared" si="0"/>
        <v>47.3</v>
      </c>
      <c r="BO11">
        <f t="shared" si="0"/>
        <v>44.6</v>
      </c>
      <c r="BP11">
        <f t="shared" si="0"/>
        <v>42.5</v>
      </c>
      <c r="BQ11">
        <f t="shared" si="0"/>
        <v>39.799999999999997</v>
      </c>
      <c r="BR11">
        <f t="shared" si="3"/>
        <v>39.222222222222221</v>
      </c>
      <c r="BS11">
        <f t="shared" si="3"/>
        <v>40.5</v>
      </c>
      <c r="BT11">
        <f t="shared" si="0"/>
        <v>33.714285714285715</v>
      </c>
      <c r="BU11">
        <f t="shared" si="0"/>
        <v>35.5</v>
      </c>
      <c r="BV11">
        <f t="shared" si="0"/>
        <v>38.6</v>
      </c>
      <c r="BW11">
        <f t="shared" si="0"/>
        <v>44.5</v>
      </c>
      <c r="BX11">
        <f t="shared" si="0"/>
        <v>35.5</v>
      </c>
      <c r="BY11">
        <f t="shared" si="0"/>
        <v>32.75</v>
      </c>
      <c r="BZ11">
        <f t="shared" si="0"/>
        <v>31</v>
      </c>
      <c r="CA11">
        <f t="shared" si="0"/>
        <v>28.75</v>
      </c>
      <c r="CB11">
        <f t="shared" si="0"/>
        <v>31</v>
      </c>
      <c r="CC11">
        <f t="shared" si="0"/>
        <v>29.333333333333332</v>
      </c>
      <c r="CD11">
        <f t="shared" si="0"/>
        <v>30.142857142857142</v>
      </c>
      <c r="CE11">
        <f t="shared" si="0"/>
        <v>32.25</v>
      </c>
      <c r="CF11">
        <f t="shared" si="4"/>
        <v>32.444444444444443</v>
      </c>
      <c r="CG11">
        <f t="shared" si="5"/>
        <v>30.7</v>
      </c>
      <c r="CH11">
        <f t="shared" si="6"/>
        <v>31.7</v>
      </c>
      <c r="CI11">
        <f t="shared" si="7"/>
        <v>31.555555555555557</v>
      </c>
      <c r="CJ11">
        <f t="shared" si="8"/>
        <v>31.125</v>
      </c>
      <c r="CK11">
        <f t="shared" si="9"/>
        <v>30.428571428571427</v>
      </c>
      <c r="CL11">
        <f t="shared" si="10"/>
        <v>28.833333333333332</v>
      </c>
      <c r="CM11">
        <f t="shared" si="11"/>
        <v>30.4</v>
      </c>
      <c r="CN11">
        <f t="shared" si="12"/>
        <v>29.25</v>
      </c>
      <c r="CO11">
        <f t="shared" si="13"/>
        <v>23.333333333333332</v>
      </c>
      <c r="CP11">
        <f t="shared" si="14"/>
        <v>18</v>
      </c>
      <c r="CQ11">
        <f t="shared" si="15"/>
        <v>21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79</v>
      </c>
      <c r="C12" s="14">
        <v>85</v>
      </c>
      <c r="D12" s="14">
        <v>101</v>
      </c>
      <c r="E12" s="14">
        <v>117</v>
      </c>
      <c r="F12" s="14">
        <v>63</v>
      </c>
      <c r="G12" s="14">
        <v>69</v>
      </c>
      <c r="H12" s="14">
        <v>63</v>
      </c>
      <c r="I12" s="14">
        <v>52</v>
      </c>
      <c r="J12" s="14">
        <v>52</v>
      </c>
      <c r="K12" s="14">
        <v>21</v>
      </c>
      <c r="L12" s="14">
        <v>42</v>
      </c>
      <c r="M12" s="14">
        <v>57</v>
      </c>
      <c r="N12" s="14">
        <v>22</v>
      </c>
      <c r="O12" s="14">
        <v>20</v>
      </c>
      <c r="P12" s="14">
        <v>38</v>
      </c>
      <c r="Q12" s="14">
        <v>26</v>
      </c>
      <c r="R12" s="14">
        <v>50</v>
      </c>
      <c r="S12" s="14"/>
      <c r="T12" s="14"/>
      <c r="U12" s="15"/>
      <c r="V12" s="15"/>
      <c r="W12" s="15"/>
      <c r="X12" s="15"/>
      <c r="Y12" s="15">
        <v>28</v>
      </c>
      <c r="Z12" s="15">
        <v>65</v>
      </c>
      <c r="AA12" s="15">
        <v>31</v>
      </c>
      <c r="AB12" s="15">
        <v>14</v>
      </c>
      <c r="AC12" s="15">
        <v>34</v>
      </c>
      <c r="AD12" s="111">
        <v>70</v>
      </c>
      <c r="AE12" s="124">
        <v>4</v>
      </c>
      <c r="AF12" s="124">
        <v>33</v>
      </c>
      <c r="AG12" s="124">
        <f>14+22</f>
        <v>36</v>
      </c>
      <c r="AH12" s="124">
        <f>(3+2+4+2+9+2+1+3+2+2)+(1+2+1+1+2+1)</f>
        <v>38</v>
      </c>
      <c r="AI12" s="124">
        <f>(1+1+2+1)+(3+3)</f>
        <v>11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70.2</v>
      </c>
      <c r="BK12">
        <f t="shared" si="0"/>
        <v>66.5</v>
      </c>
      <c r="BL12">
        <f t="shared" si="2"/>
        <v>63.7</v>
      </c>
      <c r="BM12">
        <f t="shared" si="0"/>
        <v>55.8</v>
      </c>
      <c r="BN12">
        <f t="shared" si="0"/>
        <v>46.1</v>
      </c>
      <c r="BO12">
        <f t="shared" si="0"/>
        <v>43.6</v>
      </c>
      <c r="BP12">
        <f t="shared" si="0"/>
        <v>39.299999999999997</v>
      </c>
      <c r="BQ12">
        <f t="shared" si="0"/>
        <v>38</v>
      </c>
      <c r="BR12">
        <f t="shared" si="3"/>
        <v>36.444444444444443</v>
      </c>
      <c r="BS12">
        <f t="shared" si="3"/>
        <v>34.5</v>
      </c>
      <c r="BT12">
        <f t="shared" si="0"/>
        <v>36.428571428571431</v>
      </c>
      <c r="BU12">
        <f t="shared" si="0"/>
        <v>35.5</v>
      </c>
      <c r="BV12">
        <f t="shared" si="0"/>
        <v>31.2</v>
      </c>
      <c r="BW12">
        <f t="shared" si="0"/>
        <v>33.5</v>
      </c>
      <c r="BX12">
        <f t="shared" si="0"/>
        <v>35.5</v>
      </c>
      <c r="BY12">
        <f t="shared" si="0"/>
        <v>42.25</v>
      </c>
      <c r="BZ12">
        <f t="shared" si="0"/>
        <v>43.5</v>
      </c>
      <c r="CA12">
        <f t="shared" si="0"/>
        <v>34.5</v>
      </c>
      <c r="CB12">
        <f t="shared" si="0"/>
        <v>34.4</v>
      </c>
      <c r="CC12">
        <f t="shared" si="0"/>
        <v>40.333333333333336</v>
      </c>
      <c r="CD12">
        <f t="shared" si="0"/>
        <v>35.142857142857146</v>
      </c>
      <c r="CE12">
        <f t="shared" si="0"/>
        <v>34.875</v>
      </c>
      <c r="CF12">
        <f t="shared" si="4"/>
        <v>35</v>
      </c>
      <c r="CG12">
        <f t="shared" si="5"/>
        <v>35.299999999999997</v>
      </c>
      <c r="CH12">
        <f t="shared" si="6"/>
        <v>33.6</v>
      </c>
      <c r="CI12">
        <f t="shared" si="7"/>
        <v>30.111111111111111</v>
      </c>
      <c r="CJ12">
        <f t="shared" si="8"/>
        <v>30</v>
      </c>
      <c r="CK12">
        <f t="shared" si="9"/>
        <v>32.285714285714285</v>
      </c>
      <c r="CL12">
        <f t="shared" si="10"/>
        <v>32</v>
      </c>
      <c r="CM12">
        <f t="shared" si="11"/>
        <v>24.4</v>
      </c>
      <c r="CN12">
        <f t="shared" si="12"/>
        <v>29.5</v>
      </c>
      <c r="CO12">
        <f t="shared" si="13"/>
        <v>28.333333333333332</v>
      </c>
      <c r="CP12">
        <f t="shared" si="14"/>
        <v>24.5</v>
      </c>
      <c r="CQ12">
        <f t="shared" si="15"/>
        <v>11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12</v>
      </c>
      <c r="C13" s="16">
        <v>6</v>
      </c>
      <c r="D13" s="16">
        <v>26</v>
      </c>
      <c r="E13" s="16">
        <v>35</v>
      </c>
      <c r="F13" s="16">
        <v>49</v>
      </c>
      <c r="G13" s="16">
        <v>24</v>
      </c>
      <c r="H13" s="16">
        <v>31</v>
      </c>
      <c r="I13" s="16">
        <v>31</v>
      </c>
      <c r="J13" s="16">
        <v>26</v>
      </c>
      <c r="K13" s="16">
        <v>19</v>
      </c>
      <c r="L13" s="16">
        <v>37</v>
      </c>
      <c r="M13" s="16">
        <v>9</v>
      </c>
      <c r="N13" s="16">
        <v>8</v>
      </c>
      <c r="O13" s="16">
        <v>44</v>
      </c>
      <c r="P13" s="16">
        <v>34</v>
      </c>
      <c r="Q13" s="16">
        <v>15</v>
      </c>
      <c r="R13" s="16">
        <v>19</v>
      </c>
      <c r="S13" s="16"/>
      <c r="T13" s="16"/>
      <c r="U13" s="17"/>
      <c r="V13" s="17"/>
      <c r="W13" s="17"/>
      <c r="X13" s="17"/>
      <c r="Y13" s="17">
        <v>30</v>
      </c>
      <c r="Z13" s="17">
        <v>30</v>
      </c>
      <c r="AA13" s="17">
        <v>36</v>
      </c>
      <c r="AB13" s="17">
        <v>36</v>
      </c>
      <c r="AC13" s="17">
        <v>18</v>
      </c>
      <c r="AD13" s="112">
        <v>16</v>
      </c>
      <c r="AE13" s="99">
        <f>AVERAGE(AB13:AD13)</f>
        <v>23.333333333333332</v>
      </c>
      <c r="AF13" s="10">
        <v>11</v>
      </c>
      <c r="AG13" s="10">
        <f>13</f>
        <v>13</v>
      </c>
      <c r="AH13" s="10">
        <f>(2+2+2+1+2+2+5+1+1)</f>
        <v>18</v>
      </c>
      <c r="AI13" s="10">
        <f>(1+2+1+1+1+2+3+2+4)</f>
        <v>17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25.9</v>
      </c>
      <c r="BK13">
        <f t="shared" si="0"/>
        <v>28.4</v>
      </c>
      <c r="BL13">
        <f t="shared" si="2"/>
        <v>28.7</v>
      </c>
      <c r="BM13">
        <f t="shared" si="0"/>
        <v>26.9</v>
      </c>
      <c r="BN13">
        <f t="shared" si="0"/>
        <v>27.8</v>
      </c>
      <c r="BO13">
        <f t="shared" si="0"/>
        <v>26.3</v>
      </c>
      <c r="BP13">
        <f t="shared" si="0"/>
        <v>25.4</v>
      </c>
      <c r="BQ13">
        <f t="shared" si="0"/>
        <v>24.2</v>
      </c>
      <c r="BR13">
        <f t="shared" si="3"/>
        <v>23.444444444444443</v>
      </c>
      <c r="BS13">
        <f t="shared" si="3"/>
        <v>23.125</v>
      </c>
      <c r="BT13">
        <f t="shared" si="0"/>
        <v>23.714285714285715</v>
      </c>
      <c r="BU13">
        <f t="shared" si="0"/>
        <v>21.5</v>
      </c>
      <c r="BV13">
        <f t="shared" si="0"/>
        <v>24</v>
      </c>
      <c r="BW13">
        <f t="shared" si="0"/>
        <v>28</v>
      </c>
      <c r="BX13">
        <f t="shared" si="0"/>
        <v>24.5</v>
      </c>
      <c r="BY13">
        <f t="shared" si="0"/>
        <v>23.5</v>
      </c>
      <c r="BZ13">
        <f t="shared" si="0"/>
        <v>28.75</v>
      </c>
      <c r="CA13">
        <f t="shared" si="0"/>
        <v>33</v>
      </c>
      <c r="CB13">
        <f t="shared" si="0"/>
        <v>30</v>
      </c>
      <c r="CC13">
        <f t="shared" si="0"/>
        <v>27.666666666666668</v>
      </c>
      <c r="CD13">
        <f t="shared" si="0"/>
        <v>27.047619047619047</v>
      </c>
      <c r="CE13">
        <f t="shared" si="0"/>
        <v>25.041666666666668</v>
      </c>
      <c r="CF13">
        <f t="shared" si="4"/>
        <v>23.703703703703706</v>
      </c>
      <c r="CG13">
        <f t="shared" si="5"/>
        <v>23.133333333333333</v>
      </c>
      <c r="CH13">
        <f t="shared" si="6"/>
        <v>21.833333333333336</v>
      </c>
      <c r="CI13">
        <f t="shared" si="7"/>
        <v>20.925925925925927</v>
      </c>
      <c r="CJ13">
        <f t="shared" si="8"/>
        <v>19.041666666666664</v>
      </c>
      <c r="CK13">
        <f t="shared" si="9"/>
        <v>16.619047619047617</v>
      </c>
      <c r="CL13">
        <f t="shared" si="10"/>
        <v>16.388888888888889</v>
      </c>
      <c r="CM13">
        <f t="shared" si="11"/>
        <v>16.466666666666665</v>
      </c>
      <c r="CN13">
        <f t="shared" si="12"/>
        <v>14.75</v>
      </c>
      <c r="CO13">
        <f t="shared" si="13"/>
        <v>16</v>
      </c>
      <c r="CP13">
        <f t="shared" si="14"/>
        <v>17.5</v>
      </c>
      <c r="CQ13">
        <f t="shared" si="15"/>
        <v>17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38</v>
      </c>
      <c r="C14" s="14">
        <v>22</v>
      </c>
      <c r="D14" s="14">
        <v>24</v>
      </c>
      <c r="E14" s="14">
        <v>28</v>
      </c>
      <c r="F14" s="14">
        <v>25</v>
      </c>
      <c r="G14" s="14">
        <v>12</v>
      </c>
      <c r="H14" s="14">
        <v>18</v>
      </c>
      <c r="I14" s="14">
        <v>38</v>
      </c>
      <c r="J14" s="14">
        <v>23</v>
      </c>
      <c r="K14" s="14">
        <v>51</v>
      </c>
      <c r="L14" s="14">
        <v>41</v>
      </c>
      <c r="M14" s="14">
        <v>18</v>
      </c>
      <c r="N14" s="14">
        <v>12</v>
      </c>
      <c r="O14" s="14">
        <v>33</v>
      </c>
      <c r="P14" s="14">
        <v>15</v>
      </c>
      <c r="Q14" s="14">
        <v>23</v>
      </c>
      <c r="R14" s="14">
        <v>17</v>
      </c>
      <c r="S14" s="14"/>
      <c r="T14" s="14"/>
      <c r="U14" s="15"/>
      <c r="V14" s="15"/>
      <c r="W14" s="15"/>
      <c r="X14" s="15"/>
      <c r="Y14" s="15">
        <v>15</v>
      </c>
      <c r="Z14" s="15">
        <v>35</v>
      </c>
      <c r="AA14" s="15">
        <v>16</v>
      </c>
      <c r="AB14" s="15">
        <v>15</v>
      </c>
      <c r="AC14" s="15">
        <v>6</v>
      </c>
      <c r="AD14" s="111">
        <v>25</v>
      </c>
      <c r="AE14" s="99">
        <f t="shared" ref="AE14:AE16" si="29">AVERAGE(AB14:AD14)</f>
        <v>15.333333333333334</v>
      </c>
      <c r="AF14" s="124">
        <v>14</v>
      </c>
      <c r="AG14" s="124">
        <f>3+17</f>
        <v>20</v>
      </c>
      <c r="AH14" s="124">
        <f>(5+1+2+6+1+1+1)</f>
        <v>17</v>
      </c>
      <c r="AI14" s="124">
        <f>(22+9)</f>
        <v>31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27.9</v>
      </c>
      <c r="BK14">
        <f t="shared" si="0"/>
        <v>28.2</v>
      </c>
      <c r="BL14">
        <f t="shared" si="2"/>
        <v>27.8</v>
      </c>
      <c r="BM14">
        <f t="shared" si="0"/>
        <v>26.6</v>
      </c>
      <c r="BN14">
        <f t="shared" si="0"/>
        <v>27.1</v>
      </c>
      <c r="BO14">
        <f t="shared" si="0"/>
        <v>26.1</v>
      </c>
      <c r="BP14">
        <f t="shared" si="0"/>
        <v>27.2</v>
      </c>
      <c r="BQ14">
        <f t="shared" si="0"/>
        <v>27.1</v>
      </c>
      <c r="BR14">
        <f t="shared" si="3"/>
        <v>25.888888888888889</v>
      </c>
      <c r="BS14">
        <f t="shared" si="3"/>
        <v>26.25</v>
      </c>
      <c r="BT14">
        <f t="shared" si="0"/>
        <v>22.714285714285715</v>
      </c>
      <c r="BU14">
        <f t="shared" si="0"/>
        <v>19.666666666666668</v>
      </c>
      <c r="BV14">
        <f t="shared" si="0"/>
        <v>20</v>
      </c>
      <c r="BW14">
        <f t="shared" si="0"/>
        <v>22</v>
      </c>
      <c r="BX14">
        <f t="shared" si="0"/>
        <v>17.5</v>
      </c>
      <c r="BY14">
        <f t="shared" si="0"/>
        <v>22.5</v>
      </c>
      <c r="BZ14">
        <f t="shared" si="0"/>
        <v>20.75</v>
      </c>
      <c r="CA14">
        <f t="shared" si="0"/>
        <v>20.25</v>
      </c>
      <c r="CB14">
        <f t="shared" si="0"/>
        <v>17.399999999999999</v>
      </c>
      <c r="CC14">
        <f t="shared" si="0"/>
        <v>18.666666666666668</v>
      </c>
      <c r="CD14">
        <f t="shared" si="0"/>
        <v>18.19047619047619</v>
      </c>
      <c r="CE14">
        <f t="shared" si="0"/>
        <v>17.666666666666664</v>
      </c>
      <c r="CF14">
        <f t="shared" si="4"/>
        <v>17.925925925925924</v>
      </c>
      <c r="CG14">
        <f t="shared" si="5"/>
        <v>17.833333333333332</v>
      </c>
      <c r="CH14">
        <f t="shared" si="6"/>
        <v>19.43333333333333</v>
      </c>
      <c r="CI14">
        <f t="shared" si="7"/>
        <v>17.703703703703702</v>
      </c>
      <c r="CJ14">
        <f t="shared" si="8"/>
        <v>17.916666666666668</v>
      </c>
      <c r="CK14">
        <f t="shared" si="9"/>
        <v>18.333333333333336</v>
      </c>
      <c r="CL14">
        <f t="shared" si="10"/>
        <v>20.388888888888889</v>
      </c>
      <c r="CM14">
        <f t="shared" si="11"/>
        <v>19.466666666666669</v>
      </c>
      <c r="CN14">
        <f t="shared" si="12"/>
        <v>20.5</v>
      </c>
      <c r="CO14">
        <f t="shared" si="13"/>
        <v>22.666666666666668</v>
      </c>
      <c r="CP14">
        <f t="shared" si="14"/>
        <v>24</v>
      </c>
      <c r="CQ14">
        <f t="shared" si="15"/>
        <v>31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8</v>
      </c>
      <c r="C15" s="16">
        <v>4</v>
      </c>
      <c r="D15" s="16">
        <v>9</v>
      </c>
      <c r="E15" s="16">
        <v>20</v>
      </c>
      <c r="F15" s="16">
        <v>9</v>
      </c>
      <c r="G15" s="16">
        <v>13</v>
      </c>
      <c r="H15" s="16">
        <v>16</v>
      </c>
      <c r="I15" s="16">
        <v>33</v>
      </c>
      <c r="J15" s="16">
        <v>24</v>
      </c>
      <c r="K15" s="16">
        <v>18</v>
      </c>
      <c r="L15" s="16">
        <v>12</v>
      </c>
      <c r="M15" s="16">
        <v>15</v>
      </c>
      <c r="N15" s="16">
        <v>16</v>
      </c>
      <c r="O15" s="16">
        <v>10</v>
      </c>
      <c r="P15" s="16">
        <v>4</v>
      </c>
      <c r="Q15" s="16">
        <v>14</v>
      </c>
      <c r="R15" s="16">
        <v>5</v>
      </c>
      <c r="S15" s="16"/>
      <c r="T15" s="16"/>
      <c r="U15" s="17"/>
      <c r="V15" s="17"/>
      <c r="W15" s="17"/>
      <c r="X15" s="17"/>
      <c r="Y15" s="17">
        <v>5</v>
      </c>
      <c r="Z15" s="17">
        <v>14</v>
      </c>
      <c r="AA15" s="17">
        <v>10</v>
      </c>
      <c r="AB15" s="17">
        <v>5</v>
      </c>
      <c r="AC15" s="17">
        <v>8</v>
      </c>
      <c r="AD15" s="112">
        <v>0</v>
      </c>
      <c r="AE15" s="99">
        <f t="shared" si="29"/>
        <v>4.333333333333333</v>
      </c>
      <c r="AF15" s="10">
        <v>10</v>
      </c>
      <c r="AG15" s="10">
        <v>12</v>
      </c>
      <c r="AH15" s="10">
        <f>(2+4+3+3)</f>
        <v>12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15.4</v>
      </c>
      <c r="BK15">
        <f t="shared" si="0"/>
        <v>15.8</v>
      </c>
      <c r="BL15">
        <f t="shared" si="2"/>
        <v>16.899999999999999</v>
      </c>
      <c r="BM15">
        <f t="shared" si="0"/>
        <v>17.600000000000001</v>
      </c>
      <c r="BN15">
        <f t="shared" si="0"/>
        <v>16.600000000000001</v>
      </c>
      <c r="BO15">
        <f t="shared" si="0"/>
        <v>16.100000000000001</v>
      </c>
      <c r="BP15">
        <f t="shared" si="0"/>
        <v>16.2</v>
      </c>
      <c r="BQ15">
        <f t="shared" si="0"/>
        <v>15.1</v>
      </c>
      <c r="BR15">
        <f t="shared" si="3"/>
        <v>13.111111111111111</v>
      </c>
      <c r="BS15">
        <f t="shared" si="3"/>
        <v>11.75</v>
      </c>
      <c r="BT15">
        <f t="shared" si="0"/>
        <v>10.857142857142858</v>
      </c>
      <c r="BU15">
        <f t="shared" si="0"/>
        <v>10.666666666666666</v>
      </c>
      <c r="BV15">
        <f t="shared" si="0"/>
        <v>9.8000000000000007</v>
      </c>
      <c r="BW15">
        <f t="shared" si="0"/>
        <v>8.25</v>
      </c>
      <c r="BX15">
        <f t="shared" si="0"/>
        <v>7</v>
      </c>
      <c r="BY15">
        <f t="shared" si="0"/>
        <v>9.5</v>
      </c>
      <c r="BZ15">
        <f t="shared" si="0"/>
        <v>8.5</v>
      </c>
      <c r="CA15">
        <f t="shared" si="0"/>
        <v>8.5</v>
      </c>
      <c r="CB15">
        <f t="shared" si="0"/>
        <v>8.4</v>
      </c>
      <c r="CC15">
        <f t="shared" si="0"/>
        <v>7</v>
      </c>
      <c r="CD15">
        <f t="shared" si="0"/>
        <v>6.6190476190476195</v>
      </c>
      <c r="CE15">
        <f t="shared" si="0"/>
        <v>7.041666666666667</v>
      </c>
      <c r="CF15">
        <f t="shared" si="4"/>
        <v>7.5925925925925934</v>
      </c>
      <c r="CG15">
        <f t="shared" si="5"/>
        <v>8.033333333333335</v>
      </c>
      <c r="CH15">
        <f t="shared" si="6"/>
        <v>8.370370370370372</v>
      </c>
      <c r="CI15">
        <f t="shared" si="7"/>
        <v>7.6666666666666661</v>
      </c>
      <c r="CJ15">
        <f t="shared" si="8"/>
        <v>7.333333333333333</v>
      </c>
      <c r="CK15">
        <f t="shared" si="9"/>
        <v>7.7222222222222214</v>
      </c>
      <c r="CL15">
        <f t="shared" si="10"/>
        <v>7.6666666666666661</v>
      </c>
      <c r="CM15">
        <f t="shared" si="11"/>
        <v>9.5833333333333321</v>
      </c>
      <c r="CN15">
        <f t="shared" si="12"/>
        <v>11.333333333333334</v>
      </c>
      <c r="CO15">
        <f t="shared" si="13"/>
        <v>12</v>
      </c>
      <c r="CP15">
        <f t="shared" si="14"/>
        <v>12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0</v>
      </c>
      <c r="C16" s="14">
        <v>4</v>
      </c>
      <c r="D16" s="14">
        <v>2</v>
      </c>
      <c r="E16" s="14">
        <v>4</v>
      </c>
      <c r="F16" s="14">
        <v>4</v>
      </c>
      <c r="G16" s="14">
        <v>0</v>
      </c>
      <c r="H16" s="14">
        <v>7</v>
      </c>
      <c r="I16" s="14">
        <v>9</v>
      </c>
      <c r="J16" s="14">
        <v>2</v>
      </c>
      <c r="K16" s="14">
        <v>0</v>
      </c>
      <c r="L16" s="14">
        <v>4</v>
      </c>
      <c r="M16" s="14">
        <v>0</v>
      </c>
      <c r="N16" s="14">
        <v>3</v>
      </c>
      <c r="O16" s="14">
        <v>4</v>
      </c>
      <c r="P16" s="14">
        <v>0</v>
      </c>
      <c r="Q16" s="14">
        <v>2</v>
      </c>
      <c r="R16" s="14">
        <v>0</v>
      </c>
      <c r="S16" s="14"/>
      <c r="T16" s="14"/>
      <c r="U16" s="15"/>
      <c r="V16" s="15"/>
      <c r="W16" s="15"/>
      <c r="X16" s="15"/>
      <c r="Y16" s="76">
        <v>2</v>
      </c>
      <c r="Z16" s="15">
        <v>10</v>
      </c>
      <c r="AA16" s="15">
        <v>1</v>
      </c>
      <c r="AB16" s="15">
        <v>4</v>
      </c>
      <c r="AC16" s="15">
        <v>7</v>
      </c>
      <c r="AD16" s="111">
        <v>0</v>
      </c>
      <c r="AE16" s="99">
        <f t="shared" si="29"/>
        <v>3.6666666666666665</v>
      </c>
      <c r="AF16" s="124">
        <v>6</v>
      </c>
      <c r="AG16" s="124">
        <v>5</v>
      </c>
      <c r="AH16" s="124">
        <f>(3+2+3+2)</f>
        <v>10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3.2</v>
      </c>
      <c r="BK16">
        <f t="shared" si="0"/>
        <v>3.6</v>
      </c>
      <c r="BL16">
        <f t="shared" si="2"/>
        <v>3.2</v>
      </c>
      <c r="BM16">
        <f t="shared" si="0"/>
        <v>3.3</v>
      </c>
      <c r="BN16">
        <f t="shared" si="0"/>
        <v>3.3</v>
      </c>
      <c r="BO16">
        <f t="shared" si="0"/>
        <v>2.9</v>
      </c>
      <c r="BP16">
        <f t="shared" si="0"/>
        <v>3.1</v>
      </c>
      <c r="BQ16">
        <f t="shared" si="0"/>
        <v>2.4</v>
      </c>
      <c r="BR16">
        <f t="shared" si="3"/>
        <v>1.6666666666666667</v>
      </c>
      <c r="BS16">
        <f t="shared" si="3"/>
        <v>1.625</v>
      </c>
      <c r="BT16">
        <f t="shared" si="0"/>
        <v>1.8571428571428572</v>
      </c>
      <c r="BU16">
        <f t="shared" si="0"/>
        <v>1.5</v>
      </c>
      <c r="BV16">
        <f t="shared" si="0"/>
        <v>1.8</v>
      </c>
      <c r="BW16">
        <f t="shared" si="0"/>
        <v>1.5</v>
      </c>
      <c r="BX16">
        <f t="shared" si="0"/>
        <v>1</v>
      </c>
      <c r="BY16">
        <f t="shared" si="0"/>
        <v>3.5</v>
      </c>
      <c r="BZ16">
        <f t="shared" si="0"/>
        <v>3.25</v>
      </c>
      <c r="CA16">
        <f t="shared" si="0"/>
        <v>4.25</v>
      </c>
      <c r="CB16">
        <f t="shared" si="0"/>
        <v>4.8</v>
      </c>
      <c r="CC16">
        <f t="shared" si="0"/>
        <v>4</v>
      </c>
      <c r="CD16">
        <f t="shared" si="0"/>
        <v>3.9523809523809526</v>
      </c>
      <c r="CE16">
        <f t="shared" si="0"/>
        <v>4.2083333333333339</v>
      </c>
      <c r="CF16">
        <f t="shared" si="4"/>
        <v>4.2962962962962967</v>
      </c>
      <c r="CG16">
        <f t="shared" si="5"/>
        <v>4.8666666666666671</v>
      </c>
      <c r="CH16">
        <f t="shared" si="6"/>
        <v>5.185185185185186</v>
      </c>
      <c r="CI16">
        <f t="shared" si="7"/>
        <v>4.583333333333333</v>
      </c>
      <c r="CJ16">
        <f t="shared" si="8"/>
        <v>5.0952380952380949</v>
      </c>
      <c r="CK16">
        <f t="shared" si="9"/>
        <v>5.2777777777777777</v>
      </c>
      <c r="CL16">
        <f t="shared" si="10"/>
        <v>4.9333333333333327</v>
      </c>
      <c r="CM16">
        <f t="shared" si="11"/>
        <v>6.1666666666666661</v>
      </c>
      <c r="CN16">
        <f t="shared" si="12"/>
        <v>7</v>
      </c>
      <c r="CO16">
        <f t="shared" si="13"/>
        <v>7.5</v>
      </c>
      <c r="CP16">
        <f t="shared" si="14"/>
        <v>10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11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110" s="25" customFormat="1" ht="20" customHeight="1" x14ac:dyDescent="0.2">
      <c r="A18" s="21" t="s">
        <v>32</v>
      </c>
      <c r="B18" s="22">
        <f>SUM(B5:B16)</f>
        <v>259</v>
      </c>
      <c r="C18" s="22">
        <f t="shared" ref="C18:AZ18" si="30">SUM(C5:C16)</f>
        <v>241</v>
      </c>
      <c r="D18" s="22">
        <f t="shared" si="30"/>
        <v>327</v>
      </c>
      <c r="E18" s="22">
        <f t="shared" si="30"/>
        <v>374</v>
      </c>
      <c r="F18" s="22">
        <f t="shared" si="30"/>
        <v>305</v>
      </c>
      <c r="G18" s="22">
        <f t="shared" si="30"/>
        <v>278</v>
      </c>
      <c r="H18" s="22">
        <f t="shared" si="30"/>
        <v>291</v>
      </c>
      <c r="I18" s="22">
        <f t="shared" si="30"/>
        <v>322</v>
      </c>
      <c r="J18" s="22">
        <f t="shared" si="30"/>
        <v>243</v>
      </c>
      <c r="K18" s="22">
        <f t="shared" si="30"/>
        <v>289</v>
      </c>
      <c r="L18" s="22">
        <f t="shared" si="30"/>
        <v>240</v>
      </c>
      <c r="M18" s="22">
        <f t="shared" si="30"/>
        <v>154</v>
      </c>
      <c r="N18" s="22">
        <f t="shared" si="30"/>
        <v>100</v>
      </c>
      <c r="O18" s="22">
        <f t="shared" si="30"/>
        <v>204</v>
      </c>
      <c r="P18" s="22">
        <f t="shared" si="30"/>
        <v>197</v>
      </c>
      <c r="Q18" s="22">
        <f t="shared" si="30"/>
        <v>184</v>
      </c>
      <c r="R18" s="22">
        <f t="shared" si="30"/>
        <v>213</v>
      </c>
      <c r="S18" s="22">
        <f t="shared" si="30"/>
        <v>0</v>
      </c>
      <c r="T18" s="22">
        <f t="shared" si="30"/>
        <v>0</v>
      </c>
      <c r="U18" s="22">
        <f t="shared" si="30"/>
        <v>0</v>
      </c>
      <c r="V18" s="22">
        <f t="shared" si="30"/>
        <v>0</v>
      </c>
      <c r="W18" s="22">
        <f t="shared" si="30"/>
        <v>0</v>
      </c>
      <c r="X18" s="22">
        <f t="shared" si="30"/>
        <v>0</v>
      </c>
      <c r="Y18" s="22">
        <f t="shared" si="30"/>
        <v>155</v>
      </c>
      <c r="Z18" s="22">
        <f t="shared" si="30"/>
        <v>237</v>
      </c>
      <c r="AA18" s="22">
        <f t="shared" si="30"/>
        <v>206</v>
      </c>
      <c r="AB18" s="22">
        <f t="shared" si="30"/>
        <v>235</v>
      </c>
      <c r="AC18" s="22">
        <f t="shared" si="30"/>
        <v>203</v>
      </c>
      <c r="AD18" s="22">
        <f t="shared" si="30"/>
        <v>276</v>
      </c>
      <c r="AE18" s="22">
        <f t="shared" si="30"/>
        <v>169.66666666666669</v>
      </c>
      <c r="AF18" s="22">
        <f t="shared" si="30"/>
        <v>187</v>
      </c>
      <c r="AG18" s="22">
        <f t="shared" si="30"/>
        <v>165</v>
      </c>
      <c r="AH18" s="22">
        <f t="shared" si="30"/>
        <v>161</v>
      </c>
      <c r="AI18" s="22">
        <f t="shared" si="30"/>
        <v>136</v>
      </c>
      <c r="AJ18" s="22">
        <f t="shared" si="30"/>
        <v>0</v>
      </c>
      <c r="AK18" s="22">
        <f t="shared" si="30"/>
        <v>0</v>
      </c>
      <c r="AL18" s="22">
        <f t="shared" si="30"/>
        <v>0</v>
      </c>
      <c r="AM18" s="22">
        <f t="shared" si="30"/>
        <v>0</v>
      </c>
      <c r="AN18" s="22">
        <f t="shared" si="30"/>
        <v>0</v>
      </c>
      <c r="AO18" s="22">
        <f t="shared" si="30"/>
        <v>0</v>
      </c>
      <c r="AP18" s="22">
        <f t="shared" si="30"/>
        <v>0</v>
      </c>
      <c r="AQ18" s="22">
        <f t="shared" si="30"/>
        <v>0</v>
      </c>
      <c r="AR18" s="22">
        <f t="shared" si="30"/>
        <v>0</v>
      </c>
      <c r="AS18" s="22">
        <f t="shared" si="30"/>
        <v>0</v>
      </c>
      <c r="AT18" s="22">
        <f t="shared" si="30"/>
        <v>0</v>
      </c>
      <c r="AU18" s="22">
        <f t="shared" si="30"/>
        <v>0</v>
      </c>
      <c r="AV18" s="22">
        <f t="shared" si="30"/>
        <v>0</v>
      </c>
      <c r="AW18" s="22">
        <f t="shared" si="30"/>
        <v>0</v>
      </c>
      <c r="AX18" s="22">
        <f t="shared" si="30"/>
        <v>0</v>
      </c>
      <c r="AY18" s="22">
        <f t="shared" si="30"/>
        <v>0</v>
      </c>
      <c r="AZ18" s="22">
        <f t="shared" si="30"/>
        <v>0</v>
      </c>
      <c r="BA18" s="24"/>
      <c r="BX18" s="25">
        <f>AVERAGE(P18:Y18)</f>
        <v>74.900000000000006</v>
      </c>
      <c r="BY18" s="25">
        <f>AVERAGE(Q18:Z18)</f>
        <v>78.900000000000006</v>
      </c>
      <c r="BZ18" s="25">
        <f>AVERAGE(R18:AA18)</f>
        <v>81.099999999999994</v>
      </c>
      <c r="CA18" s="25">
        <f>AVERAGE(S18:AB18)</f>
        <v>83.3</v>
      </c>
      <c r="CB18" s="25">
        <f>AVERAGE(T18:AC18)</f>
        <v>103.6</v>
      </c>
    </row>
    <row r="19" spans="1:11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11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11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11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11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11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11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11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11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DF27" s="99"/>
    </row>
    <row r="28" spans="1:11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11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11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11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11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D26B-8D56-49D6-A907-FF614984B784}">
  <sheetPr transitionEvaluation="1" codeName="Sheet7">
    <tabColor rgb="FFD69718"/>
  </sheetPr>
  <dimension ref="A1:XFD192"/>
  <sheetViews>
    <sheetView defaultGridColor="0" colorId="22" zoomScale="70" zoomScaleNormal="70" workbookViewId="0">
      <pane xSplit="1" topLeftCell="B1" activePane="topRight" state="frozen"/>
      <selection activeCell="A2" sqref="A2"/>
      <selection pane="topRight" activeCell="AO39" sqref="AO39"/>
    </sheetView>
  </sheetViews>
  <sheetFormatPr baseColWidth="10" defaultColWidth="9.42578125" defaultRowHeight="20" customHeight="1" x14ac:dyDescent="0.2"/>
  <cols>
    <col min="1" max="1" width="32.140625" style="5" customWidth="1"/>
    <col min="2" max="26" width="5.7109375" style="5" hidden="1" customWidth="1"/>
    <col min="27" max="27" width="86.28515625" style="5" hidden="1" customWidth="1"/>
    <col min="28" max="28" width="52.85546875" style="5" hidden="1" customWidth="1"/>
    <col min="29" max="29" width="42.7109375" style="5" hidden="1" customWidth="1"/>
    <col min="30" max="30" width="29.7109375" style="5" hidden="1" customWidth="1"/>
    <col min="31" max="31" width="27" hidden="1" customWidth="1"/>
    <col min="32" max="35" width="6" customWidth="1"/>
    <col min="36" max="52" width="9.42578125" customWidth="1"/>
    <col min="53" max="74" width="9.42578125" style="5" customWidth="1"/>
    <col min="75" max="75" width="10.7109375" style="5" customWidth="1"/>
    <col min="76" max="76" width="8.42578125" style="5" customWidth="1"/>
    <col min="77" max="77" width="7.7109375" style="5" customWidth="1"/>
    <col min="78" max="78" width="9.42578125" style="5" customWidth="1"/>
    <col min="79" max="79" width="16.85546875" style="5" customWidth="1"/>
    <col min="80" max="80" width="16.42578125" style="5" customWidth="1"/>
    <col min="81" max="81" width="9.42578125" style="5" customWidth="1"/>
    <col min="82" max="82" width="16.85546875" style="5" customWidth="1"/>
    <col min="83" max="110" width="9.42578125" style="5" hidden="1" customWidth="1"/>
    <col min="111" max="114" width="9.42578125" style="5" customWidth="1"/>
    <col min="115" max="16384" width="9.42578125" style="5"/>
  </cols>
  <sheetData>
    <row r="1" spans="1:108 16384:16384" s="34" customFormat="1" ht="25" customHeight="1" x14ac:dyDescent="0.2">
      <c r="A1" s="31" t="s">
        <v>134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 16384:16384" s="34" customFormat="1" ht="25" customHeight="1" x14ac:dyDescent="0.25">
      <c r="A2" s="36" t="s">
        <v>133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 16384:16384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28">
        <v>2021</v>
      </c>
      <c r="AG3" s="28">
        <v>2022</v>
      </c>
      <c r="AH3" s="28">
        <v>2023</v>
      </c>
      <c r="AI3" s="28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 16384:16384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60"/>
      <c r="AG4" s="160"/>
      <c r="AH4" s="160"/>
      <c r="AI4" s="160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 16384:16384" s="10" customFormat="1" ht="20" customHeight="1" x14ac:dyDescent="0.2">
      <c r="A5" s="9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  <c r="W5" s="17"/>
      <c r="X5" s="17"/>
      <c r="Y5" s="17"/>
      <c r="Z5" s="76"/>
      <c r="AA5" s="17"/>
      <c r="AB5" s="17"/>
      <c r="AC5" s="17"/>
      <c r="AD5" s="112"/>
      <c r="AF5" s="112"/>
      <c r="AG5" s="112">
        <f>2+1+3+1+2</f>
        <v>9</v>
      </c>
      <c r="AH5" s="112">
        <f>2+3+2+2+2</f>
        <v>11</v>
      </c>
      <c r="AI5" s="112">
        <f>2+1+3</f>
        <v>6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f>AVERAGE(B5:K5)</f>
        <v>#DIV/0!</v>
      </c>
      <c r="BK5" t="e">
        <f t="shared" ref="BK5:BZ16" si="0">AVERAGE(C5:L5)</f>
        <v>#DIV/0!</v>
      </c>
      <c r="BL5" t="e">
        <f>AVERAGE(D5:M5)</f>
        <v>#DIV/0!</v>
      </c>
      <c r="BM5" t="e">
        <f t="shared" si="0"/>
        <v>#DIV/0!</v>
      </c>
      <c r="BN5" t="e">
        <f t="shared" si="0"/>
        <v>#DIV/0!</v>
      </c>
      <c r="BO5" t="e">
        <f t="shared" si="0"/>
        <v>#DIV/0!</v>
      </c>
      <c r="BP5" t="e">
        <f t="shared" si="0"/>
        <v>#DIV/0!</v>
      </c>
      <c r="BQ5" t="e">
        <f t="shared" si="0"/>
        <v>#DIV/0!</v>
      </c>
      <c r="BR5" t="e">
        <f t="shared" si="0"/>
        <v>#DIV/0!</v>
      </c>
      <c r="BS5" t="e">
        <f t="shared" si="0"/>
        <v>#DIV/0!</v>
      </c>
      <c r="BT5" t="e">
        <f t="shared" si="0"/>
        <v>#DIV/0!</v>
      </c>
      <c r="BU5" t="e">
        <f t="shared" si="0"/>
        <v>#DIV/0!</v>
      </c>
      <c r="BV5" t="e">
        <f t="shared" si="0"/>
        <v>#DIV/0!</v>
      </c>
      <c r="BW5" t="e">
        <f t="shared" si="0"/>
        <v>#DIV/0!</v>
      </c>
      <c r="BX5" t="e">
        <f t="shared" si="0"/>
        <v>#DIV/0!</v>
      </c>
      <c r="BY5" t="e">
        <f t="shared" si="0"/>
        <v>#DIV/0!</v>
      </c>
      <c r="BZ5" t="e">
        <f t="shared" si="0"/>
        <v>#DIV/0!</v>
      </c>
      <c r="CA5" t="e">
        <f t="shared" ref="CA5:CP16" si="1">AVERAGE(S5:AB5)</f>
        <v>#DIV/0!</v>
      </c>
      <c r="CB5" t="e">
        <f t="shared" si="1"/>
        <v>#DIV/0!</v>
      </c>
      <c r="CC5" t="e">
        <f t="shared" si="1"/>
        <v>#DIV/0!</v>
      </c>
      <c r="CD5" t="e">
        <f t="shared" si="1"/>
        <v>#DIV/0!</v>
      </c>
      <c r="CE5" t="e">
        <f t="shared" si="1"/>
        <v>#DIV/0!</v>
      </c>
      <c r="CF5">
        <f t="shared" si="1"/>
        <v>9</v>
      </c>
      <c r="CG5">
        <f t="shared" si="1"/>
        <v>10</v>
      </c>
      <c r="CH5">
        <f t="shared" si="1"/>
        <v>8.6666666666666661</v>
      </c>
      <c r="CI5">
        <f t="shared" si="1"/>
        <v>8.6666666666666661</v>
      </c>
      <c r="CJ5">
        <f t="shared" si="1"/>
        <v>8.6666666666666661</v>
      </c>
      <c r="CK5">
        <f t="shared" si="1"/>
        <v>8.6666666666666661</v>
      </c>
      <c r="CL5">
        <f t="shared" si="1"/>
        <v>8.6666666666666661</v>
      </c>
      <c r="CM5">
        <f t="shared" si="1"/>
        <v>8.6666666666666661</v>
      </c>
      <c r="CN5">
        <f t="shared" si="1"/>
        <v>8.6666666666666661</v>
      </c>
      <c r="CO5">
        <f t="shared" si="1"/>
        <v>8.6666666666666661</v>
      </c>
      <c r="CP5">
        <f t="shared" si="1"/>
        <v>8.5</v>
      </c>
      <c r="CQ5">
        <f t="shared" ref="CQ5:DD16" si="2">AVERAGE(AI5:AR5)</f>
        <v>6</v>
      </c>
      <c r="CR5" t="e">
        <f t="shared" si="2"/>
        <v>#DIV/0!</v>
      </c>
      <c r="CS5" t="e">
        <f t="shared" si="2"/>
        <v>#DIV/0!</v>
      </c>
      <c r="CT5" t="e">
        <f t="shared" si="2"/>
        <v>#DIV/0!</v>
      </c>
      <c r="CU5" t="e">
        <f t="shared" si="2"/>
        <v>#DIV/0!</v>
      </c>
      <c r="CV5" t="e">
        <f t="shared" si="2"/>
        <v>#DIV/0!</v>
      </c>
      <c r="CW5" t="e">
        <f t="shared" si="2"/>
        <v>#DIV/0!</v>
      </c>
      <c r="CX5" t="e">
        <f t="shared" si="2"/>
        <v>#DIV/0!</v>
      </c>
      <c r="CY5" t="e">
        <f t="shared" si="2"/>
        <v>#DIV/0!</v>
      </c>
      <c r="CZ5" t="e">
        <f t="shared" si="2"/>
        <v>#DIV/0!</v>
      </c>
      <c r="DA5" t="e">
        <f t="shared" si="2"/>
        <v>#N/A</v>
      </c>
      <c r="DB5" t="e">
        <f t="shared" si="2"/>
        <v>#N/A</v>
      </c>
      <c r="DC5" t="e">
        <f t="shared" si="2"/>
        <v>#N/A</v>
      </c>
      <c r="DD5" t="e">
        <f t="shared" si="2"/>
        <v>#N/A</v>
      </c>
      <c r="XFD5" s="10" t="s">
        <v>70</v>
      </c>
    </row>
    <row r="6" spans="1:108 16384:16384" ht="20" customHeight="1" x14ac:dyDescent="0.2">
      <c r="A6" s="7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5"/>
      <c r="W6" s="15"/>
      <c r="X6" s="15"/>
      <c r="Y6" s="15"/>
      <c r="Z6" s="15"/>
      <c r="AA6" s="15"/>
      <c r="AB6" s="15"/>
      <c r="AC6" s="15"/>
      <c r="AD6" s="111"/>
      <c r="AE6" s="124"/>
      <c r="AF6" s="160"/>
      <c r="AG6" s="160">
        <f>2+2+3+1+3+1+1+2+1+1+1</f>
        <v>18</v>
      </c>
      <c r="AH6" s="160">
        <f>1+1+4+1+3</f>
        <v>10</v>
      </c>
      <c r="AI6" s="160">
        <f>1+1+1+2+1+1+1+3</f>
        <v>11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f t="shared" ref="BJ6:BJ16" si="3">AVERAGE(B6:K6)</f>
        <v>#DIV/0!</v>
      </c>
      <c r="BK6" t="e">
        <f t="shared" si="0"/>
        <v>#DIV/0!</v>
      </c>
      <c r="BL6" t="e">
        <f t="shared" si="0"/>
        <v>#DIV/0!</v>
      </c>
      <c r="BM6" t="e">
        <f t="shared" si="0"/>
        <v>#DIV/0!</v>
      </c>
      <c r="BN6" t="e">
        <f t="shared" si="0"/>
        <v>#DIV/0!</v>
      </c>
      <c r="BO6" t="e">
        <f t="shared" si="0"/>
        <v>#DIV/0!</v>
      </c>
      <c r="BP6" t="e">
        <f t="shared" si="0"/>
        <v>#DIV/0!</v>
      </c>
      <c r="BQ6" t="e">
        <f t="shared" si="0"/>
        <v>#DIV/0!</v>
      </c>
      <c r="BR6" t="e">
        <f t="shared" si="0"/>
        <v>#DIV/0!</v>
      </c>
      <c r="BS6" t="e">
        <f t="shared" si="0"/>
        <v>#DIV/0!</v>
      </c>
      <c r="BT6" t="e">
        <f t="shared" si="0"/>
        <v>#DIV/0!</v>
      </c>
      <c r="BU6" t="e">
        <f t="shared" si="0"/>
        <v>#DIV/0!</v>
      </c>
      <c r="BV6" t="e">
        <f t="shared" si="0"/>
        <v>#DIV/0!</v>
      </c>
      <c r="BW6" t="e">
        <f t="shared" si="0"/>
        <v>#DIV/0!</v>
      </c>
      <c r="BX6" t="e">
        <f t="shared" si="0"/>
        <v>#DIV/0!</v>
      </c>
      <c r="BY6" t="e">
        <f t="shared" si="0"/>
        <v>#DIV/0!</v>
      </c>
      <c r="BZ6" t="e">
        <f t="shared" si="0"/>
        <v>#DIV/0!</v>
      </c>
      <c r="CA6" t="e">
        <f t="shared" si="1"/>
        <v>#DIV/0!</v>
      </c>
      <c r="CB6" t="e">
        <f t="shared" si="1"/>
        <v>#DIV/0!</v>
      </c>
      <c r="CC6" t="e">
        <f t="shared" si="1"/>
        <v>#DIV/0!</v>
      </c>
      <c r="CD6" t="e">
        <f t="shared" si="1"/>
        <v>#DIV/0!</v>
      </c>
      <c r="CE6" t="e">
        <f t="shared" si="1"/>
        <v>#DIV/0!</v>
      </c>
      <c r="CF6">
        <f t="shared" si="1"/>
        <v>18</v>
      </c>
      <c r="CG6">
        <f t="shared" si="1"/>
        <v>14</v>
      </c>
      <c r="CH6">
        <f t="shared" si="1"/>
        <v>13</v>
      </c>
      <c r="CI6">
        <f t="shared" si="1"/>
        <v>13</v>
      </c>
      <c r="CJ6">
        <f t="shared" si="1"/>
        <v>13</v>
      </c>
      <c r="CK6">
        <f t="shared" si="1"/>
        <v>13</v>
      </c>
      <c r="CL6">
        <f t="shared" si="1"/>
        <v>13</v>
      </c>
      <c r="CM6">
        <f t="shared" si="1"/>
        <v>13</v>
      </c>
      <c r="CN6">
        <f t="shared" si="1"/>
        <v>13</v>
      </c>
      <c r="CO6">
        <f t="shared" si="1"/>
        <v>13</v>
      </c>
      <c r="CP6">
        <f t="shared" si="1"/>
        <v>10.5</v>
      </c>
      <c r="CQ6">
        <f t="shared" si="2"/>
        <v>11</v>
      </c>
      <c r="CR6" t="e">
        <f t="shared" si="2"/>
        <v>#DIV/0!</v>
      </c>
      <c r="CS6" t="e">
        <f t="shared" si="2"/>
        <v>#DIV/0!</v>
      </c>
      <c r="CT6" t="e">
        <f t="shared" si="2"/>
        <v>#DIV/0!</v>
      </c>
      <c r="CU6" t="e">
        <f t="shared" si="2"/>
        <v>#DIV/0!</v>
      </c>
      <c r="CV6" t="e">
        <f t="shared" si="2"/>
        <v>#DIV/0!</v>
      </c>
      <c r="CW6" t="e">
        <f t="shared" si="2"/>
        <v>#DIV/0!</v>
      </c>
      <c r="CX6" t="e">
        <f t="shared" si="2"/>
        <v>#DIV/0!</v>
      </c>
      <c r="CY6" t="e">
        <f t="shared" si="2"/>
        <v>#DIV/0!</v>
      </c>
      <c r="CZ6" t="e">
        <f t="shared" si="2"/>
        <v>#N/A</v>
      </c>
      <c r="DA6" t="e">
        <f t="shared" si="2"/>
        <v>#N/A</v>
      </c>
      <c r="DB6" t="e">
        <f t="shared" si="2"/>
        <v>#N/A</v>
      </c>
      <c r="DC6" t="e">
        <f t="shared" si="2"/>
        <v>#N/A</v>
      </c>
      <c r="DD6" t="e">
        <f t="shared" si="2"/>
        <v>#N/A</v>
      </c>
    </row>
    <row r="7" spans="1:108 16384:16384" s="10" customFormat="1" ht="20" customHeight="1" x14ac:dyDescent="0.2">
      <c r="A7" s="9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7"/>
      <c r="W7" s="17"/>
      <c r="X7" s="17"/>
      <c r="Y7" s="17"/>
      <c r="Z7" s="17"/>
      <c r="AA7" s="17"/>
      <c r="AB7" s="17"/>
      <c r="AC7" s="17"/>
      <c r="AD7" s="112"/>
      <c r="AF7" s="112"/>
      <c r="AG7" s="112">
        <f>1</f>
        <v>1</v>
      </c>
      <c r="AH7" s="112">
        <f>1</f>
        <v>1</v>
      </c>
      <c r="AI7" s="112">
        <f>1+1+1+1+1+1+2+2</f>
        <v>10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f t="shared" si="3"/>
        <v>#DIV/0!</v>
      </c>
      <c r="BK7" t="e">
        <f t="shared" si="0"/>
        <v>#DIV/0!</v>
      </c>
      <c r="BL7" t="e">
        <f t="shared" si="0"/>
        <v>#DIV/0!</v>
      </c>
      <c r="BM7" t="e">
        <f t="shared" si="0"/>
        <v>#DIV/0!</v>
      </c>
      <c r="BN7" t="e">
        <f t="shared" si="0"/>
        <v>#DIV/0!</v>
      </c>
      <c r="BO7" t="e">
        <f t="shared" si="0"/>
        <v>#DIV/0!</v>
      </c>
      <c r="BP7" t="e">
        <f t="shared" si="0"/>
        <v>#DIV/0!</v>
      </c>
      <c r="BQ7" t="e">
        <f t="shared" si="0"/>
        <v>#DIV/0!</v>
      </c>
      <c r="BR7" t="e">
        <f t="shared" si="0"/>
        <v>#DIV/0!</v>
      </c>
      <c r="BS7" t="e">
        <f t="shared" si="0"/>
        <v>#DIV/0!</v>
      </c>
      <c r="BT7" t="e">
        <f t="shared" si="0"/>
        <v>#DIV/0!</v>
      </c>
      <c r="BU7" t="e">
        <f t="shared" si="0"/>
        <v>#DIV/0!</v>
      </c>
      <c r="BV7" t="e">
        <f t="shared" si="0"/>
        <v>#DIV/0!</v>
      </c>
      <c r="BW7" t="e">
        <f t="shared" si="0"/>
        <v>#DIV/0!</v>
      </c>
      <c r="BX7" t="e">
        <f>AVERAGE(P7:Y7)</f>
        <v>#DIV/0!</v>
      </c>
      <c r="BY7" t="e">
        <f t="shared" si="0"/>
        <v>#DIV/0!</v>
      </c>
      <c r="BZ7" t="e">
        <f t="shared" si="0"/>
        <v>#DIV/0!</v>
      </c>
      <c r="CA7" t="e">
        <f t="shared" si="1"/>
        <v>#DIV/0!</v>
      </c>
      <c r="CB7" t="e">
        <f t="shared" si="1"/>
        <v>#DIV/0!</v>
      </c>
      <c r="CC7" t="e">
        <f t="shared" si="1"/>
        <v>#DIV/0!</v>
      </c>
      <c r="CD7" t="e">
        <f t="shared" si="1"/>
        <v>#DIV/0!</v>
      </c>
      <c r="CE7" t="e">
        <f>AVERAGE(W7:AF7)</f>
        <v>#DIV/0!</v>
      </c>
      <c r="CF7">
        <f t="shared" si="1"/>
        <v>1</v>
      </c>
      <c r="CG7">
        <f t="shared" si="1"/>
        <v>1</v>
      </c>
      <c r="CH7">
        <f t="shared" si="1"/>
        <v>4</v>
      </c>
      <c r="CI7">
        <f t="shared" si="1"/>
        <v>4</v>
      </c>
      <c r="CJ7">
        <f t="shared" si="1"/>
        <v>4</v>
      </c>
      <c r="CK7">
        <f t="shared" si="1"/>
        <v>4</v>
      </c>
      <c r="CL7">
        <f t="shared" si="1"/>
        <v>4</v>
      </c>
      <c r="CM7">
        <f t="shared" si="1"/>
        <v>4</v>
      </c>
      <c r="CN7">
        <f t="shared" si="1"/>
        <v>4</v>
      </c>
      <c r="CO7">
        <f t="shared" si="1"/>
        <v>4</v>
      </c>
      <c r="CP7">
        <f t="shared" si="1"/>
        <v>5.5</v>
      </c>
      <c r="CQ7">
        <f t="shared" si="2"/>
        <v>10</v>
      </c>
      <c r="CR7" t="e">
        <f t="shared" si="2"/>
        <v>#DIV/0!</v>
      </c>
      <c r="CS7" t="e">
        <f t="shared" si="2"/>
        <v>#DIV/0!</v>
      </c>
      <c r="CT7" t="e">
        <f t="shared" si="2"/>
        <v>#DIV/0!</v>
      </c>
      <c r="CU7" t="e">
        <f t="shared" si="2"/>
        <v>#DIV/0!</v>
      </c>
      <c r="CV7" t="e">
        <f t="shared" si="2"/>
        <v>#DIV/0!</v>
      </c>
      <c r="CW7" t="e">
        <f t="shared" si="2"/>
        <v>#DIV/0!</v>
      </c>
      <c r="CX7" t="e">
        <f t="shared" si="2"/>
        <v>#DIV/0!</v>
      </c>
      <c r="CY7" t="e">
        <f t="shared" si="2"/>
        <v>#DIV/0!</v>
      </c>
      <c r="CZ7" t="e">
        <f t="shared" si="2"/>
        <v>#N/A</v>
      </c>
      <c r="DA7" t="e">
        <f t="shared" si="2"/>
        <v>#N/A</v>
      </c>
      <c r="DB7" t="e">
        <f t="shared" si="2"/>
        <v>#N/A</v>
      </c>
      <c r="DC7" t="e">
        <f t="shared" si="2"/>
        <v>#N/A</v>
      </c>
      <c r="DD7" t="e">
        <f t="shared" si="2"/>
        <v>#N/A</v>
      </c>
    </row>
    <row r="8" spans="1:108 16384:16384" ht="20" customHeight="1" x14ac:dyDescent="0.2">
      <c r="A8" s="7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5"/>
      <c r="W8" s="15"/>
      <c r="X8" s="15"/>
      <c r="Y8" s="15"/>
      <c r="Z8" s="15"/>
      <c r="AA8" s="15"/>
      <c r="AB8" s="15"/>
      <c r="AC8" s="15"/>
      <c r="AD8" s="111"/>
      <c r="AE8" s="124"/>
      <c r="AF8" s="160"/>
      <c r="AG8" s="160">
        <f>3+2+1</f>
        <v>6</v>
      </c>
      <c r="AH8" s="160">
        <f>6+2+6</f>
        <v>14</v>
      </c>
      <c r="AI8" s="160">
        <f>4+17</f>
        <v>21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f t="shared" si="3"/>
        <v>#DIV/0!</v>
      </c>
      <c r="BK8" t="e">
        <f t="shared" si="0"/>
        <v>#DIV/0!</v>
      </c>
      <c r="BL8" t="e">
        <f t="shared" si="0"/>
        <v>#DIV/0!</v>
      </c>
      <c r="BM8" t="e">
        <f t="shared" si="0"/>
        <v>#DIV/0!</v>
      </c>
      <c r="BN8" t="e">
        <f t="shared" si="0"/>
        <v>#DIV/0!</v>
      </c>
      <c r="BO8" t="e">
        <f t="shared" si="0"/>
        <v>#DIV/0!</v>
      </c>
      <c r="BP8" t="e">
        <f t="shared" si="0"/>
        <v>#DIV/0!</v>
      </c>
      <c r="BQ8" t="e">
        <f t="shared" si="0"/>
        <v>#DIV/0!</v>
      </c>
      <c r="BR8" t="e">
        <f t="shared" si="0"/>
        <v>#DIV/0!</v>
      </c>
      <c r="BS8" t="e">
        <f t="shared" si="0"/>
        <v>#DIV/0!</v>
      </c>
      <c r="BT8" t="e">
        <f>AVERAGE(L8:U8)</f>
        <v>#DIV/0!</v>
      </c>
      <c r="BU8" t="e">
        <f t="shared" si="0"/>
        <v>#DIV/0!</v>
      </c>
      <c r="BV8" t="e">
        <f t="shared" si="0"/>
        <v>#DIV/0!</v>
      </c>
      <c r="BW8" t="e">
        <f t="shared" si="0"/>
        <v>#DIV/0!</v>
      </c>
      <c r="BX8" t="e">
        <f t="shared" si="0"/>
        <v>#DIV/0!</v>
      </c>
      <c r="BY8" t="e">
        <f t="shared" si="0"/>
        <v>#DIV/0!</v>
      </c>
      <c r="BZ8" t="e">
        <f t="shared" si="0"/>
        <v>#DIV/0!</v>
      </c>
      <c r="CA8" t="e">
        <f t="shared" si="1"/>
        <v>#DIV/0!</v>
      </c>
      <c r="CB8" t="e">
        <f t="shared" si="1"/>
        <v>#DIV/0!</v>
      </c>
      <c r="CC8" t="e">
        <f t="shared" si="1"/>
        <v>#DIV/0!</v>
      </c>
      <c r="CD8" t="e">
        <f t="shared" si="1"/>
        <v>#DIV/0!</v>
      </c>
      <c r="CE8" t="e">
        <f t="shared" si="1"/>
        <v>#DIV/0!</v>
      </c>
      <c r="CF8">
        <f t="shared" si="1"/>
        <v>6</v>
      </c>
      <c r="CG8">
        <f t="shared" si="1"/>
        <v>10</v>
      </c>
      <c r="CH8">
        <f t="shared" si="1"/>
        <v>13.666666666666666</v>
      </c>
      <c r="CI8">
        <f t="shared" si="1"/>
        <v>13.666666666666666</v>
      </c>
      <c r="CJ8">
        <f t="shared" si="1"/>
        <v>13.666666666666666</v>
      </c>
      <c r="CK8">
        <f t="shared" si="1"/>
        <v>13.666666666666666</v>
      </c>
      <c r="CL8">
        <f t="shared" si="1"/>
        <v>13.666666666666666</v>
      </c>
      <c r="CM8">
        <f t="shared" si="1"/>
        <v>13.666666666666666</v>
      </c>
      <c r="CN8">
        <f t="shared" si="1"/>
        <v>13.666666666666666</v>
      </c>
      <c r="CO8">
        <f t="shared" si="1"/>
        <v>13.666666666666666</v>
      </c>
      <c r="CP8">
        <f t="shared" si="1"/>
        <v>17.5</v>
      </c>
      <c r="CQ8">
        <f t="shared" si="2"/>
        <v>21</v>
      </c>
      <c r="CR8" t="e">
        <f t="shared" si="2"/>
        <v>#DIV/0!</v>
      </c>
      <c r="CS8" t="e">
        <f t="shared" si="2"/>
        <v>#DIV/0!</v>
      </c>
      <c r="CT8" t="e">
        <f t="shared" si="2"/>
        <v>#DIV/0!</v>
      </c>
      <c r="CU8" t="e">
        <f t="shared" si="2"/>
        <v>#DIV/0!</v>
      </c>
      <c r="CV8" t="e">
        <f t="shared" si="2"/>
        <v>#DIV/0!</v>
      </c>
      <c r="CW8" t="e">
        <f t="shared" si="2"/>
        <v>#DIV/0!</v>
      </c>
      <c r="CX8" t="e">
        <f t="shared" si="2"/>
        <v>#DIV/0!</v>
      </c>
      <c r="CY8" t="e">
        <f t="shared" si="2"/>
        <v>#DIV/0!</v>
      </c>
      <c r="CZ8" t="e">
        <f t="shared" si="2"/>
        <v>#N/A</v>
      </c>
      <c r="DA8" t="e">
        <f t="shared" si="2"/>
        <v>#N/A</v>
      </c>
      <c r="DB8" t="e">
        <f t="shared" si="2"/>
        <v>#N/A</v>
      </c>
      <c r="DC8" t="e">
        <f t="shared" si="2"/>
        <v>#N/A</v>
      </c>
      <c r="DD8" t="e">
        <f t="shared" si="2"/>
        <v>#N/A</v>
      </c>
    </row>
    <row r="9" spans="1:108 16384:16384" s="10" customFormat="1" ht="20" customHeight="1" x14ac:dyDescent="0.2">
      <c r="A9" s="9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7"/>
      <c r="W9" s="17"/>
      <c r="X9" s="17"/>
      <c r="Y9" s="17"/>
      <c r="Z9" s="17"/>
      <c r="AA9" s="17"/>
      <c r="AB9" s="17"/>
      <c r="AC9" s="17"/>
      <c r="AD9" s="112"/>
      <c r="AF9" s="112"/>
      <c r="AG9" s="112">
        <f>1+4+7+1+1+4+1+2+2</f>
        <v>23</v>
      </c>
      <c r="AH9" s="112">
        <f>3+1+3+2+6</f>
        <v>15</v>
      </c>
      <c r="AI9" s="112">
        <f>1+2+2+1+1+3+6+3</f>
        <v>19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f t="shared" si="3"/>
        <v>#DIV/0!</v>
      </c>
      <c r="BK9" t="e">
        <f t="shared" si="0"/>
        <v>#DIV/0!</v>
      </c>
      <c r="BL9" t="e">
        <f t="shared" si="0"/>
        <v>#DIV/0!</v>
      </c>
      <c r="BM9" t="e">
        <f t="shared" si="0"/>
        <v>#DIV/0!</v>
      </c>
      <c r="BN9" t="e">
        <f t="shared" si="0"/>
        <v>#DIV/0!</v>
      </c>
      <c r="BO9" t="e">
        <f t="shared" si="0"/>
        <v>#DIV/0!</v>
      </c>
      <c r="BP9" t="e">
        <f t="shared" si="0"/>
        <v>#DIV/0!</v>
      </c>
      <c r="BQ9" t="e">
        <f t="shared" si="0"/>
        <v>#DIV/0!</v>
      </c>
      <c r="BR9" t="e">
        <f t="shared" si="0"/>
        <v>#DIV/0!</v>
      </c>
      <c r="BS9" t="e">
        <f t="shared" si="0"/>
        <v>#DIV/0!</v>
      </c>
      <c r="BT9" t="e">
        <f t="shared" si="0"/>
        <v>#DIV/0!</v>
      </c>
      <c r="BU9" t="e">
        <f t="shared" si="0"/>
        <v>#DIV/0!</v>
      </c>
      <c r="BV9" t="e">
        <f t="shared" si="0"/>
        <v>#DIV/0!</v>
      </c>
      <c r="BW9" t="e">
        <f t="shared" si="0"/>
        <v>#DIV/0!</v>
      </c>
      <c r="BX9" t="e">
        <f t="shared" si="0"/>
        <v>#DIV/0!</v>
      </c>
      <c r="BY9" t="e">
        <f t="shared" si="0"/>
        <v>#DIV/0!</v>
      </c>
      <c r="BZ9" t="e">
        <f t="shared" si="0"/>
        <v>#DIV/0!</v>
      </c>
      <c r="CA9" t="e">
        <f t="shared" si="1"/>
        <v>#DIV/0!</v>
      </c>
      <c r="CB9" t="e">
        <f t="shared" si="1"/>
        <v>#DIV/0!</v>
      </c>
      <c r="CC9" t="e">
        <f t="shared" si="1"/>
        <v>#DIV/0!</v>
      </c>
      <c r="CD9" t="e">
        <f t="shared" si="1"/>
        <v>#DIV/0!</v>
      </c>
      <c r="CE9" t="e">
        <f t="shared" si="1"/>
        <v>#DIV/0!</v>
      </c>
      <c r="CF9">
        <f t="shared" si="1"/>
        <v>23</v>
      </c>
      <c r="CG9">
        <f t="shared" si="1"/>
        <v>19</v>
      </c>
      <c r="CH9">
        <f t="shared" si="1"/>
        <v>19</v>
      </c>
      <c r="CI9">
        <f t="shared" si="1"/>
        <v>19</v>
      </c>
      <c r="CJ9">
        <f t="shared" si="1"/>
        <v>19</v>
      </c>
      <c r="CK9">
        <f t="shared" si="1"/>
        <v>19</v>
      </c>
      <c r="CL9">
        <f t="shared" si="1"/>
        <v>19</v>
      </c>
      <c r="CM9">
        <f t="shared" si="1"/>
        <v>19</v>
      </c>
      <c r="CN9">
        <f t="shared" si="1"/>
        <v>19</v>
      </c>
      <c r="CO9">
        <f t="shared" si="1"/>
        <v>19</v>
      </c>
      <c r="CP9">
        <f t="shared" si="1"/>
        <v>17</v>
      </c>
      <c r="CQ9">
        <f t="shared" si="2"/>
        <v>19</v>
      </c>
      <c r="CR9" t="e">
        <f t="shared" si="2"/>
        <v>#DIV/0!</v>
      </c>
      <c r="CS9" t="e">
        <f t="shared" si="2"/>
        <v>#DIV/0!</v>
      </c>
      <c r="CT9" t="e">
        <f t="shared" si="2"/>
        <v>#DIV/0!</v>
      </c>
      <c r="CU9" t="e">
        <f t="shared" si="2"/>
        <v>#DIV/0!</v>
      </c>
      <c r="CV9" t="e">
        <f t="shared" si="2"/>
        <v>#DIV/0!</v>
      </c>
      <c r="CW9" t="e">
        <f t="shared" si="2"/>
        <v>#DIV/0!</v>
      </c>
      <c r="CX9" t="e">
        <f t="shared" si="2"/>
        <v>#DIV/0!</v>
      </c>
      <c r="CY9" t="e">
        <f t="shared" si="2"/>
        <v>#DIV/0!</v>
      </c>
      <c r="CZ9" t="e">
        <f t="shared" si="2"/>
        <v>#N/A</v>
      </c>
      <c r="DA9" t="e">
        <f t="shared" si="2"/>
        <v>#N/A</v>
      </c>
      <c r="DB9" t="e">
        <f t="shared" si="2"/>
        <v>#N/A</v>
      </c>
      <c r="DC9" t="e">
        <f t="shared" si="2"/>
        <v>#N/A</v>
      </c>
      <c r="DD9" t="e">
        <f t="shared" si="2"/>
        <v>#N/A</v>
      </c>
    </row>
    <row r="10" spans="1:108 16384:16384" ht="20" customHeight="1" x14ac:dyDescent="0.2">
      <c r="A10" s="7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5"/>
      <c r="W10" s="15"/>
      <c r="X10" s="15"/>
      <c r="Y10" s="15"/>
      <c r="Z10" s="15"/>
      <c r="AA10" s="15"/>
      <c r="AB10" s="15"/>
      <c r="AC10" s="15"/>
      <c r="AD10" s="111"/>
      <c r="AE10" s="124"/>
      <c r="AF10" s="160"/>
      <c r="AG10" s="160">
        <f>1+1+2+16+2+2+1+1+1</f>
        <v>27</v>
      </c>
      <c r="AH10" s="160">
        <f>1+1+1</f>
        <v>3</v>
      </c>
      <c r="AI10" s="160">
        <f>1+1+2+4+1+16+1+2+1+1</f>
        <v>30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f t="shared" si="3"/>
        <v>#DIV/0!</v>
      </c>
      <c r="BK10" t="e">
        <f t="shared" si="0"/>
        <v>#DIV/0!</v>
      </c>
      <c r="BL10" t="e">
        <f t="shared" si="0"/>
        <v>#DIV/0!</v>
      </c>
      <c r="BM10" t="e">
        <f t="shared" si="0"/>
        <v>#DIV/0!</v>
      </c>
      <c r="BN10" t="e">
        <f t="shared" si="0"/>
        <v>#DIV/0!</v>
      </c>
      <c r="BO10" t="e">
        <f t="shared" si="0"/>
        <v>#DIV/0!</v>
      </c>
      <c r="BP10" t="e">
        <f t="shared" si="0"/>
        <v>#DIV/0!</v>
      </c>
      <c r="BQ10" t="e">
        <f t="shared" si="0"/>
        <v>#DIV/0!</v>
      </c>
      <c r="BR10" t="e">
        <f t="shared" si="0"/>
        <v>#DIV/0!</v>
      </c>
      <c r="BS10" t="e">
        <f t="shared" si="0"/>
        <v>#DIV/0!</v>
      </c>
      <c r="BT10" t="e">
        <f t="shared" si="0"/>
        <v>#DIV/0!</v>
      </c>
      <c r="BU10" t="e">
        <f t="shared" si="0"/>
        <v>#DIV/0!</v>
      </c>
      <c r="BV10" t="e">
        <f t="shared" si="0"/>
        <v>#DIV/0!</v>
      </c>
      <c r="BW10" t="e">
        <f t="shared" si="0"/>
        <v>#DIV/0!</v>
      </c>
      <c r="BX10" t="e">
        <f t="shared" si="0"/>
        <v>#DIV/0!</v>
      </c>
      <c r="BY10" t="e">
        <f t="shared" si="0"/>
        <v>#DIV/0!</v>
      </c>
      <c r="BZ10" t="e">
        <f t="shared" si="0"/>
        <v>#DIV/0!</v>
      </c>
      <c r="CA10" t="e">
        <f t="shared" si="1"/>
        <v>#DIV/0!</v>
      </c>
      <c r="CB10" t="e">
        <f t="shared" si="1"/>
        <v>#DIV/0!</v>
      </c>
      <c r="CC10" t="e">
        <f t="shared" si="1"/>
        <v>#DIV/0!</v>
      </c>
      <c r="CD10" t="e">
        <f t="shared" si="1"/>
        <v>#DIV/0!</v>
      </c>
      <c r="CE10" t="e">
        <f t="shared" si="1"/>
        <v>#DIV/0!</v>
      </c>
      <c r="CF10">
        <f t="shared" si="1"/>
        <v>27</v>
      </c>
      <c r="CG10">
        <f t="shared" si="1"/>
        <v>15</v>
      </c>
      <c r="CH10">
        <f t="shared" si="1"/>
        <v>20</v>
      </c>
      <c r="CI10">
        <f t="shared" si="1"/>
        <v>20</v>
      </c>
      <c r="CJ10">
        <f t="shared" si="1"/>
        <v>20</v>
      </c>
      <c r="CK10">
        <f t="shared" si="1"/>
        <v>20</v>
      </c>
      <c r="CL10">
        <f t="shared" si="1"/>
        <v>20</v>
      </c>
      <c r="CM10">
        <f t="shared" si="1"/>
        <v>20</v>
      </c>
      <c r="CN10">
        <f t="shared" si="1"/>
        <v>20</v>
      </c>
      <c r="CO10">
        <f t="shared" si="1"/>
        <v>20</v>
      </c>
      <c r="CP10">
        <f t="shared" si="1"/>
        <v>16.5</v>
      </c>
      <c r="CQ10">
        <f t="shared" si="2"/>
        <v>30</v>
      </c>
      <c r="CR10" t="e">
        <f t="shared" si="2"/>
        <v>#DIV/0!</v>
      </c>
      <c r="CS10" t="e">
        <f t="shared" si="2"/>
        <v>#DIV/0!</v>
      </c>
      <c r="CT10" t="e">
        <f t="shared" si="2"/>
        <v>#DIV/0!</v>
      </c>
      <c r="CU10" t="e">
        <f t="shared" si="2"/>
        <v>#DIV/0!</v>
      </c>
      <c r="CV10" t="e">
        <f t="shared" si="2"/>
        <v>#DIV/0!</v>
      </c>
      <c r="CW10" t="e">
        <f t="shared" si="2"/>
        <v>#DIV/0!</v>
      </c>
      <c r="CX10" t="e">
        <f t="shared" si="2"/>
        <v>#DIV/0!</v>
      </c>
      <c r="CY10" t="e">
        <f t="shared" si="2"/>
        <v>#DIV/0!</v>
      </c>
      <c r="CZ10" t="e">
        <f t="shared" si="2"/>
        <v>#N/A</v>
      </c>
      <c r="DA10" t="e">
        <f t="shared" si="2"/>
        <v>#N/A</v>
      </c>
      <c r="DB10" t="e">
        <f t="shared" si="2"/>
        <v>#N/A</v>
      </c>
      <c r="DC10" t="e">
        <f t="shared" si="2"/>
        <v>#N/A</v>
      </c>
      <c r="DD10" t="e">
        <f t="shared" si="2"/>
        <v>#N/A</v>
      </c>
    </row>
    <row r="11" spans="1:108 16384:16384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  <c r="V11" s="17"/>
      <c r="W11" s="17"/>
      <c r="X11" s="17"/>
      <c r="Y11" s="17"/>
      <c r="Z11" s="17"/>
      <c r="AA11" s="17"/>
      <c r="AB11" s="17"/>
      <c r="AC11" s="17"/>
      <c r="AD11" s="112"/>
      <c r="AF11" s="112"/>
      <c r="AG11" s="112">
        <f>3+1+3+2</f>
        <v>9</v>
      </c>
      <c r="AH11" s="112">
        <f>2+3+4+1+1</f>
        <v>11</v>
      </c>
      <c r="AI11" s="112">
        <f>2+3+1</f>
        <v>6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f t="shared" si="3"/>
        <v>#DIV/0!</v>
      </c>
      <c r="BK11" t="e">
        <f t="shared" si="0"/>
        <v>#DIV/0!</v>
      </c>
      <c r="BL11" t="e">
        <f t="shared" si="0"/>
        <v>#DIV/0!</v>
      </c>
      <c r="BM11" t="e">
        <f t="shared" si="0"/>
        <v>#DIV/0!</v>
      </c>
      <c r="BN11" t="e">
        <f t="shared" si="0"/>
        <v>#DIV/0!</v>
      </c>
      <c r="BO11" t="e">
        <f t="shared" si="0"/>
        <v>#DIV/0!</v>
      </c>
      <c r="BP11" t="e">
        <f t="shared" si="0"/>
        <v>#DIV/0!</v>
      </c>
      <c r="BQ11" t="e">
        <f t="shared" si="0"/>
        <v>#DIV/0!</v>
      </c>
      <c r="BR11" t="e">
        <f t="shared" si="0"/>
        <v>#DIV/0!</v>
      </c>
      <c r="BS11" t="e">
        <f t="shared" si="0"/>
        <v>#DIV/0!</v>
      </c>
      <c r="BT11" t="e">
        <f t="shared" si="0"/>
        <v>#DIV/0!</v>
      </c>
      <c r="BU11" t="e">
        <f t="shared" si="0"/>
        <v>#DIV/0!</v>
      </c>
      <c r="BV11" t="e">
        <f t="shared" si="0"/>
        <v>#DIV/0!</v>
      </c>
      <c r="BW11" t="e">
        <f t="shared" si="0"/>
        <v>#DIV/0!</v>
      </c>
      <c r="BX11" t="e">
        <f t="shared" si="0"/>
        <v>#DIV/0!</v>
      </c>
      <c r="BY11" t="e">
        <f t="shared" si="0"/>
        <v>#DIV/0!</v>
      </c>
      <c r="BZ11" t="e">
        <f t="shared" si="0"/>
        <v>#DIV/0!</v>
      </c>
      <c r="CA11" t="e">
        <f t="shared" si="1"/>
        <v>#DIV/0!</v>
      </c>
      <c r="CB11" t="e">
        <f t="shared" si="1"/>
        <v>#DIV/0!</v>
      </c>
      <c r="CC11" t="e">
        <f t="shared" si="1"/>
        <v>#DIV/0!</v>
      </c>
      <c r="CD11" t="e">
        <f t="shared" si="1"/>
        <v>#DIV/0!</v>
      </c>
      <c r="CE11" t="e">
        <f t="shared" si="1"/>
        <v>#DIV/0!</v>
      </c>
      <c r="CF11">
        <f t="shared" si="1"/>
        <v>9</v>
      </c>
      <c r="CG11">
        <f t="shared" si="1"/>
        <v>10</v>
      </c>
      <c r="CH11">
        <f t="shared" si="1"/>
        <v>8.6666666666666661</v>
      </c>
      <c r="CI11">
        <f t="shared" si="1"/>
        <v>8.6666666666666661</v>
      </c>
      <c r="CJ11">
        <f t="shared" si="1"/>
        <v>8.6666666666666661</v>
      </c>
      <c r="CK11">
        <f t="shared" si="1"/>
        <v>8.6666666666666661</v>
      </c>
      <c r="CL11">
        <f t="shared" si="1"/>
        <v>8.6666666666666661</v>
      </c>
      <c r="CM11">
        <f t="shared" si="1"/>
        <v>8.6666666666666661</v>
      </c>
      <c r="CN11">
        <f t="shared" si="1"/>
        <v>8.6666666666666661</v>
      </c>
      <c r="CO11">
        <f t="shared" si="1"/>
        <v>8.6666666666666661</v>
      </c>
      <c r="CP11">
        <f t="shared" si="1"/>
        <v>8.5</v>
      </c>
      <c r="CQ11">
        <f t="shared" si="2"/>
        <v>6</v>
      </c>
      <c r="CR11" t="e">
        <f t="shared" si="2"/>
        <v>#DIV/0!</v>
      </c>
      <c r="CS11" t="e">
        <f t="shared" si="2"/>
        <v>#DIV/0!</v>
      </c>
      <c r="CT11" t="e">
        <f t="shared" si="2"/>
        <v>#DIV/0!</v>
      </c>
      <c r="CU11" t="e">
        <f t="shared" si="2"/>
        <v>#DIV/0!</v>
      </c>
      <c r="CV11" t="e">
        <f t="shared" si="2"/>
        <v>#DIV/0!</v>
      </c>
      <c r="CW11" t="e">
        <f t="shared" si="2"/>
        <v>#DIV/0!</v>
      </c>
      <c r="CX11" t="e">
        <f t="shared" si="2"/>
        <v>#DIV/0!</v>
      </c>
      <c r="CY11" t="e">
        <f t="shared" si="2"/>
        <v>#DIV/0!</v>
      </c>
      <c r="CZ11" t="e">
        <f t="shared" si="2"/>
        <v>#N/A</v>
      </c>
      <c r="DA11" t="e">
        <f t="shared" si="2"/>
        <v>#N/A</v>
      </c>
      <c r="DB11" t="e">
        <f t="shared" si="2"/>
        <v>#N/A</v>
      </c>
      <c r="DC11" t="e">
        <f t="shared" si="2"/>
        <v>#N/A</v>
      </c>
      <c r="DD11" t="e">
        <f t="shared" si="2"/>
        <v>#N/A</v>
      </c>
    </row>
    <row r="12" spans="1:108 16384:16384" ht="20" customHeight="1" x14ac:dyDescent="0.2">
      <c r="A12" s="7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5"/>
      <c r="W12" s="15"/>
      <c r="X12" s="15"/>
      <c r="Y12" s="15"/>
      <c r="Z12" s="15"/>
      <c r="AA12" s="15"/>
      <c r="AB12" s="15"/>
      <c r="AC12" s="15"/>
      <c r="AD12" s="111"/>
      <c r="AE12" s="124"/>
      <c r="AF12" s="160"/>
      <c r="AG12" s="160">
        <f>2+4+2</f>
        <v>8</v>
      </c>
      <c r="AH12" s="160">
        <f>4+2+2+2+2</f>
        <v>12</v>
      </c>
      <c r="AI12" s="160">
        <f>1+1+2+5+3+1+7+9+2+1</f>
        <v>32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f t="shared" si="3"/>
        <v>#DIV/0!</v>
      </c>
      <c r="BK12" t="e">
        <f t="shared" si="0"/>
        <v>#DIV/0!</v>
      </c>
      <c r="BL12" t="e">
        <f t="shared" si="0"/>
        <v>#DIV/0!</v>
      </c>
      <c r="BM12" t="e">
        <f t="shared" si="0"/>
        <v>#DIV/0!</v>
      </c>
      <c r="BN12" t="e">
        <f t="shared" si="0"/>
        <v>#DIV/0!</v>
      </c>
      <c r="BO12" t="e">
        <f t="shared" si="0"/>
        <v>#DIV/0!</v>
      </c>
      <c r="BP12" t="e">
        <f t="shared" si="0"/>
        <v>#DIV/0!</v>
      </c>
      <c r="BQ12" t="e">
        <f t="shared" si="0"/>
        <v>#DIV/0!</v>
      </c>
      <c r="BR12" t="e">
        <f t="shared" si="0"/>
        <v>#DIV/0!</v>
      </c>
      <c r="BS12" t="e">
        <f t="shared" si="0"/>
        <v>#DIV/0!</v>
      </c>
      <c r="BT12" t="e">
        <f t="shared" si="0"/>
        <v>#DIV/0!</v>
      </c>
      <c r="BU12" t="e">
        <f t="shared" si="0"/>
        <v>#DIV/0!</v>
      </c>
      <c r="BV12" t="e">
        <f t="shared" si="0"/>
        <v>#DIV/0!</v>
      </c>
      <c r="BW12" t="e">
        <f t="shared" si="0"/>
        <v>#DIV/0!</v>
      </c>
      <c r="BX12" t="e">
        <f t="shared" si="0"/>
        <v>#DIV/0!</v>
      </c>
      <c r="BY12" t="e">
        <f t="shared" si="0"/>
        <v>#DIV/0!</v>
      </c>
      <c r="BZ12" t="e">
        <f t="shared" si="0"/>
        <v>#DIV/0!</v>
      </c>
      <c r="CA12" t="e">
        <f t="shared" si="1"/>
        <v>#DIV/0!</v>
      </c>
      <c r="CB12" t="e">
        <f t="shared" si="1"/>
        <v>#DIV/0!</v>
      </c>
      <c r="CC12" t="e">
        <f t="shared" si="1"/>
        <v>#DIV/0!</v>
      </c>
      <c r="CD12" t="e">
        <f t="shared" si="1"/>
        <v>#DIV/0!</v>
      </c>
      <c r="CE12" t="e">
        <f t="shared" si="1"/>
        <v>#DIV/0!</v>
      </c>
      <c r="CF12">
        <f t="shared" si="1"/>
        <v>8</v>
      </c>
      <c r="CG12">
        <f t="shared" si="1"/>
        <v>10</v>
      </c>
      <c r="CH12">
        <f t="shared" si="1"/>
        <v>17.333333333333332</v>
      </c>
      <c r="CI12">
        <f t="shared" si="1"/>
        <v>17.333333333333332</v>
      </c>
      <c r="CJ12">
        <f t="shared" si="1"/>
        <v>17.333333333333332</v>
      </c>
      <c r="CK12">
        <f t="shared" si="1"/>
        <v>17.333333333333332</v>
      </c>
      <c r="CL12">
        <f t="shared" si="1"/>
        <v>17.333333333333332</v>
      </c>
      <c r="CM12">
        <f t="shared" si="1"/>
        <v>17.333333333333332</v>
      </c>
      <c r="CN12">
        <f t="shared" si="1"/>
        <v>17.333333333333332</v>
      </c>
      <c r="CO12">
        <f t="shared" si="1"/>
        <v>17.333333333333332</v>
      </c>
      <c r="CP12">
        <f t="shared" si="1"/>
        <v>22</v>
      </c>
      <c r="CQ12">
        <f t="shared" si="2"/>
        <v>32</v>
      </c>
      <c r="CR12" t="e">
        <f t="shared" si="2"/>
        <v>#DIV/0!</v>
      </c>
      <c r="CS12" t="e">
        <f t="shared" si="2"/>
        <v>#DIV/0!</v>
      </c>
      <c r="CT12" t="e">
        <f t="shared" si="2"/>
        <v>#DIV/0!</v>
      </c>
      <c r="CU12" t="e">
        <f t="shared" si="2"/>
        <v>#DIV/0!</v>
      </c>
      <c r="CV12" t="e">
        <f t="shared" si="2"/>
        <v>#DIV/0!</v>
      </c>
      <c r="CW12" t="e">
        <f t="shared" si="2"/>
        <v>#DIV/0!</v>
      </c>
      <c r="CX12" t="e">
        <f t="shared" si="2"/>
        <v>#DIV/0!</v>
      </c>
      <c r="CY12" t="e">
        <f t="shared" si="2"/>
        <v>#DIV/0!</v>
      </c>
      <c r="CZ12" t="e">
        <f t="shared" si="2"/>
        <v>#N/A</v>
      </c>
      <c r="DA12" t="e">
        <f t="shared" si="2"/>
        <v>#N/A</v>
      </c>
      <c r="DB12" t="e">
        <f t="shared" si="2"/>
        <v>#N/A</v>
      </c>
      <c r="DC12" t="e">
        <f t="shared" si="2"/>
        <v>#N/A</v>
      </c>
      <c r="DD12" t="e">
        <f t="shared" si="2"/>
        <v>#N/A</v>
      </c>
    </row>
    <row r="13" spans="1:108 16384:16384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17"/>
      <c r="W13" s="17"/>
      <c r="X13" s="17"/>
      <c r="Y13" s="17"/>
      <c r="Z13" s="17"/>
      <c r="AA13" s="17"/>
      <c r="AB13" s="17"/>
      <c r="AC13" s="17"/>
      <c r="AD13" s="112"/>
      <c r="AF13" s="112">
        <f>1+1+2+1</f>
        <v>5</v>
      </c>
      <c r="AG13" s="112">
        <f>3+4+2+2+1+1+1+3+7</f>
        <v>24</v>
      </c>
      <c r="AH13" s="112">
        <f>2+3+2+2</f>
        <v>9</v>
      </c>
      <c r="AI13" s="112">
        <f>2+2+2</f>
        <v>6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f t="shared" si="3"/>
        <v>#DIV/0!</v>
      </c>
      <c r="BK13" t="e">
        <f t="shared" si="0"/>
        <v>#DIV/0!</v>
      </c>
      <c r="BL13" t="e">
        <f t="shared" si="0"/>
        <v>#DIV/0!</v>
      </c>
      <c r="BM13" t="e">
        <f t="shared" si="0"/>
        <v>#DIV/0!</v>
      </c>
      <c r="BN13" t="e">
        <f t="shared" si="0"/>
        <v>#DIV/0!</v>
      </c>
      <c r="BO13" t="e">
        <f t="shared" si="0"/>
        <v>#DIV/0!</v>
      </c>
      <c r="BP13" t="e">
        <f t="shared" si="0"/>
        <v>#DIV/0!</v>
      </c>
      <c r="BQ13" t="e">
        <f t="shared" si="0"/>
        <v>#DIV/0!</v>
      </c>
      <c r="BR13" t="e">
        <f t="shared" si="0"/>
        <v>#DIV/0!</v>
      </c>
      <c r="BS13" t="e">
        <f t="shared" si="0"/>
        <v>#DIV/0!</v>
      </c>
      <c r="BT13" t="e">
        <f t="shared" si="0"/>
        <v>#DIV/0!</v>
      </c>
      <c r="BU13" t="e">
        <f t="shared" si="0"/>
        <v>#DIV/0!</v>
      </c>
      <c r="BV13" t="e">
        <f t="shared" si="0"/>
        <v>#DIV/0!</v>
      </c>
      <c r="BW13" t="e">
        <f t="shared" si="0"/>
        <v>#DIV/0!</v>
      </c>
      <c r="BX13" t="e">
        <f t="shared" si="0"/>
        <v>#DIV/0!</v>
      </c>
      <c r="BY13" t="e">
        <f t="shared" si="0"/>
        <v>#DIV/0!</v>
      </c>
      <c r="BZ13" t="e">
        <f t="shared" si="0"/>
        <v>#DIV/0!</v>
      </c>
      <c r="CA13" t="e">
        <f t="shared" si="1"/>
        <v>#DIV/0!</v>
      </c>
      <c r="CB13" t="e">
        <f t="shared" si="1"/>
        <v>#DIV/0!</v>
      </c>
      <c r="CC13" t="e">
        <f t="shared" si="1"/>
        <v>#DIV/0!</v>
      </c>
      <c r="CD13" t="e">
        <f t="shared" si="1"/>
        <v>#DIV/0!</v>
      </c>
      <c r="CE13">
        <f t="shared" si="1"/>
        <v>5</v>
      </c>
      <c r="CF13">
        <f t="shared" si="1"/>
        <v>14.5</v>
      </c>
      <c r="CG13">
        <f t="shared" si="1"/>
        <v>12.666666666666666</v>
      </c>
      <c r="CH13">
        <f t="shared" si="1"/>
        <v>11</v>
      </c>
      <c r="CI13">
        <f t="shared" si="1"/>
        <v>11</v>
      </c>
      <c r="CJ13">
        <f t="shared" si="1"/>
        <v>11</v>
      </c>
      <c r="CK13">
        <f t="shared" si="1"/>
        <v>11</v>
      </c>
      <c r="CL13">
        <f t="shared" si="1"/>
        <v>11</v>
      </c>
      <c r="CM13">
        <f t="shared" si="1"/>
        <v>11</v>
      </c>
      <c r="CN13">
        <f t="shared" si="1"/>
        <v>11</v>
      </c>
      <c r="CO13">
        <f t="shared" si="1"/>
        <v>13</v>
      </c>
      <c r="CP13">
        <f t="shared" si="1"/>
        <v>7.5</v>
      </c>
      <c r="CQ13">
        <f t="shared" si="2"/>
        <v>6</v>
      </c>
      <c r="CR13" t="e">
        <f t="shared" si="2"/>
        <v>#DIV/0!</v>
      </c>
      <c r="CS13" t="e">
        <f t="shared" si="2"/>
        <v>#DIV/0!</v>
      </c>
      <c r="CT13" t="e">
        <f t="shared" si="2"/>
        <v>#DIV/0!</v>
      </c>
      <c r="CU13" t="e">
        <f t="shared" si="2"/>
        <v>#DIV/0!</v>
      </c>
      <c r="CV13" t="e">
        <f t="shared" si="2"/>
        <v>#DIV/0!</v>
      </c>
      <c r="CW13" t="e">
        <f t="shared" si="2"/>
        <v>#DIV/0!</v>
      </c>
      <c r="CX13" t="e">
        <f t="shared" si="2"/>
        <v>#DIV/0!</v>
      </c>
      <c r="CY13" t="e">
        <f t="shared" si="2"/>
        <v>#DIV/0!</v>
      </c>
      <c r="CZ13" t="e">
        <f t="shared" si="2"/>
        <v>#N/A</v>
      </c>
      <c r="DA13" t="e">
        <f t="shared" si="2"/>
        <v>#N/A</v>
      </c>
      <c r="DB13" t="e">
        <f t="shared" si="2"/>
        <v>#N/A</v>
      </c>
      <c r="DC13" t="e">
        <f t="shared" si="2"/>
        <v>#N/A</v>
      </c>
      <c r="DD13" t="e">
        <f t="shared" si="2"/>
        <v>#N/A</v>
      </c>
    </row>
    <row r="14" spans="1:108 16384:16384" ht="20" customHeight="1" x14ac:dyDescent="0.2">
      <c r="A14" s="7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5"/>
      <c r="W14" s="15"/>
      <c r="X14" s="15"/>
      <c r="Y14" s="15"/>
      <c r="Z14" s="15"/>
      <c r="AA14" s="15"/>
      <c r="AB14" s="15"/>
      <c r="AC14" s="15"/>
      <c r="AD14" s="111"/>
      <c r="AE14" s="124"/>
      <c r="AF14" s="160">
        <f>1+2+1+1+2</f>
        <v>7</v>
      </c>
      <c r="AG14" s="160">
        <f>1+2+2+3+1</f>
        <v>9</v>
      </c>
      <c r="AH14" s="160">
        <f>1+3+2+1</f>
        <v>7</v>
      </c>
      <c r="AI14" s="160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f t="shared" si="3"/>
        <v>#DIV/0!</v>
      </c>
      <c r="BK14" t="e">
        <f t="shared" si="0"/>
        <v>#DIV/0!</v>
      </c>
      <c r="BL14" t="e">
        <f t="shared" si="0"/>
        <v>#DIV/0!</v>
      </c>
      <c r="BM14" t="e">
        <f t="shared" si="0"/>
        <v>#DIV/0!</v>
      </c>
      <c r="BN14" t="e">
        <f t="shared" si="0"/>
        <v>#DIV/0!</v>
      </c>
      <c r="BO14" t="e">
        <f t="shared" si="0"/>
        <v>#DIV/0!</v>
      </c>
      <c r="BP14" t="e">
        <f t="shared" si="0"/>
        <v>#DIV/0!</v>
      </c>
      <c r="BQ14" t="e">
        <f t="shared" si="0"/>
        <v>#DIV/0!</v>
      </c>
      <c r="BR14" t="e">
        <f t="shared" si="0"/>
        <v>#DIV/0!</v>
      </c>
      <c r="BS14" t="e">
        <f t="shared" si="0"/>
        <v>#DIV/0!</v>
      </c>
      <c r="BT14" t="e">
        <f t="shared" si="0"/>
        <v>#DIV/0!</v>
      </c>
      <c r="BU14" t="e">
        <f t="shared" si="0"/>
        <v>#DIV/0!</v>
      </c>
      <c r="BV14" t="e">
        <f t="shared" si="0"/>
        <v>#DIV/0!</v>
      </c>
      <c r="BW14" t="e">
        <f t="shared" si="0"/>
        <v>#DIV/0!</v>
      </c>
      <c r="BX14" t="e">
        <f t="shared" si="0"/>
        <v>#DIV/0!</v>
      </c>
      <c r="BY14" t="e">
        <f t="shared" si="0"/>
        <v>#DIV/0!</v>
      </c>
      <c r="BZ14" t="e">
        <f t="shared" si="0"/>
        <v>#DIV/0!</v>
      </c>
      <c r="CA14" t="e">
        <f t="shared" si="1"/>
        <v>#DIV/0!</v>
      </c>
      <c r="CB14" t="e">
        <f t="shared" si="1"/>
        <v>#DIV/0!</v>
      </c>
      <c r="CC14" t="e">
        <f t="shared" si="1"/>
        <v>#DIV/0!</v>
      </c>
      <c r="CD14" t="e">
        <f t="shared" si="1"/>
        <v>#DIV/0!</v>
      </c>
      <c r="CE14">
        <f t="shared" si="1"/>
        <v>7</v>
      </c>
      <c r="CF14">
        <f t="shared" si="1"/>
        <v>8</v>
      </c>
      <c r="CG14">
        <f t="shared" si="1"/>
        <v>7.666666666666667</v>
      </c>
      <c r="CH14">
        <f t="shared" si="1"/>
        <v>7.666666666666667</v>
      </c>
      <c r="CI14">
        <f t="shared" si="1"/>
        <v>7.666666666666667</v>
      </c>
      <c r="CJ14">
        <f t="shared" si="1"/>
        <v>7.666666666666667</v>
      </c>
      <c r="CK14">
        <f t="shared" si="1"/>
        <v>7.666666666666667</v>
      </c>
      <c r="CL14">
        <f t="shared" si="1"/>
        <v>7.666666666666667</v>
      </c>
      <c r="CM14">
        <f t="shared" si="1"/>
        <v>7.666666666666667</v>
      </c>
      <c r="CN14">
        <f t="shared" si="1"/>
        <v>7.666666666666667</v>
      </c>
      <c r="CO14">
        <f t="shared" si="1"/>
        <v>8</v>
      </c>
      <c r="CP14">
        <f t="shared" si="1"/>
        <v>7</v>
      </c>
      <c r="CQ14" t="e">
        <f t="shared" si="2"/>
        <v>#DIV/0!</v>
      </c>
      <c r="CR14" t="e">
        <f t="shared" si="2"/>
        <v>#DIV/0!</v>
      </c>
      <c r="CS14" t="e">
        <f t="shared" si="2"/>
        <v>#DIV/0!</v>
      </c>
      <c r="CT14" t="e">
        <f t="shared" si="2"/>
        <v>#DIV/0!</v>
      </c>
      <c r="CU14" t="e">
        <f t="shared" si="2"/>
        <v>#DIV/0!</v>
      </c>
      <c r="CV14" t="e">
        <f t="shared" si="2"/>
        <v>#DIV/0!</v>
      </c>
      <c r="CW14" t="e">
        <f t="shared" si="2"/>
        <v>#DIV/0!</v>
      </c>
      <c r="CX14" t="e">
        <f t="shared" si="2"/>
        <v>#DIV/0!</v>
      </c>
      <c r="CY14" t="e">
        <f t="shared" si="2"/>
        <v>#DIV/0!</v>
      </c>
      <c r="CZ14" t="e">
        <f t="shared" si="2"/>
        <v>#N/A</v>
      </c>
      <c r="DA14" t="e">
        <f t="shared" si="2"/>
        <v>#N/A</v>
      </c>
      <c r="DB14" t="e">
        <f t="shared" si="2"/>
        <v>#N/A</v>
      </c>
      <c r="DC14" t="e">
        <f t="shared" si="2"/>
        <v>#N/A</v>
      </c>
      <c r="DD14" t="e">
        <f t="shared" si="2"/>
        <v>#N/A</v>
      </c>
    </row>
    <row r="15" spans="1:108 16384:16384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7"/>
      <c r="X15" s="17"/>
      <c r="Y15" s="17"/>
      <c r="Z15" s="17"/>
      <c r="AA15" s="17"/>
      <c r="AB15" s="17"/>
      <c r="AC15" s="17"/>
      <c r="AD15" s="112"/>
      <c r="AF15" s="112">
        <f>2</f>
        <v>2</v>
      </c>
      <c r="AG15" s="112">
        <f>2</f>
        <v>2</v>
      </c>
      <c r="AH15" s="112">
        <f>4+1+2+3+1</f>
        <v>11</v>
      </c>
      <c r="AI15" s="112"/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f t="shared" si="3"/>
        <v>#DIV/0!</v>
      </c>
      <c r="BK15" t="e">
        <f t="shared" si="0"/>
        <v>#DIV/0!</v>
      </c>
      <c r="BL15" t="e">
        <f t="shared" si="0"/>
        <v>#DIV/0!</v>
      </c>
      <c r="BM15" t="e">
        <f t="shared" si="0"/>
        <v>#DIV/0!</v>
      </c>
      <c r="BN15" t="e">
        <f t="shared" si="0"/>
        <v>#DIV/0!</v>
      </c>
      <c r="BO15" t="e">
        <f t="shared" si="0"/>
        <v>#DIV/0!</v>
      </c>
      <c r="BP15" t="e">
        <f t="shared" si="0"/>
        <v>#DIV/0!</v>
      </c>
      <c r="BQ15" t="e">
        <f t="shared" si="0"/>
        <v>#DIV/0!</v>
      </c>
      <c r="BR15" t="e">
        <f t="shared" si="0"/>
        <v>#DIV/0!</v>
      </c>
      <c r="BS15" t="e">
        <f t="shared" si="0"/>
        <v>#DIV/0!</v>
      </c>
      <c r="BT15" t="e">
        <f t="shared" si="0"/>
        <v>#DIV/0!</v>
      </c>
      <c r="BU15" t="e">
        <f t="shared" si="0"/>
        <v>#DIV/0!</v>
      </c>
      <c r="BV15" t="e">
        <f t="shared" si="0"/>
        <v>#DIV/0!</v>
      </c>
      <c r="BW15" t="e">
        <f t="shared" si="0"/>
        <v>#DIV/0!</v>
      </c>
      <c r="BX15" t="e">
        <f t="shared" si="0"/>
        <v>#DIV/0!</v>
      </c>
      <c r="BY15" t="e">
        <f t="shared" si="0"/>
        <v>#DIV/0!</v>
      </c>
      <c r="BZ15" t="e">
        <f t="shared" si="0"/>
        <v>#DIV/0!</v>
      </c>
      <c r="CA15" t="e">
        <f t="shared" si="1"/>
        <v>#DIV/0!</v>
      </c>
      <c r="CB15" t="e">
        <f t="shared" si="1"/>
        <v>#DIV/0!</v>
      </c>
      <c r="CC15" t="e">
        <f t="shared" si="1"/>
        <v>#DIV/0!</v>
      </c>
      <c r="CD15" t="e">
        <f t="shared" si="1"/>
        <v>#DIV/0!</v>
      </c>
      <c r="CE15">
        <f t="shared" si="1"/>
        <v>2</v>
      </c>
      <c r="CF15">
        <f t="shared" si="1"/>
        <v>2</v>
      </c>
      <c r="CG15">
        <f t="shared" si="1"/>
        <v>5</v>
      </c>
      <c r="CH15">
        <f t="shared" si="1"/>
        <v>5</v>
      </c>
      <c r="CI15">
        <f t="shared" si="1"/>
        <v>5</v>
      </c>
      <c r="CJ15">
        <f t="shared" si="1"/>
        <v>5</v>
      </c>
      <c r="CK15">
        <f t="shared" si="1"/>
        <v>5</v>
      </c>
      <c r="CL15">
        <f t="shared" si="1"/>
        <v>5</v>
      </c>
      <c r="CM15">
        <f t="shared" si="1"/>
        <v>5</v>
      </c>
      <c r="CN15">
        <f t="shared" si="1"/>
        <v>5</v>
      </c>
      <c r="CO15">
        <f t="shared" si="1"/>
        <v>6.5</v>
      </c>
      <c r="CP15">
        <f t="shared" si="1"/>
        <v>11</v>
      </c>
      <c r="CQ15" t="e">
        <f t="shared" si="2"/>
        <v>#DIV/0!</v>
      </c>
      <c r="CR15" t="e">
        <f t="shared" si="2"/>
        <v>#DIV/0!</v>
      </c>
      <c r="CS15" t="e">
        <f t="shared" si="2"/>
        <v>#DIV/0!</v>
      </c>
      <c r="CT15" t="e">
        <f t="shared" si="2"/>
        <v>#DIV/0!</v>
      </c>
      <c r="CU15" t="e">
        <f t="shared" si="2"/>
        <v>#DIV/0!</v>
      </c>
      <c r="CV15" t="e">
        <f t="shared" si="2"/>
        <v>#DIV/0!</v>
      </c>
      <c r="CW15" t="e">
        <f t="shared" si="2"/>
        <v>#DIV/0!</v>
      </c>
      <c r="CX15" t="e">
        <f t="shared" si="2"/>
        <v>#DIV/0!</v>
      </c>
      <c r="CY15" t="e">
        <f t="shared" si="2"/>
        <v>#DIV/0!</v>
      </c>
      <c r="CZ15" t="e">
        <f t="shared" si="2"/>
        <v>#N/A</v>
      </c>
      <c r="DA15" t="e">
        <f t="shared" si="2"/>
        <v>#N/A</v>
      </c>
      <c r="DB15" t="e">
        <f t="shared" si="2"/>
        <v>#N/A</v>
      </c>
      <c r="DC15" t="e">
        <f t="shared" si="2"/>
        <v>#N/A</v>
      </c>
      <c r="DD15" t="e">
        <f t="shared" si="2"/>
        <v>#N/A</v>
      </c>
    </row>
    <row r="16" spans="1:108 16384:16384" ht="20" customHeight="1" x14ac:dyDescent="0.2">
      <c r="A16" s="7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5"/>
      <c r="W16" s="15"/>
      <c r="X16" s="15"/>
      <c r="Y16" s="76"/>
      <c r="Z16" s="15"/>
      <c r="AA16" s="15"/>
      <c r="AB16" s="15"/>
      <c r="AC16" s="15"/>
      <c r="AD16" s="111"/>
      <c r="AE16" s="124"/>
      <c r="AF16" s="160">
        <f>2+2</f>
        <v>4</v>
      </c>
      <c r="AG16" s="160">
        <f>0</f>
        <v>0</v>
      </c>
      <c r="AH16" s="160">
        <f>2+2</f>
        <v>4</v>
      </c>
      <c r="AI16" s="160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f t="shared" si="3"/>
        <v>#DIV/0!</v>
      </c>
      <c r="BK16" t="e">
        <f t="shared" si="0"/>
        <v>#DIV/0!</v>
      </c>
      <c r="BL16" t="e">
        <f t="shared" si="0"/>
        <v>#DIV/0!</v>
      </c>
      <c r="BM16" t="e">
        <f t="shared" si="0"/>
        <v>#DIV/0!</v>
      </c>
      <c r="BN16" t="e">
        <f t="shared" si="0"/>
        <v>#DIV/0!</v>
      </c>
      <c r="BO16" t="e">
        <f t="shared" si="0"/>
        <v>#DIV/0!</v>
      </c>
      <c r="BP16" t="e">
        <f t="shared" si="0"/>
        <v>#DIV/0!</v>
      </c>
      <c r="BQ16" t="e">
        <f t="shared" si="0"/>
        <v>#DIV/0!</v>
      </c>
      <c r="BR16" t="e">
        <f t="shared" si="0"/>
        <v>#DIV/0!</v>
      </c>
      <c r="BS16" t="e">
        <f t="shared" si="0"/>
        <v>#DIV/0!</v>
      </c>
      <c r="BT16" t="e">
        <f t="shared" si="0"/>
        <v>#DIV/0!</v>
      </c>
      <c r="BU16" t="e">
        <f t="shared" si="0"/>
        <v>#DIV/0!</v>
      </c>
      <c r="BV16" t="e">
        <f t="shared" si="0"/>
        <v>#DIV/0!</v>
      </c>
      <c r="BW16" t="e">
        <f t="shared" si="0"/>
        <v>#DIV/0!</v>
      </c>
      <c r="BX16" t="e">
        <f t="shared" si="0"/>
        <v>#DIV/0!</v>
      </c>
      <c r="BY16" t="e">
        <f t="shared" si="0"/>
        <v>#DIV/0!</v>
      </c>
      <c r="BZ16" t="e">
        <f t="shared" si="0"/>
        <v>#DIV/0!</v>
      </c>
      <c r="CA16" t="e">
        <f t="shared" si="1"/>
        <v>#DIV/0!</v>
      </c>
      <c r="CB16" t="e">
        <f t="shared" si="1"/>
        <v>#DIV/0!</v>
      </c>
      <c r="CC16" t="e">
        <f t="shared" si="1"/>
        <v>#DIV/0!</v>
      </c>
      <c r="CD16" t="e">
        <f t="shared" si="1"/>
        <v>#DIV/0!</v>
      </c>
      <c r="CE16">
        <f t="shared" si="1"/>
        <v>4</v>
      </c>
      <c r="CF16">
        <f t="shared" si="1"/>
        <v>2</v>
      </c>
      <c r="CG16">
        <f t="shared" si="1"/>
        <v>2.6666666666666665</v>
      </c>
      <c r="CH16">
        <f t="shared" si="1"/>
        <v>2.6666666666666665</v>
      </c>
      <c r="CI16">
        <f t="shared" si="1"/>
        <v>2.6666666666666665</v>
      </c>
      <c r="CJ16">
        <f t="shared" si="1"/>
        <v>2.6666666666666665</v>
      </c>
      <c r="CK16">
        <f t="shared" si="1"/>
        <v>2.6666666666666665</v>
      </c>
      <c r="CL16">
        <f t="shared" si="1"/>
        <v>2.6666666666666665</v>
      </c>
      <c r="CM16">
        <f t="shared" si="1"/>
        <v>2.6666666666666665</v>
      </c>
      <c r="CN16">
        <f t="shared" si="1"/>
        <v>2.6666666666666665</v>
      </c>
      <c r="CO16">
        <f t="shared" si="1"/>
        <v>2</v>
      </c>
      <c r="CP16">
        <f t="shared" si="1"/>
        <v>4</v>
      </c>
      <c r="CQ16" t="e">
        <f t="shared" si="2"/>
        <v>#DIV/0!</v>
      </c>
      <c r="CR16" t="e">
        <f t="shared" si="2"/>
        <v>#DIV/0!</v>
      </c>
      <c r="CS16" t="e">
        <f t="shared" si="2"/>
        <v>#DIV/0!</v>
      </c>
      <c r="CT16" t="e">
        <f t="shared" si="2"/>
        <v>#DIV/0!</v>
      </c>
      <c r="CU16" t="e">
        <f t="shared" si="2"/>
        <v>#DIV/0!</v>
      </c>
      <c r="CV16" t="e">
        <f t="shared" si="2"/>
        <v>#DIV/0!</v>
      </c>
      <c r="CW16" t="e">
        <f t="shared" si="2"/>
        <v>#DIV/0!</v>
      </c>
      <c r="CX16" t="e">
        <f t="shared" si="2"/>
        <v>#DIV/0!</v>
      </c>
      <c r="CY16" t="e">
        <f t="shared" si="2"/>
        <v>#DIV/0!</v>
      </c>
      <c r="CZ16" t="e">
        <f t="shared" si="2"/>
        <v>#N/A</v>
      </c>
      <c r="DA16" t="e">
        <f t="shared" si="2"/>
        <v>#N/A</v>
      </c>
      <c r="DB16" t="e">
        <f t="shared" si="2"/>
        <v>#N/A</v>
      </c>
      <c r="DC16" t="e">
        <f t="shared" si="2"/>
        <v>#N/A</v>
      </c>
      <c r="DD16" t="e">
        <f t="shared" si="2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65"/>
      <c r="AG17" s="165"/>
      <c r="AH17" s="165"/>
      <c r="AI17" s="165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4">SUM(C5:C16)</f>
        <v>0</v>
      </c>
      <c r="D18" s="22">
        <f t="shared" si="4"/>
        <v>0</v>
      </c>
      <c r="E18" s="22">
        <f t="shared" si="4"/>
        <v>0</v>
      </c>
      <c r="F18" s="22">
        <f t="shared" si="4"/>
        <v>0</v>
      </c>
      <c r="G18" s="22">
        <f t="shared" si="4"/>
        <v>0</v>
      </c>
      <c r="H18" s="22">
        <f t="shared" si="4"/>
        <v>0</v>
      </c>
      <c r="I18" s="22">
        <f t="shared" si="4"/>
        <v>0</v>
      </c>
      <c r="J18" s="22">
        <f t="shared" si="4"/>
        <v>0</v>
      </c>
      <c r="K18" s="22">
        <f t="shared" si="4"/>
        <v>0</v>
      </c>
      <c r="L18" s="22">
        <f t="shared" si="4"/>
        <v>0</v>
      </c>
      <c r="M18" s="22">
        <f t="shared" si="4"/>
        <v>0</v>
      </c>
      <c r="N18" s="22">
        <f t="shared" si="4"/>
        <v>0</v>
      </c>
      <c r="O18" s="22">
        <f t="shared" si="4"/>
        <v>0</v>
      </c>
      <c r="P18" s="22">
        <f t="shared" si="4"/>
        <v>0</v>
      </c>
      <c r="Q18" s="22">
        <f t="shared" si="4"/>
        <v>0</v>
      </c>
      <c r="R18" s="22">
        <f t="shared" si="4"/>
        <v>0</v>
      </c>
      <c r="S18" s="22">
        <f t="shared" si="4"/>
        <v>0</v>
      </c>
      <c r="T18" s="22">
        <f t="shared" si="4"/>
        <v>0</v>
      </c>
      <c r="U18" s="22">
        <f t="shared" si="4"/>
        <v>0</v>
      </c>
      <c r="V18" s="22">
        <f t="shared" si="4"/>
        <v>0</v>
      </c>
      <c r="W18" s="22">
        <f t="shared" si="4"/>
        <v>0</v>
      </c>
      <c r="X18" s="22">
        <f t="shared" si="4"/>
        <v>0</v>
      </c>
      <c r="Y18" s="22">
        <f t="shared" si="4"/>
        <v>0</v>
      </c>
      <c r="Z18" s="22">
        <f t="shared" si="4"/>
        <v>0</v>
      </c>
      <c r="AA18" s="22">
        <f t="shared" si="4"/>
        <v>0</v>
      </c>
      <c r="AB18" s="22">
        <f t="shared" si="4"/>
        <v>0</v>
      </c>
      <c r="AC18" s="22">
        <f t="shared" si="4"/>
        <v>0</v>
      </c>
      <c r="AD18" s="22">
        <f t="shared" si="4"/>
        <v>0</v>
      </c>
      <c r="AE18" s="163">
        <f t="shared" si="4"/>
        <v>0</v>
      </c>
      <c r="AF18" s="22">
        <f t="shared" si="4"/>
        <v>18</v>
      </c>
      <c r="AG18" s="22">
        <f t="shared" si="4"/>
        <v>136</v>
      </c>
      <c r="AH18" s="22">
        <f t="shared" si="4"/>
        <v>108</v>
      </c>
      <c r="AI18" s="22">
        <f t="shared" si="4"/>
        <v>141</v>
      </c>
      <c r="AJ18" s="164">
        <f t="shared" si="4"/>
        <v>0</v>
      </c>
      <c r="AK18" s="22">
        <f t="shared" si="4"/>
        <v>0</v>
      </c>
      <c r="AL18" s="22">
        <f t="shared" si="4"/>
        <v>0</v>
      </c>
      <c r="AM18" s="22">
        <f t="shared" si="4"/>
        <v>0</v>
      </c>
      <c r="AN18" s="22">
        <f t="shared" si="4"/>
        <v>0</v>
      </c>
      <c r="AO18" s="22">
        <f t="shared" si="4"/>
        <v>0</v>
      </c>
      <c r="AP18" s="22">
        <f t="shared" si="4"/>
        <v>0</v>
      </c>
      <c r="AQ18" s="22">
        <f t="shared" si="4"/>
        <v>0</v>
      </c>
      <c r="AR18" s="22">
        <f t="shared" si="4"/>
        <v>0</v>
      </c>
      <c r="AS18" s="22">
        <f t="shared" si="4"/>
        <v>0</v>
      </c>
      <c r="AT18" s="22">
        <f t="shared" si="4"/>
        <v>0</v>
      </c>
      <c r="AU18" s="22">
        <f t="shared" si="4"/>
        <v>0</v>
      </c>
      <c r="AV18" s="22">
        <f t="shared" si="4"/>
        <v>0</v>
      </c>
      <c r="AW18" s="22">
        <f t="shared" si="4"/>
        <v>0</v>
      </c>
      <c r="AX18" s="22">
        <f t="shared" si="4"/>
        <v>0</v>
      </c>
      <c r="AY18" s="22">
        <f t="shared" si="4"/>
        <v>0</v>
      </c>
      <c r="AZ18" s="22">
        <f t="shared" si="4"/>
        <v>0</v>
      </c>
      <c r="BA18" s="24"/>
      <c r="BZ18" s="25">
        <f>AVERAGE(R18:AA18)</f>
        <v>0</v>
      </c>
      <c r="CA18" s="25">
        <f>AVERAGE(S18:AB18)</f>
        <v>0</v>
      </c>
      <c r="CB18" s="25">
        <f>AVERAGE(T18:AC18)</f>
        <v>0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ignoredErrors>
    <ignoredError sqref="AG16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314A-CD3F-4520-8E5E-09A8B82042C9}">
  <sheetPr transitionEvaluation="1" codeName="Sheet8">
    <tabColor rgb="FFD69718"/>
  </sheetPr>
  <dimension ref="A1:XFD192"/>
  <sheetViews>
    <sheetView defaultGridColor="0" colorId="22" zoomScale="70" zoomScaleNormal="70" workbookViewId="0">
      <pane xSplit="1" topLeftCell="B1" activePane="topRight" state="frozen"/>
      <selection activeCell="A2" sqref="A2"/>
      <selection pane="topRight" activeCell="BC36" sqref="BC36"/>
    </sheetView>
  </sheetViews>
  <sheetFormatPr baseColWidth="10" defaultColWidth="9.42578125" defaultRowHeight="20" customHeight="1" x14ac:dyDescent="0.2"/>
  <cols>
    <col min="1" max="1" width="20.7109375" style="5" customWidth="1"/>
    <col min="2" max="26" width="5.7109375" style="5" hidden="1" customWidth="1"/>
    <col min="27" max="30" width="5.7109375" style="5" customWidth="1"/>
    <col min="31" max="31" width="5.7109375" customWidth="1"/>
    <col min="32" max="35" width="6" customWidth="1"/>
    <col min="36" max="52" width="9.42578125" customWidth="1"/>
    <col min="53" max="74" width="9.42578125" style="5" customWidth="1"/>
    <col min="75" max="75" width="10.7109375" style="5" customWidth="1"/>
    <col min="76" max="76" width="8.42578125" style="5" customWidth="1"/>
    <col min="77" max="77" width="7.7109375" style="5" customWidth="1"/>
    <col min="78" max="78" width="9.42578125" style="5" customWidth="1"/>
    <col min="79" max="79" width="16.85546875" style="5" customWidth="1"/>
    <col min="80" max="80" width="16.42578125" style="5" customWidth="1"/>
    <col min="81" max="81" width="9.42578125" style="5" customWidth="1"/>
    <col min="82" max="82" width="16.85546875" style="5" customWidth="1"/>
    <col min="83" max="110" width="9.42578125" style="5" hidden="1" customWidth="1"/>
    <col min="111" max="114" width="9.42578125" style="5" customWidth="1"/>
    <col min="115" max="16384" width="9.42578125" style="5"/>
  </cols>
  <sheetData>
    <row r="1" spans="1:108 16384:16384" s="34" customFormat="1" ht="25" customHeight="1" x14ac:dyDescent="0.2">
      <c r="A1" s="31" t="s">
        <v>134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 16384:16384" s="34" customFormat="1" ht="25" customHeight="1" x14ac:dyDescent="0.25">
      <c r="A2" s="36" t="s">
        <v>139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 16384:16384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28">
        <v>2021</v>
      </c>
      <c r="AG3" s="28">
        <v>2022</v>
      </c>
      <c r="AH3" s="28">
        <v>2023</v>
      </c>
      <c r="AI3" s="28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 16384:16384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60"/>
      <c r="AG4" s="160"/>
      <c r="AH4" s="160"/>
      <c r="AI4" s="160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 16384:16384" s="10" customFormat="1" ht="20" customHeight="1" x14ac:dyDescent="0.2">
      <c r="A5" s="9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  <c r="W5" s="17"/>
      <c r="X5" s="17"/>
      <c r="Y5" s="17"/>
      <c r="Z5" s="76"/>
      <c r="AA5" s="17"/>
      <c r="AB5" s="17">
        <f>(2+2+2)</f>
        <v>6</v>
      </c>
      <c r="AC5" s="17">
        <f>0</f>
        <v>0</v>
      </c>
      <c r="AD5" s="112">
        <f>(3+1)+(2+1+4)</f>
        <v>11</v>
      </c>
      <c r="AE5" s="10">
        <f>(1+2)</f>
        <v>3</v>
      </c>
      <c r="AF5" s="112">
        <f>(2+1+1+1)</f>
        <v>5</v>
      </c>
      <c r="AG5" s="112"/>
      <c r="AH5" s="112">
        <f>(2)</f>
        <v>2</v>
      </c>
      <c r="AI5" s="112"/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f>AVERAGE(B5:K5)</f>
        <v>#DIV/0!</v>
      </c>
      <c r="BK5" t="e">
        <f t="shared" ref="BK5:BZ16" si="0">AVERAGE(C5:L5)</f>
        <v>#DIV/0!</v>
      </c>
      <c r="BL5" t="e">
        <f>AVERAGE(D5:M5)</f>
        <v>#DIV/0!</v>
      </c>
      <c r="BM5" t="e">
        <f t="shared" si="0"/>
        <v>#DIV/0!</v>
      </c>
      <c r="BN5" t="e">
        <f t="shared" si="0"/>
        <v>#DIV/0!</v>
      </c>
      <c r="BO5" t="e">
        <f t="shared" si="0"/>
        <v>#DIV/0!</v>
      </c>
      <c r="BP5" t="e">
        <f t="shared" si="0"/>
        <v>#DIV/0!</v>
      </c>
      <c r="BQ5" t="e">
        <f t="shared" si="0"/>
        <v>#DIV/0!</v>
      </c>
      <c r="BR5" t="e">
        <f t="shared" si="0"/>
        <v>#DIV/0!</v>
      </c>
      <c r="BS5" t="e">
        <f t="shared" si="0"/>
        <v>#DIV/0!</v>
      </c>
      <c r="BT5" t="e">
        <f t="shared" si="0"/>
        <v>#DIV/0!</v>
      </c>
      <c r="BU5" t="e">
        <f t="shared" si="0"/>
        <v>#DIV/0!</v>
      </c>
      <c r="BV5" t="e">
        <f t="shared" si="0"/>
        <v>#DIV/0!</v>
      </c>
      <c r="BW5" t="e">
        <f t="shared" si="0"/>
        <v>#DIV/0!</v>
      </c>
      <c r="BX5" t="e">
        <f t="shared" si="0"/>
        <v>#DIV/0!</v>
      </c>
      <c r="BY5" t="e">
        <f t="shared" si="0"/>
        <v>#DIV/0!</v>
      </c>
      <c r="BZ5" t="e">
        <f t="shared" si="0"/>
        <v>#DIV/0!</v>
      </c>
      <c r="CA5">
        <f t="shared" ref="CA5:CP16" si="1">AVERAGE(S5:AB5)</f>
        <v>6</v>
      </c>
      <c r="CB5">
        <f t="shared" si="1"/>
        <v>3</v>
      </c>
      <c r="CC5">
        <f t="shared" si="1"/>
        <v>5.666666666666667</v>
      </c>
      <c r="CD5">
        <f t="shared" si="1"/>
        <v>5</v>
      </c>
      <c r="CE5">
        <f t="shared" si="1"/>
        <v>5</v>
      </c>
      <c r="CF5">
        <f t="shared" si="1"/>
        <v>5</v>
      </c>
      <c r="CG5">
        <f t="shared" si="1"/>
        <v>4.5</v>
      </c>
      <c r="CH5">
        <f t="shared" si="1"/>
        <v>4.5</v>
      </c>
      <c r="CI5">
        <f t="shared" si="1"/>
        <v>4.5</v>
      </c>
      <c r="CJ5">
        <f t="shared" si="1"/>
        <v>4.5</v>
      </c>
      <c r="CK5">
        <f t="shared" si="1"/>
        <v>4.2</v>
      </c>
      <c r="CL5">
        <f t="shared" si="1"/>
        <v>5.25</v>
      </c>
      <c r="CM5">
        <f t="shared" si="1"/>
        <v>3.3333333333333335</v>
      </c>
      <c r="CN5">
        <f t="shared" si="1"/>
        <v>3.5</v>
      </c>
      <c r="CO5">
        <f t="shared" si="1"/>
        <v>2</v>
      </c>
      <c r="CP5">
        <f t="shared" si="1"/>
        <v>2</v>
      </c>
      <c r="CQ5" t="e">
        <f t="shared" ref="CQ5:DD16" si="2">AVERAGE(AI5:AR5)</f>
        <v>#DIV/0!</v>
      </c>
      <c r="CR5" t="e">
        <f t="shared" si="2"/>
        <v>#DIV/0!</v>
      </c>
      <c r="CS5" t="e">
        <f t="shared" si="2"/>
        <v>#DIV/0!</v>
      </c>
      <c r="CT5" t="e">
        <f t="shared" si="2"/>
        <v>#DIV/0!</v>
      </c>
      <c r="CU5" t="e">
        <f t="shared" si="2"/>
        <v>#DIV/0!</v>
      </c>
      <c r="CV5" t="e">
        <f t="shared" si="2"/>
        <v>#DIV/0!</v>
      </c>
      <c r="CW5" t="e">
        <f t="shared" si="2"/>
        <v>#DIV/0!</v>
      </c>
      <c r="CX5" t="e">
        <f t="shared" si="2"/>
        <v>#DIV/0!</v>
      </c>
      <c r="CY5" t="e">
        <f t="shared" si="2"/>
        <v>#DIV/0!</v>
      </c>
      <c r="CZ5" t="e">
        <f t="shared" si="2"/>
        <v>#DIV/0!</v>
      </c>
      <c r="DA5" t="e">
        <f t="shared" si="2"/>
        <v>#N/A</v>
      </c>
      <c r="DB5" t="e">
        <f t="shared" si="2"/>
        <v>#N/A</v>
      </c>
      <c r="DC5" t="e">
        <f t="shared" si="2"/>
        <v>#N/A</v>
      </c>
      <c r="DD5" t="e">
        <f t="shared" si="2"/>
        <v>#N/A</v>
      </c>
      <c r="XFD5" s="10" t="s">
        <v>70</v>
      </c>
    </row>
    <row r="6" spans="1:108 16384:16384" ht="20" customHeight="1" x14ac:dyDescent="0.2">
      <c r="A6" s="7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5"/>
      <c r="W6" s="15"/>
      <c r="X6" s="15"/>
      <c r="Y6" s="15"/>
      <c r="Z6" s="15"/>
      <c r="AA6" s="15"/>
      <c r="AB6" s="15">
        <f>(1+1+2+2+2)</f>
        <v>8</v>
      </c>
      <c r="AC6" s="15">
        <f>(1)+(1+2+1)</f>
        <v>5</v>
      </c>
      <c r="AD6" s="111">
        <f>(2)</f>
        <v>2</v>
      </c>
      <c r="AE6" s="124">
        <f>(2+1+1)</f>
        <v>4</v>
      </c>
      <c r="AF6" s="160">
        <f>(2+1+2+1)</f>
        <v>6</v>
      </c>
      <c r="AG6" s="160"/>
      <c r="AH6" s="160">
        <f>(1)</f>
        <v>1</v>
      </c>
      <c r="AI6" s="160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f t="shared" ref="BJ6:BJ16" si="3">AVERAGE(B6:K6)</f>
        <v>#DIV/0!</v>
      </c>
      <c r="BK6" t="e">
        <f t="shared" si="0"/>
        <v>#DIV/0!</v>
      </c>
      <c r="BL6" t="e">
        <f t="shared" si="0"/>
        <v>#DIV/0!</v>
      </c>
      <c r="BM6" t="e">
        <f t="shared" si="0"/>
        <v>#DIV/0!</v>
      </c>
      <c r="BN6" t="e">
        <f t="shared" si="0"/>
        <v>#DIV/0!</v>
      </c>
      <c r="BO6" t="e">
        <f t="shared" si="0"/>
        <v>#DIV/0!</v>
      </c>
      <c r="BP6" t="e">
        <f t="shared" si="0"/>
        <v>#DIV/0!</v>
      </c>
      <c r="BQ6" t="e">
        <f t="shared" si="0"/>
        <v>#DIV/0!</v>
      </c>
      <c r="BR6" t="e">
        <f t="shared" si="0"/>
        <v>#DIV/0!</v>
      </c>
      <c r="BS6" t="e">
        <f t="shared" si="0"/>
        <v>#DIV/0!</v>
      </c>
      <c r="BT6" t="e">
        <f t="shared" si="0"/>
        <v>#DIV/0!</v>
      </c>
      <c r="BU6" t="e">
        <f t="shared" si="0"/>
        <v>#DIV/0!</v>
      </c>
      <c r="BV6" t="e">
        <f t="shared" si="0"/>
        <v>#DIV/0!</v>
      </c>
      <c r="BW6" t="e">
        <f t="shared" si="0"/>
        <v>#DIV/0!</v>
      </c>
      <c r="BX6" t="e">
        <f t="shared" si="0"/>
        <v>#DIV/0!</v>
      </c>
      <c r="BY6" t="e">
        <f t="shared" si="0"/>
        <v>#DIV/0!</v>
      </c>
      <c r="BZ6" t="e">
        <f t="shared" si="0"/>
        <v>#DIV/0!</v>
      </c>
      <c r="CA6">
        <f t="shared" si="1"/>
        <v>8</v>
      </c>
      <c r="CB6">
        <f t="shared" si="1"/>
        <v>6.5</v>
      </c>
      <c r="CC6">
        <f t="shared" si="1"/>
        <v>5</v>
      </c>
      <c r="CD6">
        <f t="shared" si="1"/>
        <v>4.75</v>
      </c>
      <c r="CE6">
        <f t="shared" si="1"/>
        <v>5</v>
      </c>
      <c r="CF6">
        <f t="shared" si="1"/>
        <v>5</v>
      </c>
      <c r="CG6">
        <f t="shared" si="1"/>
        <v>4.333333333333333</v>
      </c>
      <c r="CH6">
        <f t="shared" si="1"/>
        <v>4.333333333333333</v>
      </c>
      <c r="CI6">
        <f t="shared" si="1"/>
        <v>4.333333333333333</v>
      </c>
      <c r="CJ6">
        <f t="shared" si="1"/>
        <v>4.333333333333333</v>
      </c>
      <c r="CK6">
        <f t="shared" si="1"/>
        <v>3.6</v>
      </c>
      <c r="CL6">
        <f t="shared" si="1"/>
        <v>3.25</v>
      </c>
      <c r="CM6">
        <f t="shared" si="1"/>
        <v>3.6666666666666665</v>
      </c>
      <c r="CN6">
        <f t="shared" si="1"/>
        <v>3.5</v>
      </c>
      <c r="CO6">
        <f t="shared" si="1"/>
        <v>1</v>
      </c>
      <c r="CP6">
        <f t="shared" si="1"/>
        <v>1</v>
      </c>
      <c r="CQ6" t="e">
        <f t="shared" si="2"/>
        <v>#DIV/0!</v>
      </c>
      <c r="CR6" t="e">
        <f t="shared" si="2"/>
        <v>#DIV/0!</v>
      </c>
      <c r="CS6" t="e">
        <f t="shared" si="2"/>
        <v>#DIV/0!</v>
      </c>
      <c r="CT6" t="e">
        <f t="shared" si="2"/>
        <v>#DIV/0!</v>
      </c>
      <c r="CU6" t="e">
        <f t="shared" si="2"/>
        <v>#DIV/0!</v>
      </c>
      <c r="CV6" t="e">
        <f t="shared" si="2"/>
        <v>#DIV/0!</v>
      </c>
      <c r="CW6" t="e">
        <f t="shared" si="2"/>
        <v>#DIV/0!</v>
      </c>
      <c r="CX6" t="e">
        <f t="shared" si="2"/>
        <v>#DIV/0!</v>
      </c>
      <c r="CY6" t="e">
        <f t="shared" si="2"/>
        <v>#DIV/0!</v>
      </c>
      <c r="CZ6" t="e">
        <f t="shared" si="2"/>
        <v>#N/A</v>
      </c>
      <c r="DA6" t="e">
        <f t="shared" si="2"/>
        <v>#N/A</v>
      </c>
      <c r="DB6" t="e">
        <f t="shared" si="2"/>
        <v>#N/A</v>
      </c>
      <c r="DC6" t="e">
        <f t="shared" si="2"/>
        <v>#N/A</v>
      </c>
      <c r="DD6" t="e">
        <f t="shared" si="2"/>
        <v>#N/A</v>
      </c>
    </row>
    <row r="7" spans="1:108 16384:16384" s="10" customFormat="1" ht="20" customHeight="1" x14ac:dyDescent="0.2">
      <c r="A7" s="9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7"/>
      <c r="W7" s="17"/>
      <c r="X7" s="17"/>
      <c r="Y7" s="17"/>
      <c r="Z7" s="17"/>
      <c r="AA7" s="17"/>
      <c r="AB7" s="17">
        <f>(2)</f>
        <v>2</v>
      </c>
      <c r="AC7" s="17">
        <f>(2+1+1)</f>
        <v>4</v>
      </c>
      <c r="AD7" s="112">
        <f>(1+2+2)</f>
        <v>5</v>
      </c>
      <c r="AE7" s="10">
        <f>(2+2+2+1+1+3+2+2)</f>
        <v>15</v>
      </c>
      <c r="AF7" s="112">
        <f>(3+1+1)</f>
        <v>5</v>
      </c>
      <c r="AG7" s="112"/>
      <c r="AH7" s="112"/>
      <c r="AI7" s="112">
        <f>(1)</f>
        <v>1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f t="shared" si="3"/>
        <v>#DIV/0!</v>
      </c>
      <c r="BK7" t="e">
        <f t="shared" si="0"/>
        <v>#DIV/0!</v>
      </c>
      <c r="BL7" t="e">
        <f t="shared" si="0"/>
        <v>#DIV/0!</v>
      </c>
      <c r="BM7" t="e">
        <f t="shared" si="0"/>
        <v>#DIV/0!</v>
      </c>
      <c r="BN7" t="e">
        <f t="shared" si="0"/>
        <v>#DIV/0!</v>
      </c>
      <c r="BO7" t="e">
        <f t="shared" si="0"/>
        <v>#DIV/0!</v>
      </c>
      <c r="BP7" t="e">
        <f t="shared" si="0"/>
        <v>#DIV/0!</v>
      </c>
      <c r="BQ7" t="e">
        <f t="shared" si="0"/>
        <v>#DIV/0!</v>
      </c>
      <c r="BR7" t="e">
        <f t="shared" si="0"/>
        <v>#DIV/0!</v>
      </c>
      <c r="BS7" t="e">
        <f t="shared" si="0"/>
        <v>#DIV/0!</v>
      </c>
      <c r="BT7" t="e">
        <f t="shared" si="0"/>
        <v>#DIV/0!</v>
      </c>
      <c r="BU7" t="e">
        <f t="shared" si="0"/>
        <v>#DIV/0!</v>
      </c>
      <c r="BV7" t="e">
        <f t="shared" si="0"/>
        <v>#DIV/0!</v>
      </c>
      <c r="BW7" t="e">
        <f t="shared" si="0"/>
        <v>#DIV/0!</v>
      </c>
      <c r="BX7" t="e">
        <f>AVERAGE(P7:Y7)</f>
        <v>#DIV/0!</v>
      </c>
      <c r="BY7" t="e">
        <f t="shared" si="0"/>
        <v>#DIV/0!</v>
      </c>
      <c r="BZ7" t="e">
        <f t="shared" si="0"/>
        <v>#DIV/0!</v>
      </c>
      <c r="CA7">
        <f t="shared" si="1"/>
        <v>2</v>
      </c>
      <c r="CB7">
        <f t="shared" si="1"/>
        <v>3</v>
      </c>
      <c r="CC7">
        <f t="shared" si="1"/>
        <v>3.6666666666666665</v>
      </c>
      <c r="CD7">
        <f t="shared" si="1"/>
        <v>6.5</v>
      </c>
      <c r="CE7">
        <f>AVERAGE(W7:AF7)</f>
        <v>6.2</v>
      </c>
      <c r="CF7">
        <f t="shared" si="1"/>
        <v>6.2</v>
      </c>
      <c r="CG7">
        <f t="shared" si="1"/>
        <v>6.2</v>
      </c>
      <c r="CH7">
        <f t="shared" si="1"/>
        <v>5.333333333333333</v>
      </c>
      <c r="CI7">
        <f t="shared" si="1"/>
        <v>5.333333333333333</v>
      </c>
      <c r="CJ7">
        <f t="shared" si="1"/>
        <v>5.333333333333333</v>
      </c>
      <c r="CK7">
        <f t="shared" si="1"/>
        <v>6</v>
      </c>
      <c r="CL7">
        <f t="shared" si="1"/>
        <v>6.5</v>
      </c>
      <c r="CM7">
        <f t="shared" si="1"/>
        <v>7</v>
      </c>
      <c r="CN7">
        <f t="shared" si="1"/>
        <v>3</v>
      </c>
      <c r="CO7">
        <f t="shared" si="1"/>
        <v>1</v>
      </c>
      <c r="CP7">
        <f t="shared" si="1"/>
        <v>1</v>
      </c>
      <c r="CQ7">
        <f t="shared" si="2"/>
        <v>1</v>
      </c>
      <c r="CR7" t="e">
        <f t="shared" si="2"/>
        <v>#DIV/0!</v>
      </c>
      <c r="CS7" t="e">
        <f t="shared" si="2"/>
        <v>#DIV/0!</v>
      </c>
      <c r="CT7" t="e">
        <f t="shared" si="2"/>
        <v>#DIV/0!</v>
      </c>
      <c r="CU7" t="e">
        <f t="shared" si="2"/>
        <v>#DIV/0!</v>
      </c>
      <c r="CV7" t="e">
        <f t="shared" si="2"/>
        <v>#DIV/0!</v>
      </c>
      <c r="CW7" t="e">
        <f t="shared" si="2"/>
        <v>#DIV/0!</v>
      </c>
      <c r="CX7" t="e">
        <f t="shared" si="2"/>
        <v>#DIV/0!</v>
      </c>
      <c r="CY7" t="e">
        <f t="shared" si="2"/>
        <v>#DIV/0!</v>
      </c>
      <c r="CZ7" t="e">
        <f t="shared" si="2"/>
        <v>#N/A</v>
      </c>
      <c r="DA7" t="e">
        <f t="shared" si="2"/>
        <v>#N/A</v>
      </c>
      <c r="DB7" t="e">
        <f t="shared" si="2"/>
        <v>#N/A</v>
      </c>
      <c r="DC7" t="e">
        <f t="shared" si="2"/>
        <v>#N/A</v>
      </c>
      <c r="DD7" t="e">
        <f t="shared" si="2"/>
        <v>#N/A</v>
      </c>
    </row>
    <row r="8" spans="1:108 16384:16384" ht="20" customHeight="1" x14ac:dyDescent="0.2">
      <c r="A8" s="7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5"/>
      <c r="W8" s="15"/>
      <c r="X8" s="15"/>
      <c r="Y8" s="15"/>
      <c r="Z8" s="15"/>
      <c r="AA8" s="15"/>
      <c r="AB8" s="15">
        <f>(2+1+1+1)</f>
        <v>5</v>
      </c>
      <c r="AC8" s="15">
        <f>(2+5+1+1+2+4+2+2)+(2+2+8+7)</f>
        <v>38</v>
      </c>
      <c r="AD8" s="111">
        <f>(1+1+2)</f>
        <v>4</v>
      </c>
      <c r="AE8" s="124">
        <f>(1+1+3)+(1+2)</f>
        <v>8</v>
      </c>
      <c r="AF8" s="160">
        <f>(1+1+3+2)</f>
        <v>7</v>
      </c>
      <c r="AG8" s="160"/>
      <c r="AH8" s="160"/>
      <c r="AI8" s="160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f t="shared" si="3"/>
        <v>#DIV/0!</v>
      </c>
      <c r="BK8" t="e">
        <f t="shared" si="0"/>
        <v>#DIV/0!</v>
      </c>
      <c r="BL8" t="e">
        <f t="shared" si="0"/>
        <v>#DIV/0!</v>
      </c>
      <c r="BM8" t="e">
        <f t="shared" si="0"/>
        <v>#DIV/0!</v>
      </c>
      <c r="BN8" t="e">
        <f t="shared" si="0"/>
        <v>#DIV/0!</v>
      </c>
      <c r="BO8" t="e">
        <f t="shared" si="0"/>
        <v>#DIV/0!</v>
      </c>
      <c r="BP8" t="e">
        <f t="shared" si="0"/>
        <v>#DIV/0!</v>
      </c>
      <c r="BQ8" t="e">
        <f t="shared" si="0"/>
        <v>#DIV/0!</v>
      </c>
      <c r="BR8" t="e">
        <f t="shared" si="0"/>
        <v>#DIV/0!</v>
      </c>
      <c r="BS8" t="e">
        <f t="shared" si="0"/>
        <v>#DIV/0!</v>
      </c>
      <c r="BT8" t="e">
        <f>AVERAGE(L8:U8)</f>
        <v>#DIV/0!</v>
      </c>
      <c r="BU8" t="e">
        <f t="shared" si="0"/>
        <v>#DIV/0!</v>
      </c>
      <c r="BV8" t="e">
        <f t="shared" si="0"/>
        <v>#DIV/0!</v>
      </c>
      <c r="BW8" t="e">
        <f t="shared" si="0"/>
        <v>#DIV/0!</v>
      </c>
      <c r="BX8" t="e">
        <f t="shared" si="0"/>
        <v>#DIV/0!</v>
      </c>
      <c r="BY8" t="e">
        <f t="shared" si="0"/>
        <v>#DIV/0!</v>
      </c>
      <c r="BZ8" t="e">
        <f t="shared" si="0"/>
        <v>#DIV/0!</v>
      </c>
      <c r="CA8">
        <f t="shared" si="1"/>
        <v>5</v>
      </c>
      <c r="CB8">
        <f t="shared" si="1"/>
        <v>21.5</v>
      </c>
      <c r="CC8">
        <f t="shared" si="1"/>
        <v>15.666666666666666</v>
      </c>
      <c r="CD8">
        <f t="shared" si="1"/>
        <v>13.75</v>
      </c>
      <c r="CE8">
        <f t="shared" si="1"/>
        <v>12.4</v>
      </c>
      <c r="CF8">
        <f t="shared" si="1"/>
        <v>12.4</v>
      </c>
      <c r="CG8">
        <f t="shared" si="1"/>
        <v>12.4</v>
      </c>
      <c r="CH8">
        <f t="shared" si="1"/>
        <v>12.4</v>
      </c>
      <c r="CI8">
        <f t="shared" si="1"/>
        <v>12.4</v>
      </c>
      <c r="CJ8">
        <f t="shared" si="1"/>
        <v>12.4</v>
      </c>
      <c r="CK8">
        <f t="shared" si="1"/>
        <v>14.25</v>
      </c>
      <c r="CL8">
        <f t="shared" si="1"/>
        <v>6.333333333333333</v>
      </c>
      <c r="CM8">
        <f t="shared" si="1"/>
        <v>7.5</v>
      </c>
      <c r="CN8">
        <f t="shared" si="1"/>
        <v>7</v>
      </c>
      <c r="CO8" t="e">
        <f t="shared" si="1"/>
        <v>#DIV/0!</v>
      </c>
      <c r="CP8" t="e">
        <f t="shared" si="1"/>
        <v>#DIV/0!</v>
      </c>
      <c r="CQ8" t="e">
        <f t="shared" si="2"/>
        <v>#DIV/0!</v>
      </c>
      <c r="CR8" t="e">
        <f t="shared" si="2"/>
        <v>#DIV/0!</v>
      </c>
      <c r="CS8" t="e">
        <f t="shared" si="2"/>
        <v>#DIV/0!</v>
      </c>
      <c r="CT8" t="e">
        <f t="shared" si="2"/>
        <v>#DIV/0!</v>
      </c>
      <c r="CU8" t="e">
        <f t="shared" si="2"/>
        <v>#DIV/0!</v>
      </c>
      <c r="CV8" t="e">
        <f t="shared" si="2"/>
        <v>#DIV/0!</v>
      </c>
      <c r="CW8" t="e">
        <f t="shared" si="2"/>
        <v>#DIV/0!</v>
      </c>
      <c r="CX8" t="e">
        <f t="shared" si="2"/>
        <v>#DIV/0!</v>
      </c>
      <c r="CY8" t="e">
        <f t="shared" si="2"/>
        <v>#DIV/0!</v>
      </c>
      <c r="CZ8" t="e">
        <f t="shared" si="2"/>
        <v>#N/A</v>
      </c>
      <c r="DA8" t="e">
        <f t="shared" si="2"/>
        <v>#N/A</v>
      </c>
      <c r="DB8" t="e">
        <f t="shared" si="2"/>
        <v>#N/A</v>
      </c>
      <c r="DC8" t="e">
        <f t="shared" si="2"/>
        <v>#N/A</v>
      </c>
      <c r="DD8" t="e">
        <f t="shared" si="2"/>
        <v>#N/A</v>
      </c>
    </row>
    <row r="9" spans="1:108 16384:16384" s="10" customFormat="1" ht="20" customHeight="1" x14ac:dyDescent="0.2">
      <c r="A9" s="9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7"/>
      <c r="W9" s="17"/>
      <c r="X9" s="17"/>
      <c r="Y9" s="17"/>
      <c r="Z9" s="17"/>
      <c r="AA9" s="17"/>
      <c r="AB9" s="17">
        <f>(1)+(2+2)</f>
        <v>5</v>
      </c>
      <c r="AC9" s="17">
        <f>(1)</f>
        <v>1</v>
      </c>
      <c r="AD9" s="112">
        <f>(3+1+2+1+4+1+2)+(3+1+1)</f>
        <v>19</v>
      </c>
      <c r="AE9" s="10">
        <f>(2+2+5+9+3+1+2+4)</f>
        <v>28</v>
      </c>
      <c r="AF9" s="112">
        <f>(2+5+1)</f>
        <v>8</v>
      </c>
      <c r="AG9" s="112">
        <f>(2)</f>
        <v>2</v>
      </c>
      <c r="AH9" s="112">
        <f>(2)+(2)+(2)</f>
        <v>6</v>
      </c>
      <c r="AI9" s="112">
        <f>(1)</f>
        <v>1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f t="shared" si="3"/>
        <v>#DIV/0!</v>
      </c>
      <c r="BK9" t="e">
        <f t="shared" si="0"/>
        <v>#DIV/0!</v>
      </c>
      <c r="BL9" t="e">
        <f t="shared" si="0"/>
        <v>#DIV/0!</v>
      </c>
      <c r="BM9" t="e">
        <f t="shared" si="0"/>
        <v>#DIV/0!</v>
      </c>
      <c r="BN9" t="e">
        <f t="shared" si="0"/>
        <v>#DIV/0!</v>
      </c>
      <c r="BO9" t="e">
        <f t="shared" si="0"/>
        <v>#DIV/0!</v>
      </c>
      <c r="BP9" t="e">
        <f t="shared" si="0"/>
        <v>#DIV/0!</v>
      </c>
      <c r="BQ9" t="e">
        <f t="shared" si="0"/>
        <v>#DIV/0!</v>
      </c>
      <c r="BR9" t="e">
        <f t="shared" si="0"/>
        <v>#DIV/0!</v>
      </c>
      <c r="BS9" t="e">
        <f t="shared" si="0"/>
        <v>#DIV/0!</v>
      </c>
      <c r="BT9" t="e">
        <f t="shared" si="0"/>
        <v>#DIV/0!</v>
      </c>
      <c r="BU9" t="e">
        <f t="shared" si="0"/>
        <v>#DIV/0!</v>
      </c>
      <c r="BV9" t="e">
        <f t="shared" si="0"/>
        <v>#DIV/0!</v>
      </c>
      <c r="BW9" t="e">
        <f t="shared" si="0"/>
        <v>#DIV/0!</v>
      </c>
      <c r="BX9" t="e">
        <f t="shared" si="0"/>
        <v>#DIV/0!</v>
      </c>
      <c r="BY9" t="e">
        <f t="shared" si="0"/>
        <v>#DIV/0!</v>
      </c>
      <c r="BZ9" t="e">
        <f t="shared" si="0"/>
        <v>#DIV/0!</v>
      </c>
      <c r="CA9">
        <f t="shared" si="1"/>
        <v>5</v>
      </c>
      <c r="CB9">
        <f t="shared" si="1"/>
        <v>3</v>
      </c>
      <c r="CC9">
        <f t="shared" si="1"/>
        <v>8.3333333333333339</v>
      </c>
      <c r="CD9">
        <f t="shared" si="1"/>
        <v>13.25</v>
      </c>
      <c r="CE9">
        <f t="shared" si="1"/>
        <v>12.2</v>
      </c>
      <c r="CF9">
        <f t="shared" si="1"/>
        <v>10.5</v>
      </c>
      <c r="CG9">
        <f t="shared" si="1"/>
        <v>9.8571428571428577</v>
      </c>
      <c r="CH9">
        <f t="shared" si="1"/>
        <v>8.75</v>
      </c>
      <c r="CI9">
        <f t="shared" si="1"/>
        <v>8.75</v>
      </c>
      <c r="CJ9">
        <f t="shared" si="1"/>
        <v>8.75</v>
      </c>
      <c r="CK9">
        <f t="shared" si="1"/>
        <v>9.2857142857142865</v>
      </c>
      <c r="CL9">
        <f t="shared" si="1"/>
        <v>10.666666666666666</v>
      </c>
      <c r="CM9">
        <f t="shared" si="1"/>
        <v>9</v>
      </c>
      <c r="CN9">
        <f t="shared" si="1"/>
        <v>4.25</v>
      </c>
      <c r="CO9">
        <f t="shared" si="1"/>
        <v>3</v>
      </c>
      <c r="CP9">
        <f t="shared" si="1"/>
        <v>3.5</v>
      </c>
      <c r="CQ9">
        <f t="shared" si="2"/>
        <v>1</v>
      </c>
      <c r="CR9" t="e">
        <f t="shared" si="2"/>
        <v>#DIV/0!</v>
      </c>
      <c r="CS9" t="e">
        <f t="shared" si="2"/>
        <v>#DIV/0!</v>
      </c>
      <c r="CT9" t="e">
        <f t="shared" si="2"/>
        <v>#DIV/0!</v>
      </c>
      <c r="CU9" t="e">
        <f t="shared" si="2"/>
        <v>#DIV/0!</v>
      </c>
      <c r="CV9" t="e">
        <f t="shared" si="2"/>
        <v>#DIV/0!</v>
      </c>
      <c r="CW9" t="e">
        <f t="shared" si="2"/>
        <v>#DIV/0!</v>
      </c>
      <c r="CX9" t="e">
        <f t="shared" si="2"/>
        <v>#DIV/0!</v>
      </c>
      <c r="CY9" t="e">
        <f t="shared" si="2"/>
        <v>#DIV/0!</v>
      </c>
      <c r="CZ9" t="e">
        <f t="shared" si="2"/>
        <v>#N/A</v>
      </c>
      <c r="DA9" t="e">
        <f t="shared" si="2"/>
        <v>#N/A</v>
      </c>
      <c r="DB9" t="e">
        <f t="shared" si="2"/>
        <v>#N/A</v>
      </c>
      <c r="DC9" t="e">
        <f t="shared" si="2"/>
        <v>#N/A</v>
      </c>
      <c r="DD9" t="e">
        <f t="shared" si="2"/>
        <v>#N/A</v>
      </c>
    </row>
    <row r="10" spans="1:108 16384:16384" ht="20" customHeight="1" x14ac:dyDescent="0.2">
      <c r="A10" s="7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5"/>
      <c r="W10" s="15"/>
      <c r="X10" s="15"/>
      <c r="Y10" s="15"/>
      <c r="Z10" s="15"/>
      <c r="AA10" s="15"/>
      <c r="AB10" s="15">
        <f>(2+2)</f>
        <v>4</v>
      </c>
      <c r="AC10" s="15">
        <f>(1+2+3+3+2+1)</f>
        <v>12</v>
      </c>
      <c r="AD10" s="111">
        <f>(1+2+1+1+2+6+1+1+1+7+1+1+1+7+2+1)</f>
        <v>36</v>
      </c>
      <c r="AE10" s="124">
        <f>(1+2+2+2+2+2)</f>
        <v>11</v>
      </c>
      <c r="AF10" s="160">
        <f>(2+1)+(3)</f>
        <v>6</v>
      </c>
      <c r="AG10" s="160">
        <f>(3)</f>
        <v>3</v>
      </c>
      <c r="AH10" s="160"/>
      <c r="AI10" s="160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f t="shared" si="3"/>
        <v>#DIV/0!</v>
      </c>
      <c r="BK10" t="e">
        <f t="shared" si="0"/>
        <v>#DIV/0!</v>
      </c>
      <c r="BL10" t="e">
        <f t="shared" si="0"/>
        <v>#DIV/0!</v>
      </c>
      <c r="BM10" t="e">
        <f t="shared" si="0"/>
        <v>#DIV/0!</v>
      </c>
      <c r="BN10" t="e">
        <f t="shared" si="0"/>
        <v>#DIV/0!</v>
      </c>
      <c r="BO10" t="e">
        <f t="shared" si="0"/>
        <v>#DIV/0!</v>
      </c>
      <c r="BP10" t="e">
        <f t="shared" si="0"/>
        <v>#DIV/0!</v>
      </c>
      <c r="BQ10" t="e">
        <f t="shared" si="0"/>
        <v>#DIV/0!</v>
      </c>
      <c r="BR10" t="e">
        <f t="shared" si="0"/>
        <v>#DIV/0!</v>
      </c>
      <c r="BS10" t="e">
        <f t="shared" si="0"/>
        <v>#DIV/0!</v>
      </c>
      <c r="BT10" t="e">
        <f t="shared" si="0"/>
        <v>#DIV/0!</v>
      </c>
      <c r="BU10" t="e">
        <f t="shared" si="0"/>
        <v>#DIV/0!</v>
      </c>
      <c r="BV10" t="e">
        <f t="shared" si="0"/>
        <v>#DIV/0!</v>
      </c>
      <c r="BW10" t="e">
        <f t="shared" si="0"/>
        <v>#DIV/0!</v>
      </c>
      <c r="BX10" t="e">
        <f t="shared" si="0"/>
        <v>#DIV/0!</v>
      </c>
      <c r="BY10" t="e">
        <f t="shared" si="0"/>
        <v>#DIV/0!</v>
      </c>
      <c r="BZ10" t="e">
        <f t="shared" si="0"/>
        <v>#DIV/0!</v>
      </c>
      <c r="CA10">
        <f t="shared" si="1"/>
        <v>4</v>
      </c>
      <c r="CB10">
        <f t="shared" si="1"/>
        <v>8</v>
      </c>
      <c r="CC10">
        <f t="shared" si="1"/>
        <v>17.333333333333332</v>
      </c>
      <c r="CD10">
        <f t="shared" si="1"/>
        <v>15.75</v>
      </c>
      <c r="CE10">
        <f t="shared" si="1"/>
        <v>13.8</v>
      </c>
      <c r="CF10">
        <f t="shared" si="1"/>
        <v>12</v>
      </c>
      <c r="CG10">
        <f t="shared" si="1"/>
        <v>12</v>
      </c>
      <c r="CH10">
        <f t="shared" si="1"/>
        <v>12</v>
      </c>
      <c r="CI10">
        <f t="shared" si="1"/>
        <v>12</v>
      </c>
      <c r="CJ10">
        <f t="shared" si="1"/>
        <v>12</v>
      </c>
      <c r="CK10">
        <f t="shared" si="1"/>
        <v>13.6</v>
      </c>
      <c r="CL10">
        <f t="shared" si="1"/>
        <v>14</v>
      </c>
      <c r="CM10">
        <f t="shared" si="1"/>
        <v>6.666666666666667</v>
      </c>
      <c r="CN10">
        <f t="shared" si="1"/>
        <v>4.5</v>
      </c>
      <c r="CO10">
        <f t="shared" si="1"/>
        <v>3</v>
      </c>
      <c r="CP10" t="e">
        <f t="shared" si="1"/>
        <v>#DIV/0!</v>
      </c>
      <c r="CQ10" t="e">
        <f t="shared" si="2"/>
        <v>#DIV/0!</v>
      </c>
      <c r="CR10" t="e">
        <f t="shared" si="2"/>
        <v>#DIV/0!</v>
      </c>
      <c r="CS10" t="e">
        <f t="shared" si="2"/>
        <v>#DIV/0!</v>
      </c>
      <c r="CT10" t="e">
        <f t="shared" si="2"/>
        <v>#DIV/0!</v>
      </c>
      <c r="CU10" t="e">
        <f t="shared" si="2"/>
        <v>#DIV/0!</v>
      </c>
      <c r="CV10" t="e">
        <f t="shared" si="2"/>
        <v>#DIV/0!</v>
      </c>
      <c r="CW10" t="e">
        <f t="shared" si="2"/>
        <v>#DIV/0!</v>
      </c>
      <c r="CX10" t="e">
        <f t="shared" si="2"/>
        <v>#DIV/0!</v>
      </c>
      <c r="CY10" t="e">
        <f t="shared" si="2"/>
        <v>#DIV/0!</v>
      </c>
      <c r="CZ10" t="e">
        <f t="shared" si="2"/>
        <v>#N/A</v>
      </c>
      <c r="DA10" t="e">
        <f t="shared" si="2"/>
        <v>#N/A</v>
      </c>
      <c r="DB10" t="e">
        <f t="shared" si="2"/>
        <v>#N/A</v>
      </c>
      <c r="DC10" t="e">
        <f t="shared" si="2"/>
        <v>#N/A</v>
      </c>
      <c r="DD10" t="e">
        <f t="shared" si="2"/>
        <v>#N/A</v>
      </c>
    </row>
    <row r="11" spans="1:108 16384:16384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  <c r="V11" s="17"/>
      <c r="W11" s="17"/>
      <c r="X11" s="17"/>
      <c r="Y11" s="17"/>
      <c r="Z11" s="17"/>
      <c r="AA11" s="17"/>
      <c r="AB11" s="17">
        <f>(4+2+4+2+1+2+1)</f>
        <v>16</v>
      </c>
      <c r="AC11" s="17">
        <f>(2+3+2+1)</f>
        <v>8</v>
      </c>
      <c r="AD11" s="112">
        <f>(1+2+2+2+1+2+1+2)</f>
        <v>13</v>
      </c>
      <c r="AE11" s="10">
        <f>(1+4+2)+(4+4+2+2+1+3+1+2+4)</f>
        <v>30</v>
      </c>
      <c r="AF11" s="112">
        <f>(2)+(1)+(3)</f>
        <v>6</v>
      </c>
      <c r="AG11" s="112"/>
      <c r="AH11" s="112"/>
      <c r="AI11" s="112">
        <f>(2)+(3)</f>
        <v>5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f t="shared" si="3"/>
        <v>#DIV/0!</v>
      </c>
      <c r="BK11" t="e">
        <f t="shared" si="0"/>
        <v>#DIV/0!</v>
      </c>
      <c r="BL11" t="e">
        <f t="shared" si="0"/>
        <v>#DIV/0!</v>
      </c>
      <c r="BM11" t="e">
        <f t="shared" si="0"/>
        <v>#DIV/0!</v>
      </c>
      <c r="BN11" t="e">
        <f t="shared" si="0"/>
        <v>#DIV/0!</v>
      </c>
      <c r="BO11" t="e">
        <f t="shared" si="0"/>
        <v>#DIV/0!</v>
      </c>
      <c r="BP11" t="e">
        <f t="shared" si="0"/>
        <v>#DIV/0!</v>
      </c>
      <c r="BQ11" t="e">
        <f t="shared" si="0"/>
        <v>#DIV/0!</v>
      </c>
      <c r="BR11" t="e">
        <f t="shared" si="0"/>
        <v>#DIV/0!</v>
      </c>
      <c r="BS11" t="e">
        <f t="shared" si="0"/>
        <v>#DIV/0!</v>
      </c>
      <c r="BT11" t="e">
        <f t="shared" si="0"/>
        <v>#DIV/0!</v>
      </c>
      <c r="BU11" t="e">
        <f t="shared" si="0"/>
        <v>#DIV/0!</v>
      </c>
      <c r="BV11" t="e">
        <f t="shared" si="0"/>
        <v>#DIV/0!</v>
      </c>
      <c r="BW11" t="e">
        <f t="shared" si="0"/>
        <v>#DIV/0!</v>
      </c>
      <c r="BX11" t="e">
        <f t="shared" si="0"/>
        <v>#DIV/0!</v>
      </c>
      <c r="BY11" t="e">
        <f t="shared" si="0"/>
        <v>#DIV/0!</v>
      </c>
      <c r="BZ11" t="e">
        <f t="shared" si="0"/>
        <v>#DIV/0!</v>
      </c>
      <c r="CA11">
        <f t="shared" si="1"/>
        <v>16</v>
      </c>
      <c r="CB11">
        <f t="shared" si="1"/>
        <v>12</v>
      </c>
      <c r="CC11">
        <f t="shared" si="1"/>
        <v>12.333333333333334</v>
      </c>
      <c r="CD11">
        <f t="shared" si="1"/>
        <v>16.75</v>
      </c>
      <c r="CE11">
        <f t="shared" si="1"/>
        <v>14.6</v>
      </c>
      <c r="CF11">
        <f t="shared" si="1"/>
        <v>14.6</v>
      </c>
      <c r="CG11">
        <f t="shared" si="1"/>
        <v>14.6</v>
      </c>
      <c r="CH11">
        <f t="shared" si="1"/>
        <v>13</v>
      </c>
      <c r="CI11">
        <f t="shared" si="1"/>
        <v>13</v>
      </c>
      <c r="CJ11">
        <f t="shared" si="1"/>
        <v>13</v>
      </c>
      <c r="CK11">
        <f t="shared" si="1"/>
        <v>12.4</v>
      </c>
      <c r="CL11">
        <f t="shared" si="1"/>
        <v>13.5</v>
      </c>
      <c r="CM11">
        <f t="shared" si="1"/>
        <v>13.666666666666666</v>
      </c>
      <c r="CN11">
        <f t="shared" si="1"/>
        <v>5.5</v>
      </c>
      <c r="CO11">
        <f t="shared" si="1"/>
        <v>5</v>
      </c>
      <c r="CP11">
        <f t="shared" si="1"/>
        <v>5</v>
      </c>
      <c r="CQ11">
        <f t="shared" si="2"/>
        <v>5</v>
      </c>
      <c r="CR11" t="e">
        <f t="shared" si="2"/>
        <v>#DIV/0!</v>
      </c>
      <c r="CS11" t="e">
        <f t="shared" si="2"/>
        <v>#DIV/0!</v>
      </c>
      <c r="CT11" t="e">
        <f t="shared" si="2"/>
        <v>#DIV/0!</v>
      </c>
      <c r="CU11" t="e">
        <f t="shared" si="2"/>
        <v>#DIV/0!</v>
      </c>
      <c r="CV11" t="e">
        <f t="shared" si="2"/>
        <v>#DIV/0!</v>
      </c>
      <c r="CW11" t="e">
        <f t="shared" si="2"/>
        <v>#DIV/0!</v>
      </c>
      <c r="CX11" t="e">
        <f t="shared" si="2"/>
        <v>#DIV/0!</v>
      </c>
      <c r="CY11" t="e">
        <f t="shared" si="2"/>
        <v>#DIV/0!</v>
      </c>
      <c r="CZ11" t="e">
        <f t="shared" si="2"/>
        <v>#N/A</v>
      </c>
      <c r="DA11" t="e">
        <f t="shared" si="2"/>
        <v>#N/A</v>
      </c>
      <c r="DB11" t="e">
        <f t="shared" si="2"/>
        <v>#N/A</v>
      </c>
      <c r="DC11" t="e">
        <f t="shared" si="2"/>
        <v>#N/A</v>
      </c>
      <c r="DD11" t="e">
        <f t="shared" si="2"/>
        <v>#N/A</v>
      </c>
    </row>
    <row r="12" spans="1:108 16384:16384" ht="20" customHeight="1" x14ac:dyDescent="0.2">
      <c r="A12" s="7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5"/>
      <c r="W12" s="15"/>
      <c r="X12" s="15"/>
      <c r="Y12" s="15"/>
      <c r="Z12" s="15"/>
      <c r="AA12" s="15"/>
      <c r="AB12" s="15">
        <f>(2+2+12+3+3+2)+(2+2+3+1)</f>
        <v>32</v>
      </c>
      <c r="AC12" s="15">
        <f>(2+3+1+2)+(2+4)</f>
        <v>14</v>
      </c>
      <c r="AD12" s="111">
        <f>(2+3+1+1+2+2+1+2+3+1)</f>
        <v>18</v>
      </c>
      <c r="AE12" s="124">
        <f>(3+2+1)</f>
        <v>6</v>
      </c>
      <c r="AF12" s="160"/>
      <c r="AG12" s="160">
        <f>(1+2)</f>
        <v>3</v>
      </c>
      <c r="AH12" s="160">
        <f>(1)</f>
        <v>1</v>
      </c>
      <c r="AI12" s="160">
        <f>(2)</f>
        <v>2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f t="shared" si="3"/>
        <v>#DIV/0!</v>
      </c>
      <c r="BK12" t="e">
        <f t="shared" si="0"/>
        <v>#DIV/0!</v>
      </c>
      <c r="BL12" t="e">
        <f t="shared" si="0"/>
        <v>#DIV/0!</v>
      </c>
      <c r="BM12" t="e">
        <f t="shared" si="0"/>
        <v>#DIV/0!</v>
      </c>
      <c r="BN12" t="e">
        <f t="shared" si="0"/>
        <v>#DIV/0!</v>
      </c>
      <c r="BO12" t="e">
        <f t="shared" si="0"/>
        <v>#DIV/0!</v>
      </c>
      <c r="BP12" t="e">
        <f t="shared" si="0"/>
        <v>#DIV/0!</v>
      </c>
      <c r="BQ12" t="e">
        <f t="shared" si="0"/>
        <v>#DIV/0!</v>
      </c>
      <c r="BR12" t="e">
        <f t="shared" si="0"/>
        <v>#DIV/0!</v>
      </c>
      <c r="BS12" t="e">
        <f t="shared" si="0"/>
        <v>#DIV/0!</v>
      </c>
      <c r="BT12" t="e">
        <f t="shared" si="0"/>
        <v>#DIV/0!</v>
      </c>
      <c r="BU12" t="e">
        <f t="shared" si="0"/>
        <v>#DIV/0!</v>
      </c>
      <c r="BV12" t="e">
        <f t="shared" si="0"/>
        <v>#DIV/0!</v>
      </c>
      <c r="BW12" t="e">
        <f t="shared" si="0"/>
        <v>#DIV/0!</v>
      </c>
      <c r="BX12" t="e">
        <f t="shared" si="0"/>
        <v>#DIV/0!</v>
      </c>
      <c r="BY12" t="e">
        <f t="shared" si="0"/>
        <v>#DIV/0!</v>
      </c>
      <c r="BZ12" t="e">
        <f t="shared" si="0"/>
        <v>#DIV/0!</v>
      </c>
      <c r="CA12">
        <f t="shared" si="1"/>
        <v>32</v>
      </c>
      <c r="CB12">
        <f t="shared" si="1"/>
        <v>23</v>
      </c>
      <c r="CC12">
        <f t="shared" si="1"/>
        <v>21.333333333333332</v>
      </c>
      <c r="CD12">
        <f t="shared" si="1"/>
        <v>17.5</v>
      </c>
      <c r="CE12">
        <f t="shared" si="1"/>
        <v>17.5</v>
      </c>
      <c r="CF12">
        <f t="shared" si="1"/>
        <v>14.6</v>
      </c>
      <c r="CG12">
        <f t="shared" si="1"/>
        <v>12.333333333333334</v>
      </c>
      <c r="CH12">
        <f t="shared" si="1"/>
        <v>10.857142857142858</v>
      </c>
      <c r="CI12">
        <f t="shared" si="1"/>
        <v>10.857142857142858</v>
      </c>
      <c r="CJ12">
        <f t="shared" si="1"/>
        <v>10.857142857142858</v>
      </c>
      <c r="CK12">
        <f t="shared" si="1"/>
        <v>7.333333333333333</v>
      </c>
      <c r="CL12">
        <f t="shared" si="1"/>
        <v>6</v>
      </c>
      <c r="CM12">
        <f t="shared" si="1"/>
        <v>3</v>
      </c>
      <c r="CN12">
        <f t="shared" si="1"/>
        <v>2</v>
      </c>
      <c r="CO12">
        <f t="shared" si="1"/>
        <v>2</v>
      </c>
      <c r="CP12">
        <f t="shared" si="1"/>
        <v>1.5</v>
      </c>
      <c r="CQ12">
        <f t="shared" si="2"/>
        <v>2</v>
      </c>
      <c r="CR12" t="e">
        <f t="shared" si="2"/>
        <v>#DIV/0!</v>
      </c>
      <c r="CS12" t="e">
        <f t="shared" si="2"/>
        <v>#DIV/0!</v>
      </c>
      <c r="CT12" t="e">
        <f t="shared" si="2"/>
        <v>#DIV/0!</v>
      </c>
      <c r="CU12" t="e">
        <f t="shared" si="2"/>
        <v>#DIV/0!</v>
      </c>
      <c r="CV12" t="e">
        <f t="shared" si="2"/>
        <v>#DIV/0!</v>
      </c>
      <c r="CW12" t="e">
        <f t="shared" si="2"/>
        <v>#DIV/0!</v>
      </c>
      <c r="CX12" t="e">
        <f t="shared" si="2"/>
        <v>#DIV/0!</v>
      </c>
      <c r="CY12" t="e">
        <f t="shared" si="2"/>
        <v>#DIV/0!</v>
      </c>
      <c r="CZ12" t="e">
        <f t="shared" si="2"/>
        <v>#N/A</v>
      </c>
      <c r="DA12" t="e">
        <f t="shared" si="2"/>
        <v>#N/A</v>
      </c>
      <c r="DB12" t="e">
        <f t="shared" si="2"/>
        <v>#N/A</v>
      </c>
      <c r="DC12" t="e">
        <f t="shared" si="2"/>
        <v>#N/A</v>
      </c>
      <c r="DD12" t="e">
        <f t="shared" si="2"/>
        <v>#N/A</v>
      </c>
    </row>
    <row r="13" spans="1:108 16384:16384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17"/>
      <c r="W13" s="17"/>
      <c r="X13" s="17"/>
      <c r="Y13" s="17"/>
      <c r="Z13" s="17"/>
      <c r="AA13" s="17"/>
      <c r="AB13" s="17">
        <f>(1+2+2+3+3+2+4+1+1+1+2+2+2+3+1+2)+(1+1+2)</f>
        <v>36</v>
      </c>
      <c r="AC13" s="17">
        <f>(4+1+2+4+2+2+1)</f>
        <v>16</v>
      </c>
      <c r="AD13" s="112">
        <f>(2)+(1+2+1+2+1+1+1+4+1)</f>
        <v>16</v>
      </c>
      <c r="AE13" s="10">
        <f>(2+3+2+2+1+1+3+1)+(1+3)</f>
        <v>19</v>
      </c>
      <c r="AF13" s="112">
        <f>(1)</f>
        <v>1</v>
      </c>
      <c r="AG13" s="112">
        <f>(1)</f>
        <v>1</v>
      </c>
      <c r="AH13" s="112">
        <f>(1)</f>
        <v>1</v>
      </c>
      <c r="AI13" s="112">
        <f>(2)+(1+1)</f>
        <v>4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f t="shared" si="3"/>
        <v>#DIV/0!</v>
      </c>
      <c r="BK13" t="e">
        <f t="shared" si="0"/>
        <v>#DIV/0!</v>
      </c>
      <c r="BL13" t="e">
        <f t="shared" si="0"/>
        <v>#DIV/0!</v>
      </c>
      <c r="BM13" t="e">
        <f t="shared" si="0"/>
        <v>#DIV/0!</v>
      </c>
      <c r="BN13" t="e">
        <f t="shared" si="0"/>
        <v>#DIV/0!</v>
      </c>
      <c r="BO13" t="e">
        <f t="shared" si="0"/>
        <v>#DIV/0!</v>
      </c>
      <c r="BP13" t="e">
        <f t="shared" si="0"/>
        <v>#DIV/0!</v>
      </c>
      <c r="BQ13" t="e">
        <f t="shared" si="0"/>
        <v>#DIV/0!</v>
      </c>
      <c r="BR13" t="e">
        <f t="shared" si="0"/>
        <v>#DIV/0!</v>
      </c>
      <c r="BS13" t="e">
        <f t="shared" si="0"/>
        <v>#DIV/0!</v>
      </c>
      <c r="BT13" t="e">
        <f t="shared" si="0"/>
        <v>#DIV/0!</v>
      </c>
      <c r="BU13" t="e">
        <f t="shared" si="0"/>
        <v>#DIV/0!</v>
      </c>
      <c r="BV13" t="e">
        <f t="shared" si="0"/>
        <v>#DIV/0!</v>
      </c>
      <c r="BW13" t="e">
        <f t="shared" si="0"/>
        <v>#DIV/0!</v>
      </c>
      <c r="BX13" t="e">
        <f t="shared" si="0"/>
        <v>#DIV/0!</v>
      </c>
      <c r="BY13" t="e">
        <f t="shared" si="0"/>
        <v>#DIV/0!</v>
      </c>
      <c r="BZ13" t="e">
        <f t="shared" si="0"/>
        <v>#DIV/0!</v>
      </c>
      <c r="CA13">
        <f t="shared" si="1"/>
        <v>36</v>
      </c>
      <c r="CB13">
        <f t="shared" si="1"/>
        <v>26</v>
      </c>
      <c r="CC13">
        <f t="shared" si="1"/>
        <v>22.666666666666668</v>
      </c>
      <c r="CD13">
        <f t="shared" si="1"/>
        <v>21.75</v>
      </c>
      <c r="CE13">
        <f t="shared" si="1"/>
        <v>17.600000000000001</v>
      </c>
      <c r="CF13">
        <f t="shared" si="1"/>
        <v>14.833333333333334</v>
      </c>
      <c r="CG13">
        <f t="shared" si="1"/>
        <v>12.857142857142858</v>
      </c>
      <c r="CH13">
        <f t="shared" si="1"/>
        <v>11.75</v>
      </c>
      <c r="CI13">
        <f t="shared" si="1"/>
        <v>11.75</v>
      </c>
      <c r="CJ13">
        <f t="shared" si="1"/>
        <v>11.75</v>
      </c>
      <c r="CK13">
        <f t="shared" si="1"/>
        <v>8.2857142857142865</v>
      </c>
      <c r="CL13">
        <f t="shared" si="1"/>
        <v>7</v>
      </c>
      <c r="CM13">
        <f t="shared" si="1"/>
        <v>5.2</v>
      </c>
      <c r="CN13">
        <f t="shared" si="1"/>
        <v>1.75</v>
      </c>
      <c r="CO13">
        <f t="shared" si="1"/>
        <v>2</v>
      </c>
      <c r="CP13">
        <f t="shared" si="1"/>
        <v>2.5</v>
      </c>
      <c r="CQ13">
        <f t="shared" si="2"/>
        <v>4</v>
      </c>
      <c r="CR13" t="e">
        <f t="shared" si="2"/>
        <v>#DIV/0!</v>
      </c>
      <c r="CS13" t="e">
        <f t="shared" si="2"/>
        <v>#DIV/0!</v>
      </c>
      <c r="CT13" t="e">
        <f t="shared" si="2"/>
        <v>#DIV/0!</v>
      </c>
      <c r="CU13" t="e">
        <f t="shared" si="2"/>
        <v>#DIV/0!</v>
      </c>
      <c r="CV13" t="e">
        <f t="shared" si="2"/>
        <v>#DIV/0!</v>
      </c>
      <c r="CW13" t="e">
        <f t="shared" si="2"/>
        <v>#DIV/0!</v>
      </c>
      <c r="CX13" t="e">
        <f t="shared" si="2"/>
        <v>#DIV/0!</v>
      </c>
      <c r="CY13" t="e">
        <f t="shared" si="2"/>
        <v>#DIV/0!</v>
      </c>
      <c r="CZ13" t="e">
        <f t="shared" si="2"/>
        <v>#N/A</v>
      </c>
      <c r="DA13" t="e">
        <f t="shared" si="2"/>
        <v>#N/A</v>
      </c>
      <c r="DB13" t="e">
        <f t="shared" si="2"/>
        <v>#N/A</v>
      </c>
      <c r="DC13" t="e">
        <f t="shared" si="2"/>
        <v>#N/A</v>
      </c>
      <c r="DD13" t="e">
        <f t="shared" si="2"/>
        <v>#N/A</v>
      </c>
    </row>
    <row r="14" spans="1:108 16384:16384" ht="20" customHeight="1" x14ac:dyDescent="0.2">
      <c r="A14" s="7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5"/>
      <c r="W14" s="15"/>
      <c r="X14" s="15"/>
      <c r="Y14" s="15"/>
      <c r="Z14" s="15"/>
      <c r="AA14" s="15"/>
      <c r="AB14" s="15">
        <f>(3+10+2+1+1+3+3+1+2+1)</f>
        <v>27</v>
      </c>
      <c r="AC14" s="15">
        <f>(3+3+2+1+1)</f>
        <v>10</v>
      </c>
      <c r="AD14" s="111">
        <f>(1+3+1+1+1+1+2)</f>
        <v>10</v>
      </c>
      <c r="AE14" s="124">
        <f>(2+2+1+3+1+1+1+1+2+5+2)</f>
        <v>21</v>
      </c>
      <c r="AF14" s="160"/>
      <c r="AG14" s="160"/>
      <c r="AH14" s="160">
        <f>(1)</f>
        <v>1</v>
      </c>
      <c r="AI14" s="160">
        <f>(2)+(1+1)</f>
        <v>4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f t="shared" si="3"/>
        <v>#DIV/0!</v>
      </c>
      <c r="BK14" t="e">
        <f t="shared" si="0"/>
        <v>#DIV/0!</v>
      </c>
      <c r="BL14" t="e">
        <f t="shared" si="0"/>
        <v>#DIV/0!</v>
      </c>
      <c r="BM14" t="e">
        <f t="shared" si="0"/>
        <v>#DIV/0!</v>
      </c>
      <c r="BN14" t="e">
        <f t="shared" si="0"/>
        <v>#DIV/0!</v>
      </c>
      <c r="BO14" t="e">
        <f t="shared" si="0"/>
        <v>#DIV/0!</v>
      </c>
      <c r="BP14" t="e">
        <f t="shared" si="0"/>
        <v>#DIV/0!</v>
      </c>
      <c r="BQ14" t="e">
        <f t="shared" si="0"/>
        <v>#DIV/0!</v>
      </c>
      <c r="BR14" t="e">
        <f t="shared" si="0"/>
        <v>#DIV/0!</v>
      </c>
      <c r="BS14" t="e">
        <f t="shared" si="0"/>
        <v>#DIV/0!</v>
      </c>
      <c r="BT14" t="e">
        <f t="shared" si="0"/>
        <v>#DIV/0!</v>
      </c>
      <c r="BU14" t="e">
        <f t="shared" si="0"/>
        <v>#DIV/0!</v>
      </c>
      <c r="BV14" t="e">
        <f t="shared" si="0"/>
        <v>#DIV/0!</v>
      </c>
      <c r="BW14" t="e">
        <f t="shared" si="0"/>
        <v>#DIV/0!</v>
      </c>
      <c r="BX14" t="e">
        <f t="shared" si="0"/>
        <v>#DIV/0!</v>
      </c>
      <c r="BY14" t="e">
        <f t="shared" si="0"/>
        <v>#DIV/0!</v>
      </c>
      <c r="BZ14" t="e">
        <f t="shared" si="0"/>
        <v>#DIV/0!</v>
      </c>
      <c r="CA14">
        <f t="shared" si="1"/>
        <v>27</v>
      </c>
      <c r="CB14">
        <f t="shared" si="1"/>
        <v>18.5</v>
      </c>
      <c r="CC14">
        <f t="shared" si="1"/>
        <v>15.666666666666666</v>
      </c>
      <c r="CD14">
        <f t="shared" si="1"/>
        <v>17</v>
      </c>
      <c r="CE14">
        <f t="shared" si="1"/>
        <v>17</v>
      </c>
      <c r="CF14">
        <f t="shared" si="1"/>
        <v>17</v>
      </c>
      <c r="CG14">
        <f t="shared" si="1"/>
        <v>13.8</v>
      </c>
      <c r="CH14">
        <f t="shared" si="1"/>
        <v>12.166666666666666</v>
      </c>
      <c r="CI14">
        <f t="shared" si="1"/>
        <v>12.166666666666666</v>
      </c>
      <c r="CJ14">
        <f t="shared" si="1"/>
        <v>12.166666666666666</v>
      </c>
      <c r="CK14">
        <f t="shared" si="1"/>
        <v>9.1999999999999993</v>
      </c>
      <c r="CL14">
        <f t="shared" si="1"/>
        <v>9</v>
      </c>
      <c r="CM14">
        <f t="shared" si="1"/>
        <v>8.6666666666666661</v>
      </c>
      <c r="CN14">
        <f t="shared" si="1"/>
        <v>2.5</v>
      </c>
      <c r="CO14">
        <f t="shared" si="1"/>
        <v>2.5</v>
      </c>
      <c r="CP14">
        <f t="shared" si="1"/>
        <v>2.5</v>
      </c>
      <c r="CQ14">
        <f t="shared" si="2"/>
        <v>4</v>
      </c>
      <c r="CR14" t="e">
        <f t="shared" si="2"/>
        <v>#DIV/0!</v>
      </c>
      <c r="CS14" t="e">
        <f t="shared" si="2"/>
        <v>#DIV/0!</v>
      </c>
      <c r="CT14" t="e">
        <f t="shared" si="2"/>
        <v>#DIV/0!</v>
      </c>
      <c r="CU14" t="e">
        <f t="shared" si="2"/>
        <v>#DIV/0!</v>
      </c>
      <c r="CV14" t="e">
        <f t="shared" si="2"/>
        <v>#DIV/0!</v>
      </c>
      <c r="CW14" t="e">
        <f t="shared" si="2"/>
        <v>#DIV/0!</v>
      </c>
      <c r="CX14" t="e">
        <f t="shared" si="2"/>
        <v>#DIV/0!</v>
      </c>
      <c r="CY14" t="e">
        <f t="shared" si="2"/>
        <v>#DIV/0!</v>
      </c>
      <c r="CZ14" t="e">
        <f t="shared" si="2"/>
        <v>#N/A</v>
      </c>
      <c r="DA14" t="e">
        <f t="shared" si="2"/>
        <v>#N/A</v>
      </c>
      <c r="DB14" t="e">
        <f t="shared" si="2"/>
        <v>#N/A</v>
      </c>
      <c r="DC14" t="e">
        <f t="shared" si="2"/>
        <v>#N/A</v>
      </c>
      <c r="DD14" t="e">
        <f t="shared" si="2"/>
        <v>#N/A</v>
      </c>
    </row>
    <row r="15" spans="1:108 16384:16384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7"/>
      <c r="X15" s="17"/>
      <c r="Y15" s="17"/>
      <c r="Z15" s="17"/>
      <c r="AA15" s="17">
        <f>(2+1+2)</f>
        <v>5</v>
      </c>
      <c r="AB15" s="17">
        <f>(1+2+2+2+2)</f>
        <v>9</v>
      </c>
      <c r="AC15" s="17">
        <f>(2+2+3+1)</f>
        <v>8</v>
      </c>
      <c r="AD15" s="112">
        <f>(1+2+1)</f>
        <v>4</v>
      </c>
      <c r="AE15" s="10">
        <f>(3+1+1+3+3)</f>
        <v>11</v>
      </c>
      <c r="AF15" s="112">
        <f>(2)</f>
        <v>2</v>
      </c>
      <c r="AG15" s="112">
        <f>(3)</f>
        <v>3</v>
      </c>
      <c r="AH15" s="112">
        <f>(2)+(1+1+1)</f>
        <v>5</v>
      </c>
      <c r="AI15" s="112">
        <f>(1)+(1)+(1+1)</f>
        <v>4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f t="shared" si="3"/>
        <v>#DIV/0!</v>
      </c>
      <c r="BK15" t="e">
        <f t="shared" si="0"/>
        <v>#DIV/0!</v>
      </c>
      <c r="BL15" t="e">
        <f t="shared" si="0"/>
        <v>#DIV/0!</v>
      </c>
      <c r="BM15" t="e">
        <f t="shared" si="0"/>
        <v>#DIV/0!</v>
      </c>
      <c r="BN15" t="e">
        <f t="shared" si="0"/>
        <v>#DIV/0!</v>
      </c>
      <c r="BO15" t="e">
        <f t="shared" si="0"/>
        <v>#DIV/0!</v>
      </c>
      <c r="BP15" t="e">
        <f t="shared" si="0"/>
        <v>#DIV/0!</v>
      </c>
      <c r="BQ15" t="e">
        <f t="shared" si="0"/>
        <v>#DIV/0!</v>
      </c>
      <c r="BR15" t="e">
        <f t="shared" si="0"/>
        <v>#DIV/0!</v>
      </c>
      <c r="BS15" t="e">
        <f t="shared" si="0"/>
        <v>#DIV/0!</v>
      </c>
      <c r="BT15" t="e">
        <f t="shared" si="0"/>
        <v>#DIV/0!</v>
      </c>
      <c r="BU15" t="e">
        <f t="shared" si="0"/>
        <v>#DIV/0!</v>
      </c>
      <c r="BV15" t="e">
        <f t="shared" si="0"/>
        <v>#DIV/0!</v>
      </c>
      <c r="BW15" t="e">
        <f t="shared" si="0"/>
        <v>#DIV/0!</v>
      </c>
      <c r="BX15" t="e">
        <f t="shared" si="0"/>
        <v>#DIV/0!</v>
      </c>
      <c r="BY15" t="e">
        <f t="shared" si="0"/>
        <v>#DIV/0!</v>
      </c>
      <c r="BZ15">
        <f t="shared" si="0"/>
        <v>5</v>
      </c>
      <c r="CA15">
        <f t="shared" si="1"/>
        <v>7</v>
      </c>
      <c r="CB15">
        <f t="shared" si="1"/>
        <v>7.333333333333333</v>
      </c>
      <c r="CC15">
        <f t="shared" si="1"/>
        <v>6.5</v>
      </c>
      <c r="CD15">
        <f t="shared" si="1"/>
        <v>7.4</v>
      </c>
      <c r="CE15">
        <f t="shared" si="1"/>
        <v>6.5</v>
      </c>
      <c r="CF15">
        <f t="shared" si="1"/>
        <v>6</v>
      </c>
      <c r="CG15">
        <f t="shared" si="1"/>
        <v>5.875</v>
      </c>
      <c r="CH15">
        <f t="shared" si="1"/>
        <v>5.666666666666667</v>
      </c>
      <c r="CI15">
        <f t="shared" si="1"/>
        <v>5.666666666666667</v>
      </c>
      <c r="CJ15">
        <f t="shared" si="1"/>
        <v>5.75</v>
      </c>
      <c r="CK15">
        <f t="shared" si="1"/>
        <v>5.2857142857142856</v>
      </c>
      <c r="CL15">
        <f t="shared" si="1"/>
        <v>4.833333333333333</v>
      </c>
      <c r="CM15">
        <f t="shared" si="1"/>
        <v>5</v>
      </c>
      <c r="CN15">
        <f t="shared" si="1"/>
        <v>3.5</v>
      </c>
      <c r="CO15">
        <f t="shared" si="1"/>
        <v>4</v>
      </c>
      <c r="CP15">
        <f t="shared" si="1"/>
        <v>4.5</v>
      </c>
      <c r="CQ15">
        <f t="shared" si="2"/>
        <v>4</v>
      </c>
      <c r="CR15" t="e">
        <f t="shared" si="2"/>
        <v>#DIV/0!</v>
      </c>
      <c r="CS15" t="e">
        <f t="shared" si="2"/>
        <v>#DIV/0!</v>
      </c>
      <c r="CT15" t="e">
        <f t="shared" si="2"/>
        <v>#DIV/0!</v>
      </c>
      <c r="CU15" t="e">
        <f t="shared" si="2"/>
        <v>#DIV/0!</v>
      </c>
      <c r="CV15" t="e">
        <f t="shared" si="2"/>
        <v>#DIV/0!</v>
      </c>
      <c r="CW15" t="e">
        <f t="shared" si="2"/>
        <v>#DIV/0!</v>
      </c>
      <c r="CX15" t="e">
        <f t="shared" si="2"/>
        <v>#DIV/0!</v>
      </c>
      <c r="CY15" t="e">
        <f t="shared" si="2"/>
        <v>#DIV/0!</v>
      </c>
      <c r="CZ15" t="e">
        <f t="shared" si="2"/>
        <v>#N/A</v>
      </c>
      <c r="DA15" t="e">
        <f t="shared" si="2"/>
        <v>#N/A</v>
      </c>
      <c r="DB15" t="e">
        <f t="shared" si="2"/>
        <v>#N/A</v>
      </c>
      <c r="DC15" t="e">
        <f t="shared" si="2"/>
        <v>#N/A</v>
      </c>
      <c r="DD15" t="e">
        <f t="shared" si="2"/>
        <v>#N/A</v>
      </c>
    </row>
    <row r="16" spans="1:108 16384:16384" ht="20" customHeight="1" x14ac:dyDescent="0.2">
      <c r="A16" s="7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5"/>
      <c r="W16" s="15"/>
      <c r="X16" s="15"/>
      <c r="Y16" s="76"/>
      <c r="Z16" s="15"/>
      <c r="AA16" s="15">
        <f>(1+1+1)</f>
        <v>3</v>
      </c>
      <c r="AB16" s="15">
        <f>0</f>
        <v>0</v>
      </c>
      <c r="AC16" s="15">
        <f>(1+2)</f>
        <v>3</v>
      </c>
      <c r="AD16" s="111">
        <f>(2+1)</f>
        <v>3</v>
      </c>
      <c r="AE16" s="124">
        <f>(1+3+1)+(1+2)</f>
        <v>8</v>
      </c>
      <c r="AF16" s="160"/>
      <c r="AG16" s="160"/>
      <c r="AH16" s="160"/>
      <c r="AI16" s="160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f t="shared" si="3"/>
        <v>#DIV/0!</v>
      </c>
      <c r="BK16" t="e">
        <f t="shared" si="0"/>
        <v>#DIV/0!</v>
      </c>
      <c r="BL16" t="e">
        <f t="shared" si="0"/>
        <v>#DIV/0!</v>
      </c>
      <c r="BM16" t="e">
        <f t="shared" si="0"/>
        <v>#DIV/0!</v>
      </c>
      <c r="BN16" t="e">
        <f t="shared" si="0"/>
        <v>#DIV/0!</v>
      </c>
      <c r="BO16" t="e">
        <f t="shared" si="0"/>
        <v>#DIV/0!</v>
      </c>
      <c r="BP16" t="e">
        <f t="shared" si="0"/>
        <v>#DIV/0!</v>
      </c>
      <c r="BQ16" t="e">
        <f t="shared" si="0"/>
        <v>#DIV/0!</v>
      </c>
      <c r="BR16" t="e">
        <f t="shared" si="0"/>
        <v>#DIV/0!</v>
      </c>
      <c r="BS16" t="e">
        <f t="shared" si="0"/>
        <v>#DIV/0!</v>
      </c>
      <c r="BT16" t="e">
        <f t="shared" si="0"/>
        <v>#DIV/0!</v>
      </c>
      <c r="BU16" t="e">
        <f t="shared" si="0"/>
        <v>#DIV/0!</v>
      </c>
      <c r="BV16" t="e">
        <f t="shared" si="0"/>
        <v>#DIV/0!</v>
      </c>
      <c r="BW16" t="e">
        <f t="shared" si="0"/>
        <v>#DIV/0!</v>
      </c>
      <c r="BX16" t="e">
        <f t="shared" si="0"/>
        <v>#DIV/0!</v>
      </c>
      <c r="BY16" t="e">
        <f t="shared" si="0"/>
        <v>#DIV/0!</v>
      </c>
      <c r="BZ16">
        <f t="shared" si="0"/>
        <v>3</v>
      </c>
      <c r="CA16">
        <f t="shared" si="1"/>
        <v>1.5</v>
      </c>
      <c r="CB16">
        <f t="shared" si="1"/>
        <v>2</v>
      </c>
      <c r="CC16">
        <f t="shared" si="1"/>
        <v>2.25</v>
      </c>
      <c r="CD16">
        <f t="shared" si="1"/>
        <v>3.4</v>
      </c>
      <c r="CE16">
        <f t="shared" si="1"/>
        <v>3.4</v>
      </c>
      <c r="CF16">
        <f t="shared" si="1"/>
        <v>3.4</v>
      </c>
      <c r="CG16">
        <f t="shared" si="1"/>
        <v>3.4</v>
      </c>
      <c r="CH16">
        <f t="shared" si="1"/>
        <v>3.4</v>
      </c>
      <c r="CI16">
        <f t="shared" si="1"/>
        <v>3.4</v>
      </c>
      <c r="CJ16">
        <f t="shared" si="1"/>
        <v>3.5</v>
      </c>
      <c r="CK16">
        <f t="shared" si="1"/>
        <v>4.666666666666667</v>
      </c>
      <c r="CL16">
        <f t="shared" si="1"/>
        <v>5.5</v>
      </c>
      <c r="CM16">
        <f t="shared" si="1"/>
        <v>8</v>
      </c>
      <c r="CN16" t="e">
        <f t="shared" si="1"/>
        <v>#DIV/0!</v>
      </c>
      <c r="CO16" t="e">
        <f t="shared" si="1"/>
        <v>#DIV/0!</v>
      </c>
      <c r="CP16" t="e">
        <f t="shared" si="1"/>
        <v>#DIV/0!</v>
      </c>
      <c r="CQ16" t="e">
        <f t="shared" si="2"/>
        <v>#DIV/0!</v>
      </c>
      <c r="CR16" t="e">
        <f t="shared" si="2"/>
        <v>#DIV/0!</v>
      </c>
      <c r="CS16" t="e">
        <f t="shared" si="2"/>
        <v>#DIV/0!</v>
      </c>
      <c r="CT16" t="e">
        <f t="shared" si="2"/>
        <v>#DIV/0!</v>
      </c>
      <c r="CU16" t="e">
        <f t="shared" si="2"/>
        <v>#DIV/0!</v>
      </c>
      <c r="CV16" t="e">
        <f t="shared" si="2"/>
        <v>#DIV/0!</v>
      </c>
      <c r="CW16" t="e">
        <f t="shared" si="2"/>
        <v>#DIV/0!</v>
      </c>
      <c r="CX16" t="e">
        <f t="shared" si="2"/>
        <v>#DIV/0!</v>
      </c>
      <c r="CY16" t="e">
        <f t="shared" si="2"/>
        <v>#DIV/0!</v>
      </c>
      <c r="CZ16" t="e">
        <f t="shared" si="2"/>
        <v>#N/A</v>
      </c>
      <c r="DA16" t="e">
        <f t="shared" si="2"/>
        <v>#N/A</v>
      </c>
      <c r="DB16" t="e">
        <f t="shared" si="2"/>
        <v>#N/A</v>
      </c>
      <c r="DC16" t="e">
        <f t="shared" si="2"/>
        <v>#N/A</v>
      </c>
      <c r="DD16" t="e">
        <f t="shared" si="2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65"/>
      <c r="AG17" s="165"/>
      <c r="AH17" s="165"/>
      <c r="AI17" s="165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4">SUM(C5:C16)</f>
        <v>0</v>
      </c>
      <c r="D18" s="22">
        <f t="shared" si="4"/>
        <v>0</v>
      </c>
      <c r="E18" s="22">
        <f t="shared" si="4"/>
        <v>0</v>
      </c>
      <c r="F18" s="22">
        <f t="shared" si="4"/>
        <v>0</v>
      </c>
      <c r="G18" s="22">
        <f t="shared" si="4"/>
        <v>0</v>
      </c>
      <c r="H18" s="22">
        <f t="shared" si="4"/>
        <v>0</v>
      </c>
      <c r="I18" s="22">
        <f t="shared" si="4"/>
        <v>0</v>
      </c>
      <c r="J18" s="22">
        <f t="shared" si="4"/>
        <v>0</v>
      </c>
      <c r="K18" s="22">
        <f t="shared" si="4"/>
        <v>0</v>
      </c>
      <c r="L18" s="22">
        <f t="shared" si="4"/>
        <v>0</v>
      </c>
      <c r="M18" s="22">
        <f t="shared" si="4"/>
        <v>0</v>
      </c>
      <c r="N18" s="22">
        <f t="shared" si="4"/>
        <v>0</v>
      </c>
      <c r="O18" s="22">
        <f t="shared" si="4"/>
        <v>0</v>
      </c>
      <c r="P18" s="22">
        <f t="shared" si="4"/>
        <v>0</v>
      </c>
      <c r="Q18" s="22">
        <f t="shared" si="4"/>
        <v>0</v>
      </c>
      <c r="R18" s="22">
        <f t="shared" si="4"/>
        <v>0</v>
      </c>
      <c r="S18" s="22">
        <f t="shared" si="4"/>
        <v>0</v>
      </c>
      <c r="T18" s="22">
        <f t="shared" si="4"/>
        <v>0</v>
      </c>
      <c r="U18" s="22">
        <f t="shared" si="4"/>
        <v>0</v>
      </c>
      <c r="V18" s="22">
        <f t="shared" si="4"/>
        <v>0</v>
      </c>
      <c r="W18" s="22">
        <f t="shared" si="4"/>
        <v>0</v>
      </c>
      <c r="X18" s="22">
        <f t="shared" si="4"/>
        <v>0</v>
      </c>
      <c r="Y18" s="22">
        <f t="shared" si="4"/>
        <v>0</v>
      </c>
      <c r="Z18" s="22">
        <f t="shared" si="4"/>
        <v>0</v>
      </c>
      <c r="AA18" s="22">
        <f t="shared" si="4"/>
        <v>8</v>
      </c>
      <c r="AB18" s="22">
        <f t="shared" si="4"/>
        <v>150</v>
      </c>
      <c r="AC18" s="22">
        <f t="shared" si="4"/>
        <v>119</v>
      </c>
      <c r="AD18" s="22">
        <f t="shared" si="4"/>
        <v>141</v>
      </c>
      <c r="AE18" s="163">
        <f t="shared" si="4"/>
        <v>164</v>
      </c>
      <c r="AF18" s="22">
        <f t="shared" si="4"/>
        <v>46</v>
      </c>
      <c r="AG18" s="22">
        <f t="shared" si="4"/>
        <v>12</v>
      </c>
      <c r="AH18" s="22">
        <f t="shared" si="4"/>
        <v>17</v>
      </c>
      <c r="AI18" s="22">
        <f t="shared" si="4"/>
        <v>21</v>
      </c>
      <c r="AJ18" s="164">
        <f t="shared" si="4"/>
        <v>0</v>
      </c>
      <c r="AK18" s="22">
        <f t="shared" si="4"/>
        <v>0</v>
      </c>
      <c r="AL18" s="22">
        <f t="shared" si="4"/>
        <v>0</v>
      </c>
      <c r="AM18" s="22">
        <f t="shared" si="4"/>
        <v>0</v>
      </c>
      <c r="AN18" s="22">
        <f t="shared" si="4"/>
        <v>0</v>
      </c>
      <c r="AO18" s="22">
        <f t="shared" si="4"/>
        <v>0</v>
      </c>
      <c r="AP18" s="22">
        <f t="shared" si="4"/>
        <v>0</v>
      </c>
      <c r="AQ18" s="22">
        <f t="shared" si="4"/>
        <v>0</v>
      </c>
      <c r="AR18" s="22">
        <f t="shared" si="4"/>
        <v>0</v>
      </c>
      <c r="AS18" s="22">
        <f t="shared" si="4"/>
        <v>0</v>
      </c>
      <c r="AT18" s="22">
        <f t="shared" si="4"/>
        <v>0</v>
      </c>
      <c r="AU18" s="22">
        <f t="shared" si="4"/>
        <v>0</v>
      </c>
      <c r="AV18" s="22">
        <f t="shared" si="4"/>
        <v>0</v>
      </c>
      <c r="AW18" s="22">
        <f t="shared" si="4"/>
        <v>0</v>
      </c>
      <c r="AX18" s="22">
        <f t="shared" si="4"/>
        <v>0</v>
      </c>
      <c r="AY18" s="22">
        <f t="shared" si="4"/>
        <v>0</v>
      </c>
      <c r="AZ18" s="22">
        <f t="shared" si="4"/>
        <v>0</v>
      </c>
      <c r="BA18" s="24"/>
      <c r="BZ18" s="25">
        <f>AVERAGE(R18:AA18)</f>
        <v>0.8</v>
      </c>
      <c r="CA18" s="25">
        <f>AVERAGE(S18:AB18)</f>
        <v>15.8</v>
      </c>
      <c r="CB18" s="25">
        <f>AVERAGE(T18:AC18)</f>
        <v>27.7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 codeName="Sheet9">
    <tabColor theme="8" tint="-0.249977111117893"/>
  </sheetPr>
  <dimension ref="A1:DD192"/>
  <sheetViews>
    <sheetView defaultGridColor="0" colorId="22" zoomScale="70" zoomScaleNormal="70" workbookViewId="0">
      <pane xSplit="1" topLeftCell="B1" activePane="topRight" state="frozen"/>
      <selection activeCell="A2" sqref="A2"/>
      <selection pane="topRight" activeCell="AH5" sqref="AH5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8" width="5.7109375" style="5" customWidth="1"/>
    <col min="29" max="29" width="6.140625" style="5" customWidth="1"/>
    <col min="30" max="30" width="6.5703125" style="5" customWidth="1"/>
    <col min="31" max="31" width="6.42578125" customWidth="1"/>
    <col min="32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7" width="17.28515625" style="5" customWidth="1"/>
    <col min="78" max="78" width="9.42578125" style="5" customWidth="1"/>
    <col min="79" max="80" width="16.85546875" style="5" customWidth="1"/>
    <col min="81" max="81" width="16.570312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36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BA1" s="35"/>
      <c r="BE1" s="35"/>
    </row>
    <row r="2" spans="1:108" s="34" customFormat="1" ht="25" customHeight="1" x14ac:dyDescent="0.25">
      <c r="A2" s="36" t="s">
        <v>34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 t="s">
        <v>73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16</v>
      </c>
      <c r="C5" s="16">
        <v>31</v>
      </c>
      <c r="D5" s="16">
        <v>27</v>
      </c>
      <c r="E5" s="16">
        <v>14</v>
      </c>
      <c r="F5" s="16">
        <v>50</v>
      </c>
      <c r="G5" s="16">
        <v>24</v>
      </c>
      <c r="H5" s="16">
        <v>13</v>
      </c>
      <c r="I5" s="16">
        <v>88</v>
      </c>
      <c r="J5" s="16">
        <v>32</v>
      </c>
      <c r="K5" s="16">
        <v>34</v>
      </c>
      <c r="L5" s="16">
        <v>81</v>
      </c>
      <c r="M5" s="16">
        <v>25</v>
      </c>
      <c r="N5" s="16">
        <v>38</v>
      </c>
      <c r="O5" s="16">
        <v>37</v>
      </c>
      <c r="P5" s="16">
        <v>38</v>
      </c>
      <c r="Q5" s="16">
        <v>40</v>
      </c>
      <c r="R5" s="16">
        <v>32</v>
      </c>
      <c r="S5" s="16"/>
      <c r="T5" s="16"/>
      <c r="U5" s="17">
        <v>0</v>
      </c>
      <c r="V5" s="17"/>
      <c r="W5" s="17">
        <v>80</v>
      </c>
      <c r="X5" s="17">
        <v>76</v>
      </c>
      <c r="Y5" s="17">
        <v>67</v>
      </c>
      <c r="Z5" s="17">
        <v>98</v>
      </c>
      <c r="AA5" s="17">
        <v>98</v>
      </c>
      <c r="AB5" s="17">
        <v>90</v>
      </c>
      <c r="AC5" s="17">
        <v>48</v>
      </c>
      <c r="AD5" s="17">
        <v>65</v>
      </c>
      <c r="AE5" s="10">
        <v>84</v>
      </c>
      <c r="AF5" s="10">
        <v>103</v>
      </c>
      <c r="AG5" s="10">
        <f>29+30+24</f>
        <v>83</v>
      </c>
      <c r="AH5" s="10">
        <f>23+24</f>
        <v>47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32.9</v>
      </c>
      <c r="BK5">
        <f t="shared" ref="BK5:DD16" si="0">AVERAGE(C5:L5)</f>
        <v>39.4</v>
      </c>
      <c r="BL5">
        <f>AVERAGE(D5:M5)</f>
        <v>38.799999999999997</v>
      </c>
      <c r="BM5">
        <f t="shared" si="0"/>
        <v>39.9</v>
      </c>
      <c r="BN5">
        <f t="shared" si="0"/>
        <v>42.2</v>
      </c>
      <c r="BO5">
        <f t="shared" si="0"/>
        <v>41</v>
      </c>
      <c r="BP5">
        <f t="shared" si="0"/>
        <v>42.6</v>
      </c>
      <c r="BQ5">
        <f t="shared" si="0"/>
        <v>44.5</v>
      </c>
      <c r="BR5">
        <f t="shared" si="0"/>
        <v>39.666666666666664</v>
      </c>
      <c r="BS5">
        <f t="shared" si="0"/>
        <v>40.625</v>
      </c>
      <c r="BT5">
        <f t="shared" si="0"/>
        <v>36.375</v>
      </c>
      <c r="BU5">
        <f t="shared" si="0"/>
        <v>30</v>
      </c>
      <c r="BV5">
        <f t="shared" si="0"/>
        <v>37.857142857142854</v>
      </c>
      <c r="BW5">
        <f t="shared" si="0"/>
        <v>43.285714285714285</v>
      </c>
      <c r="BX5">
        <f t="shared" si="0"/>
        <v>47.571428571428569</v>
      </c>
      <c r="BY5">
        <f t="shared" si="0"/>
        <v>56.142857142857146</v>
      </c>
      <c r="BZ5">
        <f t="shared" si="0"/>
        <v>64.428571428571431</v>
      </c>
      <c r="CA5">
        <f t="shared" si="0"/>
        <v>72.714285714285708</v>
      </c>
      <c r="CB5">
        <f t="shared" si="0"/>
        <v>69.625</v>
      </c>
      <c r="CC5">
        <f t="shared" si="0"/>
        <v>69.111111111111114</v>
      </c>
      <c r="CD5">
        <f t="shared" si="0"/>
        <v>78.444444444444443</v>
      </c>
      <c r="CE5">
        <f t="shared" si="0"/>
        <v>80.900000000000006</v>
      </c>
      <c r="CF5">
        <f t="shared" si="0"/>
        <v>81.2</v>
      </c>
      <c r="CG5">
        <f t="shared" si="0"/>
        <v>78.3</v>
      </c>
      <c r="CH5">
        <f t="shared" si="0"/>
        <v>79.555555555555557</v>
      </c>
      <c r="CI5">
        <f t="shared" si="0"/>
        <v>77.25</v>
      </c>
      <c r="CJ5">
        <f t="shared" si="0"/>
        <v>74.285714285714292</v>
      </c>
      <c r="CK5">
        <f t="shared" si="0"/>
        <v>71.666666666666671</v>
      </c>
      <c r="CL5">
        <f t="shared" si="0"/>
        <v>76.400000000000006</v>
      </c>
      <c r="CM5">
        <f t="shared" si="0"/>
        <v>79.25</v>
      </c>
      <c r="CN5">
        <f t="shared" si="0"/>
        <v>77.666666666666671</v>
      </c>
      <c r="CO5">
        <f t="shared" si="0"/>
        <v>65</v>
      </c>
      <c r="CP5">
        <f t="shared" si="0"/>
        <v>47</v>
      </c>
      <c r="CQ5" t="e">
        <f t="shared" si="0"/>
        <v>#DIV/0!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61</v>
      </c>
      <c r="C6" s="14">
        <v>54</v>
      </c>
      <c r="D6" s="14">
        <v>59</v>
      </c>
      <c r="E6" s="14">
        <v>14</v>
      </c>
      <c r="F6" s="14">
        <v>41</v>
      </c>
      <c r="G6" s="14">
        <v>49</v>
      </c>
      <c r="H6" s="14">
        <v>22</v>
      </c>
      <c r="I6" s="14">
        <v>48</v>
      </c>
      <c r="J6" s="14">
        <v>60</v>
      </c>
      <c r="K6" s="14">
        <v>67</v>
      </c>
      <c r="L6" s="14">
        <v>50</v>
      </c>
      <c r="M6" s="14">
        <v>80</v>
      </c>
      <c r="N6" s="14">
        <v>32</v>
      </c>
      <c r="O6" s="14">
        <v>56</v>
      </c>
      <c r="P6" s="14">
        <v>49</v>
      </c>
      <c r="Q6" s="14">
        <v>23</v>
      </c>
      <c r="R6" s="14">
        <v>50</v>
      </c>
      <c r="S6" s="14"/>
      <c r="T6" s="14"/>
      <c r="U6" s="15">
        <v>0</v>
      </c>
      <c r="V6" s="15"/>
      <c r="W6" s="15">
        <v>100</v>
      </c>
      <c r="X6" s="15">
        <v>45</v>
      </c>
      <c r="Y6" s="15">
        <v>37</v>
      </c>
      <c r="Z6" s="15">
        <v>35</v>
      </c>
      <c r="AA6" s="15">
        <v>136</v>
      </c>
      <c r="AB6" s="15">
        <v>58</v>
      </c>
      <c r="AC6" s="15">
        <v>92</v>
      </c>
      <c r="AD6" s="15">
        <v>83</v>
      </c>
      <c r="AE6" s="124">
        <v>105</v>
      </c>
      <c r="AF6" s="124">
        <v>131</v>
      </c>
      <c r="AG6" s="124">
        <f>13+42+42</f>
        <v>97</v>
      </c>
      <c r="AH6" s="124">
        <f>13+40+15</f>
        <v>68</v>
      </c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47.5</v>
      </c>
      <c r="BK6">
        <f t="shared" si="0"/>
        <v>46.4</v>
      </c>
      <c r="BL6">
        <f t="shared" ref="BL6:BL16" si="2">AVERAGE(D6:M6)</f>
        <v>49</v>
      </c>
      <c r="BM6">
        <f t="shared" si="0"/>
        <v>46.3</v>
      </c>
      <c r="BN6">
        <f t="shared" si="0"/>
        <v>50.5</v>
      </c>
      <c r="BO6">
        <f t="shared" si="0"/>
        <v>51.3</v>
      </c>
      <c r="BP6">
        <f t="shared" si="0"/>
        <v>48.7</v>
      </c>
      <c r="BQ6">
        <f t="shared" si="0"/>
        <v>51.5</v>
      </c>
      <c r="BR6">
        <f t="shared" ref="BR6:BS16" si="3">AVERAGE(J6:S6)</f>
        <v>51.888888888888886</v>
      </c>
      <c r="BS6">
        <f t="shared" si="3"/>
        <v>50.875</v>
      </c>
      <c r="BT6">
        <f t="shared" si="0"/>
        <v>42.5</v>
      </c>
      <c r="BU6">
        <f t="shared" si="0"/>
        <v>41.428571428571431</v>
      </c>
      <c r="BV6">
        <f t="shared" si="0"/>
        <v>44.285714285714285</v>
      </c>
      <c r="BW6">
        <f t="shared" si="0"/>
        <v>46.142857142857146</v>
      </c>
      <c r="BX6">
        <f t="shared" si="0"/>
        <v>43.428571428571431</v>
      </c>
      <c r="BY6">
        <f t="shared" si="0"/>
        <v>41.428571428571431</v>
      </c>
      <c r="BZ6">
        <f t="shared" si="0"/>
        <v>57.571428571428569</v>
      </c>
      <c r="CA6">
        <f t="shared" si="0"/>
        <v>58.714285714285715</v>
      </c>
      <c r="CB6">
        <f t="shared" si="0"/>
        <v>62.875</v>
      </c>
      <c r="CC6">
        <f t="shared" si="0"/>
        <v>65.111111111111114</v>
      </c>
      <c r="CD6">
        <f t="shared" si="0"/>
        <v>76.777777777777771</v>
      </c>
      <c r="CE6">
        <f t="shared" si="0"/>
        <v>82.2</v>
      </c>
      <c r="CF6">
        <f t="shared" ref="CF6:CF16" si="4">AVERAGE(X6:AG6)</f>
        <v>81.900000000000006</v>
      </c>
      <c r="CG6">
        <f t="shared" ref="CG6:CG16" si="5">AVERAGE(Y6:AH6)</f>
        <v>84.2</v>
      </c>
      <c r="CH6">
        <f t="shared" ref="CH6:CH16" si="6">AVERAGE(Z6:AI6)</f>
        <v>89.444444444444443</v>
      </c>
      <c r="CI6">
        <f t="shared" ref="CI6:CI16" si="7">AVERAGE(AA6:AJ6)</f>
        <v>96.25</v>
      </c>
      <c r="CJ6">
        <f t="shared" ref="CJ6:CJ16" si="8">AVERAGE(AB6:AK6)</f>
        <v>90.571428571428569</v>
      </c>
      <c r="CK6">
        <f t="shared" ref="CK6:CK16" si="9">AVERAGE(AC6:AL6)</f>
        <v>96</v>
      </c>
      <c r="CL6">
        <f t="shared" ref="CL6:CL16" si="10">AVERAGE(AD6:AM6)</f>
        <v>96.8</v>
      </c>
      <c r="CM6">
        <f t="shared" ref="CM6:CM16" si="11">AVERAGE(AE6:AN6)</f>
        <v>100.25</v>
      </c>
      <c r="CN6">
        <f t="shared" ref="CN6:CN16" si="12">AVERAGE(AF6:AO6)</f>
        <v>98.666666666666671</v>
      </c>
      <c r="CO6">
        <f t="shared" ref="CO6:CO16" si="13">AVERAGE(AG6:AP6)</f>
        <v>82.5</v>
      </c>
      <c r="CP6">
        <f t="shared" ref="CP6:CP16" si="14">AVERAGE(AH6:AQ6)</f>
        <v>68</v>
      </c>
      <c r="CQ6" t="e">
        <f t="shared" ref="CQ6:CQ16" si="15">AVERAGE(AI6:AR6)</f>
        <v>#DIV/0!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59</v>
      </c>
      <c r="C7" s="16">
        <v>41</v>
      </c>
      <c r="D7" s="16">
        <v>23</v>
      </c>
      <c r="E7" s="16">
        <v>17</v>
      </c>
      <c r="F7" s="16">
        <v>56</v>
      </c>
      <c r="G7" s="16">
        <v>40</v>
      </c>
      <c r="H7" s="16">
        <v>47</v>
      </c>
      <c r="I7" s="16">
        <v>41</v>
      </c>
      <c r="J7" s="16">
        <v>57</v>
      </c>
      <c r="K7" s="16">
        <v>57</v>
      </c>
      <c r="L7" s="16">
        <v>55</v>
      </c>
      <c r="M7" s="16">
        <v>84</v>
      </c>
      <c r="N7" s="16">
        <v>43</v>
      </c>
      <c r="O7" s="16">
        <v>26</v>
      </c>
      <c r="P7" s="16">
        <v>48</v>
      </c>
      <c r="Q7" s="16">
        <v>63</v>
      </c>
      <c r="R7" s="16">
        <v>29</v>
      </c>
      <c r="S7" s="16"/>
      <c r="T7" s="16"/>
      <c r="U7" s="17">
        <v>0</v>
      </c>
      <c r="V7" s="17"/>
      <c r="W7" s="17">
        <v>57</v>
      </c>
      <c r="X7" s="17">
        <v>62</v>
      </c>
      <c r="Y7" s="17">
        <v>67</v>
      </c>
      <c r="Z7" s="17">
        <v>85</v>
      </c>
      <c r="AA7" s="17">
        <v>128</v>
      </c>
      <c r="AB7" s="17">
        <v>48</v>
      </c>
      <c r="AC7" s="17">
        <v>37</v>
      </c>
      <c r="AD7" s="17">
        <v>109</v>
      </c>
      <c r="AE7" s="10">
        <v>125</v>
      </c>
      <c r="AF7" s="10">
        <v>199</v>
      </c>
      <c r="AG7" s="10">
        <f>4+29+50</f>
        <v>83</v>
      </c>
      <c r="AH7" s="10">
        <f>29+30</f>
        <v>59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43.8</v>
      </c>
      <c r="BK7">
        <f t="shared" si="0"/>
        <v>43.4</v>
      </c>
      <c r="BL7">
        <f t="shared" si="2"/>
        <v>47.7</v>
      </c>
      <c r="BM7">
        <f t="shared" si="0"/>
        <v>49.7</v>
      </c>
      <c r="BN7">
        <f t="shared" si="0"/>
        <v>50.6</v>
      </c>
      <c r="BO7">
        <f t="shared" si="0"/>
        <v>49.8</v>
      </c>
      <c r="BP7">
        <f t="shared" si="0"/>
        <v>52.1</v>
      </c>
      <c r="BQ7">
        <f t="shared" si="0"/>
        <v>50.3</v>
      </c>
      <c r="BR7">
        <f t="shared" si="3"/>
        <v>51.333333333333336</v>
      </c>
      <c r="BS7">
        <f t="shared" si="3"/>
        <v>50.625</v>
      </c>
      <c r="BT7">
        <f t="shared" si="0"/>
        <v>43.5</v>
      </c>
      <c r="BU7">
        <f t="shared" si="0"/>
        <v>41.857142857142854</v>
      </c>
      <c r="BV7">
        <f t="shared" si="0"/>
        <v>38</v>
      </c>
      <c r="BW7">
        <f t="shared" si="0"/>
        <v>40.714285714285715</v>
      </c>
      <c r="BX7">
        <f>AVERAGE(P7:Y7)</f>
        <v>46.571428571428569</v>
      </c>
      <c r="BY7">
        <f t="shared" si="0"/>
        <v>51.857142857142854</v>
      </c>
      <c r="BZ7">
        <f t="shared" si="0"/>
        <v>61.142857142857146</v>
      </c>
      <c r="CA7">
        <f t="shared" si="0"/>
        <v>63.857142857142854</v>
      </c>
      <c r="CB7">
        <f t="shared" si="0"/>
        <v>60.5</v>
      </c>
      <c r="CC7">
        <f t="shared" si="0"/>
        <v>65.888888888888886</v>
      </c>
      <c r="CD7">
        <f t="shared" si="0"/>
        <v>79.777777777777771</v>
      </c>
      <c r="CE7">
        <f>AVERAGE(W7:AF7)</f>
        <v>91.7</v>
      </c>
      <c r="CF7">
        <f t="shared" si="4"/>
        <v>94.3</v>
      </c>
      <c r="CG7">
        <f t="shared" si="5"/>
        <v>94</v>
      </c>
      <c r="CH7">
        <f t="shared" si="6"/>
        <v>97</v>
      </c>
      <c r="CI7">
        <f t="shared" si="7"/>
        <v>98.5</v>
      </c>
      <c r="CJ7">
        <f t="shared" si="8"/>
        <v>94.285714285714292</v>
      </c>
      <c r="CK7">
        <f t="shared" si="9"/>
        <v>102</v>
      </c>
      <c r="CL7">
        <f t="shared" si="10"/>
        <v>115</v>
      </c>
      <c r="CM7">
        <f t="shared" si="11"/>
        <v>116.5</v>
      </c>
      <c r="CN7">
        <f t="shared" si="12"/>
        <v>113.66666666666667</v>
      </c>
      <c r="CO7">
        <f t="shared" si="13"/>
        <v>71</v>
      </c>
      <c r="CP7">
        <f t="shared" si="14"/>
        <v>59</v>
      </c>
      <c r="CQ7" t="e">
        <f t="shared" si="15"/>
        <v>#DIV/0!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91</v>
      </c>
      <c r="C8" s="14">
        <v>74</v>
      </c>
      <c r="D8" s="14">
        <v>30</v>
      </c>
      <c r="E8" s="14">
        <v>50</v>
      </c>
      <c r="F8" s="14">
        <v>73</v>
      </c>
      <c r="G8" s="14">
        <v>48</v>
      </c>
      <c r="H8" s="14">
        <v>33</v>
      </c>
      <c r="I8" s="14">
        <v>171</v>
      </c>
      <c r="J8" s="14">
        <v>31</v>
      </c>
      <c r="K8" s="14">
        <v>62</v>
      </c>
      <c r="L8" s="14">
        <v>37</v>
      </c>
      <c r="M8" s="14">
        <v>71</v>
      </c>
      <c r="N8" s="14">
        <v>33</v>
      </c>
      <c r="O8" s="14">
        <v>55</v>
      </c>
      <c r="P8" s="14">
        <v>49</v>
      </c>
      <c r="Q8" s="14">
        <v>50</v>
      </c>
      <c r="R8" s="14">
        <v>58</v>
      </c>
      <c r="S8" s="14"/>
      <c r="T8" s="14"/>
      <c r="U8" s="15">
        <v>0</v>
      </c>
      <c r="V8" s="15"/>
      <c r="W8" s="15">
        <v>108</v>
      </c>
      <c r="X8" s="15">
        <v>63</v>
      </c>
      <c r="Y8" s="15">
        <v>51</v>
      </c>
      <c r="Z8" s="15">
        <v>86</v>
      </c>
      <c r="AA8" s="15">
        <v>98</v>
      </c>
      <c r="AB8" s="15">
        <v>79</v>
      </c>
      <c r="AC8" s="15">
        <v>80</v>
      </c>
      <c r="AD8" s="15">
        <v>60</v>
      </c>
      <c r="AE8" s="124">
        <v>71</v>
      </c>
      <c r="AF8" s="124">
        <v>141</v>
      </c>
      <c r="AG8" s="124">
        <f>2+37+27+15+38+41</f>
        <v>160</v>
      </c>
      <c r="AH8" s="124">
        <f>6+36+32</f>
        <v>74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66.3</v>
      </c>
      <c r="BK8">
        <f t="shared" si="0"/>
        <v>60.9</v>
      </c>
      <c r="BL8">
        <f t="shared" si="2"/>
        <v>60.6</v>
      </c>
      <c r="BM8">
        <f t="shared" si="0"/>
        <v>60.9</v>
      </c>
      <c r="BN8">
        <f t="shared" si="0"/>
        <v>61.4</v>
      </c>
      <c r="BO8">
        <f t="shared" si="0"/>
        <v>59</v>
      </c>
      <c r="BP8">
        <f t="shared" si="0"/>
        <v>59.2</v>
      </c>
      <c r="BQ8">
        <f t="shared" si="0"/>
        <v>61.7</v>
      </c>
      <c r="BR8">
        <f t="shared" si="3"/>
        <v>49.555555555555557</v>
      </c>
      <c r="BS8">
        <f t="shared" si="3"/>
        <v>51.875</v>
      </c>
      <c r="BT8">
        <f>AVERAGE(L8:U8)</f>
        <v>44.125</v>
      </c>
      <c r="BU8">
        <f t="shared" si="0"/>
        <v>45.142857142857146</v>
      </c>
      <c r="BV8">
        <f t="shared" si="0"/>
        <v>50.428571428571431</v>
      </c>
      <c r="BW8">
        <f t="shared" si="0"/>
        <v>54.714285714285715</v>
      </c>
      <c r="BX8">
        <f t="shared" si="0"/>
        <v>54.142857142857146</v>
      </c>
      <c r="BY8">
        <f t="shared" si="0"/>
        <v>59.428571428571431</v>
      </c>
      <c r="BZ8">
        <f t="shared" si="0"/>
        <v>66.285714285714292</v>
      </c>
      <c r="CA8">
        <f t="shared" si="0"/>
        <v>69.285714285714292</v>
      </c>
      <c r="CB8">
        <f t="shared" si="0"/>
        <v>70.625</v>
      </c>
      <c r="CC8">
        <f t="shared" si="0"/>
        <v>69.444444444444443</v>
      </c>
      <c r="CD8">
        <f t="shared" si="0"/>
        <v>77.333333333333329</v>
      </c>
      <c r="CE8">
        <f t="shared" si="0"/>
        <v>83.7</v>
      </c>
      <c r="CF8">
        <f t="shared" si="4"/>
        <v>88.9</v>
      </c>
      <c r="CG8">
        <f t="shared" si="5"/>
        <v>90</v>
      </c>
      <c r="CH8">
        <f t="shared" si="6"/>
        <v>94.333333333333329</v>
      </c>
      <c r="CI8">
        <f t="shared" si="7"/>
        <v>95.375</v>
      </c>
      <c r="CJ8">
        <f t="shared" si="8"/>
        <v>95</v>
      </c>
      <c r="CK8">
        <f t="shared" si="9"/>
        <v>97.666666666666671</v>
      </c>
      <c r="CL8">
        <f t="shared" si="10"/>
        <v>101.2</v>
      </c>
      <c r="CM8">
        <f t="shared" si="11"/>
        <v>111.5</v>
      </c>
      <c r="CN8">
        <f t="shared" si="12"/>
        <v>125</v>
      </c>
      <c r="CO8">
        <f t="shared" si="13"/>
        <v>117</v>
      </c>
      <c r="CP8">
        <f t="shared" si="14"/>
        <v>74</v>
      </c>
      <c r="CQ8" t="e">
        <f t="shared" si="15"/>
        <v>#DIV/0!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69</v>
      </c>
      <c r="C9" s="16">
        <v>90</v>
      </c>
      <c r="D9" s="16">
        <v>136</v>
      </c>
      <c r="E9" s="16">
        <v>97</v>
      </c>
      <c r="F9" s="16">
        <v>106</v>
      </c>
      <c r="G9" s="16">
        <v>103</v>
      </c>
      <c r="H9" s="16">
        <v>72</v>
      </c>
      <c r="I9" s="16">
        <v>101</v>
      </c>
      <c r="J9" s="16">
        <v>121</v>
      </c>
      <c r="K9" s="16">
        <v>113</v>
      </c>
      <c r="L9" s="16">
        <v>62</v>
      </c>
      <c r="M9" s="16">
        <v>94</v>
      </c>
      <c r="N9" s="16">
        <v>33</v>
      </c>
      <c r="O9" s="16">
        <v>73</v>
      </c>
      <c r="P9" s="16">
        <v>91</v>
      </c>
      <c r="Q9" s="16">
        <v>49</v>
      </c>
      <c r="R9" s="16">
        <v>61</v>
      </c>
      <c r="S9" s="16"/>
      <c r="T9" s="16"/>
      <c r="U9" s="17">
        <v>39</v>
      </c>
      <c r="V9" s="17"/>
      <c r="W9" s="17">
        <v>77</v>
      </c>
      <c r="X9" s="17">
        <v>90</v>
      </c>
      <c r="Y9" s="17">
        <v>75</v>
      </c>
      <c r="Z9" s="17">
        <v>93</v>
      </c>
      <c r="AA9" s="17">
        <v>73</v>
      </c>
      <c r="AB9" s="17">
        <v>76</v>
      </c>
      <c r="AC9" s="17">
        <v>139</v>
      </c>
      <c r="AD9" s="17">
        <v>104</v>
      </c>
      <c r="AE9" s="10">
        <v>207</v>
      </c>
      <c r="AF9" s="10">
        <v>127</v>
      </c>
      <c r="AG9" s="10">
        <f>1+42+38+63</f>
        <v>144</v>
      </c>
      <c r="AH9" s="10">
        <f>9+4+40+49+40+15</f>
        <v>157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100.8</v>
      </c>
      <c r="BK9">
        <f t="shared" si="0"/>
        <v>100.1</v>
      </c>
      <c r="BL9">
        <f t="shared" si="2"/>
        <v>100.5</v>
      </c>
      <c r="BM9">
        <f t="shared" si="0"/>
        <v>90.2</v>
      </c>
      <c r="BN9">
        <f t="shared" si="0"/>
        <v>87.8</v>
      </c>
      <c r="BO9">
        <f t="shared" si="0"/>
        <v>86.3</v>
      </c>
      <c r="BP9">
        <f t="shared" si="0"/>
        <v>80.900000000000006</v>
      </c>
      <c r="BQ9">
        <f t="shared" si="0"/>
        <v>79.8</v>
      </c>
      <c r="BR9">
        <f t="shared" si="3"/>
        <v>77.444444444444443</v>
      </c>
      <c r="BS9">
        <f t="shared" si="3"/>
        <v>72</v>
      </c>
      <c r="BT9">
        <f t="shared" si="0"/>
        <v>62.75</v>
      </c>
      <c r="BU9">
        <f t="shared" si="0"/>
        <v>62.857142857142854</v>
      </c>
      <c r="BV9">
        <f t="shared" si="0"/>
        <v>60.428571428571431</v>
      </c>
      <c r="BW9">
        <f t="shared" si="0"/>
        <v>68.571428571428569</v>
      </c>
      <c r="BX9">
        <f t="shared" si="0"/>
        <v>68.857142857142861</v>
      </c>
      <c r="BY9">
        <f t="shared" si="0"/>
        <v>69.142857142857139</v>
      </c>
      <c r="BZ9">
        <f t="shared" si="0"/>
        <v>72.571428571428569</v>
      </c>
      <c r="CA9">
        <f t="shared" si="0"/>
        <v>74.714285714285708</v>
      </c>
      <c r="CB9">
        <f t="shared" si="0"/>
        <v>82.75</v>
      </c>
      <c r="CC9">
        <f t="shared" si="0"/>
        <v>85.111111111111114</v>
      </c>
      <c r="CD9">
        <f t="shared" si="0"/>
        <v>103.77777777777777</v>
      </c>
      <c r="CE9">
        <f t="shared" si="0"/>
        <v>106.1</v>
      </c>
      <c r="CF9">
        <f t="shared" si="4"/>
        <v>112.8</v>
      </c>
      <c r="CG9">
        <f t="shared" si="5"/>
        <v>119.5</v>
      </c>
      <c r="CH9">
        <f t="shared" si="6"/>
        <v>124.44444444444444</v>
      </c>
      <c r="CI9">
        <f t="shared" si="7"/>
        <v>128.375</v>
      </c>
      <c r="CJ9">
        <f t="shared" si="8"/>
        <v>136.28571428571428</v>
      </c>
      <c r="CK9">
        <f t="shared" si="9"/>
        <v>146.33333333333334</v>
      </c>
      <c r="CL9">
        <f t="shared" si="10"/>
        <v>147.80000000000001</v>
      </c>
      <c r="CM9">
        <f t="shared" si="11"/>
        <v>158.75</v>
      </c>
      <c r="CN9">
        <f t="shared" si="12"/>
        <v>142.66666666666666</v>
      </c>
      <c r="CO9">
        <f t="shared" si="13"/>
        <v>150.5</v>
      </c>
      <c r="CP9">
        <f t="shared" si="14"/>
        <v>157</v>
      </c>
      <c r="CQ9" t="e">
        <f t="shared" si="15"/>
        <v>#DIV/0!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89</v>
      </c>
      <c r="C10" s="14">
        <v>60</v>
      </c>
      <c r="D10" s="14">
        <v>38</v>
      </c>
      <c r="E10" s="14">
        <v>56</v>
      </c>
      <c r="F10" s="14">
        <v>38</v>
      </c>
      <c r="G10" s="14">
        <v>88</v>
      </c>
      <c r="H10" s="14">
        <v>80</v>
      </c>
      <c r="I10" s="14">
        <v>51</v>
      </c>
      <c r="J10" s="14">
        <v>70</v>
      </c>
      <c r="K10" s="14">
        <v>60</v>
      </c>
      <c r="L10" s="14">
        <v>70</v>
      </c>
      <c r="M10" s="14">
        <v>92</v>
      </c>
      <c r="N10" s="14">
        <v>44</v>
      </c>
      <c r="O10" s="14">
        <v>68</v>
      </c>
      <c r="P10" s="14">
        <v>71</v>
      </c>
      <c r="Q10" s="14">
        <v>57</v>
      </c>
      <c r="R10" s="14">
        <v>56</v>
      </c>
      <c r="S10" s="14"/>
      <c r="T10" s="14"/>
      <c r="U10" s="15">
        <v>84</v>
      </c>
      <c r="V10" s="15"/>
      <c r="W10" s="15">
        <v>52</v>
      </c>
      <c r="X10" s="15">
        <v>103</v>
      </c>
      <c r="Y10" s="15">
        <v>78</v>
      </c>
      <c r="Z10" s="15">
        <v>89</v>
      </c>
      <c r="AA10" s="15">
        <v>135</v>
      </c>
      <c r="AB10" s="15">
        <v>81</v>
      </c>
      <c r="AC10" s="15">
        <v>124</v>
      </c>
      <c r="AD10" s="15">
        <v>130</v>
      </c>
      <c r="AE10" s="124">
        <v>183</v>
      </c>
      <c r="AF10" s="124">
        <v>175</v>
      </c>
      <c r="AG10" s="124">
        <f>25+33+38+25</f>
        <v>121</v>
      </c>
      <c r="AH10" s="124">
        <f>19+44+39+19</f>
        <v>121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63</v>
      </c>
      <c r="BK10">
        <f t="shared" si="0"/>
        <v>61.1</v>
      </c>
      <c r="BL10">
        <f t="shared" si="2"/>
        <v>64.3</v>
      </c>
      <c r="BM10">
        <f t="shared" si="0"/>
        <v>64.900000000000006</v>
      </c>
      <c r="BN10">
        <f t="shared" si="0"/>
        <v>66.099999999999994</v>
      </c>
      <c r="BO10">
        <f t="shared" si="0"/>
        <v>69.400000000000006</v>
      </c>
      <c r="BP10">
        <f t="shared" si="0"/>
        <v>66.3</v>
      </c>
      <c r="BQ10">
        <f t="shared" si="0"/>
        <v>63.9</v>
      </c>
      <c r="BR10">
        <f t="shared" si="3"/>
        <v>65.333333333333329</v>
      </c>
      <c r="BS10">
        <f t="shared" si="3"/>
        <v>64.75</v>
      </c>
      <c r="BT10">
        <f t="shared" si="0"/>
        <v>67.75</v>
      </c>
      <c r="BU10">
        <f t="shared" si="0"/>
        <v>67.428571428571431</v>
      </c>
      <c r="BV10">
        <f t="shared" si="0"/>
        <v>61.714285714285715</v>
      </c>
      <c r="BW10">
        <f t="shared" si="0"/>
        <v>70.142857142857139</v>
      </c>
      <c r="BX10">
        <f t="shared" si="0"/>
        <v>71.571428571428569</v>
      </c>
      <c r="BY10">
        <f t="shared" si="0"/>
        <v>74.142857142857139</v>
      </c>
      <c r="BZ10">
        <f t="shared" si="0"/>
        <v>85.285714285714292</v>
      </c>
      <c r="CA10">
        <f t="shared" si="0"/>
        <v>88.857142857142861</v>
      </c>
      <c r="CB10">
        <f t="shared" si="0"/>
        <v>93.25</v>
      </c>
      <c r="CC10">
        <f t="shared" si="0"/>
        <v>97.333333333333329</v>
      </c>
      <c r="CD10">
        <f t="shared" si="0"/>
        <v>108.33333333333333</v>
      </c>
      <c r="CE10">
        <f t="shared" si="0"/>
        <v>115</v>
      </c>
      <c r="CF10">
        <f t="shared" si="4"/>
        <v>121.9</v>
      </c>
      <c r="CG10">
        <f t="shared" si="5"/>
        <v>123.7</v>
      </c>
      <c r="CH10">
        <f t="shared" si="6"/>
        <v>128.77777777777777</v>
      </c>
      <c r="CI10">
        <f t="shared" si="7"/>
        <v>133.75</v>
      </c>
      <c r="CJ10">
        <f t="shared" si="8"/>
        <v>133.57142857142858</v>
      </c>
      <c r="CK10">
        <f t="shared" si="9"/>
        <v>142.33333333333334</v>
      </c>
      <c r="CL10">
        <f t="shared" si="10"/>
        <v>146</v>
      </c>
      <c r="CM10">
        <f t="shared" si="11"/>
        <v>150</v>
      </c>
      <c r="CN10">
        <f t="shared" si="12"/>
        <v>139</v>
      </c>
      <c r="CO10">
        <f t="shared" si="13"/>
        <v>121</v>
      </c>
      <c r="CP10">
        <f t="shared" si="14"/>
        <v>121</v>
      </c>
      <c r="CQ10" t="e">
        <f t="shared" si="15"/>
        <v>#DIV/0!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82</v>
      </c>
      <c r="C11" s="16">
        <v>109</v>
      </c>
      <c r="D11" s="16">
        <v>100</v>
      </c>
      <c r="E11" s="16">
        <v>115</v>
      </c>
      <c r="F11" s="16">
        <v>101</v>
      </c>
      <c r="G11" s="16">
        <v>99</v>
      </c>
      <c r="H11" s="16">
        <v>109</v>
      </c>
      <c r="I11" s="16">
        <v>73</v>
      </c>
      <c r="J11" s="16">
        <v>66</v>
      </c>
      <c r="K11" s="16">
        <v>99</v>
      </c>
      <c r="L11" s="16">
        <v>76</v>
      </c>
      <c r="M11" s="16">
        <v>87</v>
      </c>
      <c r="N11" s="16">
        <v>51</v>
      </c>
      <c r="O11" s="16">
        <v>97</v>
      </c>
      <c r="P11" s="16">
        <v>72</v>
      </c>
      <c r="Q11" s="16">
        <v>78</v>
      </c>
      <c r="R11" s="16">
        <v>127</v>
      </c>
      <c r="S11" s="16"/>
      <c r="T11" s="16"/>
      <c r="U11" s="17">
        <v>97</v>
      </c>
      <c r="V11" s="17"/>
      <c r="W11" s="17">
        <v>72</v>
      </c>
      <c r="X11" s="17">
        <v>60</v>
      </c>
      <c r="Y11" s="17">
        <v>94</v>
      </c>
      <c r="Z11" s="17">
        <v>94</v>
      </c>
      <c r="AA11" s="17">
        <v>111</v>
      </c>
      <c r="AB11" s="17">
        <v>110</v>
      </c>
      <c r="AC11" s="17">
        <v>105</v>
      </c>
      <c r="AD11" s="17">
        <v>140</v>
      </c>
      <c r="AE11" s="10">
        <v>173</v>
      </c>
      <c r="AF11" s="10">
        <v>123</v>
      </c>
      <c r="AG11" s="10">
        <f>23+30+43+49</f>
        <v>145</v>
      </c>
      <c r="AH11" s="10">
        <f>9+37+49+30+19</f>
        <v>144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95.3</v>
      </c>
      <c r="BK11">
        <f t="shared" si="0"/>
        <v>94.7</v>
      </c>
      <c r="BL11">
        <f t="shared" si="2"/>
        <v>92.5</v>
      </c>
      <c r="BM11">
        <f t="shared" si="0"/>
        <v>87.6</v>
      </c>
      <c r="BN11">
        <f t="shared" si="0"/>
        <v>85.8</v>
      </c>
      <c r="BO11">
        <f t="shared" si="0"/>
        <v>82.9</v>
      </c>
      <c r="BP11">
        <f t="shared" si="0"/>
        <v>80.8</v>
      </c>
      <c r="BQ11">
        <f t="shared" si="0"/>
        <v>82.6</v>
      </c>
      <c r="BR11">
        <f t="shared" si="3"/>
        <v>83.666666666666671</v>
      </c>
      <c r="BS11">
        <f t="shared" si="3"/>
        <v>85.875</v>
      </c>
      <c r="BT11">
        <f t="shared" si="0"/>
        <v>85.625</v>
      </c>
      <c r="BU11">
        <f t="shared" si="0"/>
        <v>87</v>
      </c>
      <c r="BV11">
        <f t="shared" si="0"/>
        <v>84.857142857142861</v>
      </c>
      <c r="BW11">
        <f t="shared" si="0"/>
        <v>86.142857142857139</v>
      </c>
      <c r="BX11">
        <f t="shared" si="0"/>
        <v>85.714285714285708</v>
      </c>
      <c r="BY11">
        <f t="shared" si="0"/>
        <v>88.857142857142861</v>
      </c>
      <c r="BZ11">
        <f t="shared" si="0"/>
        <v>93.571428571428569</v>
      </c>
      <c r="CA11">
        <f t="shared" si="0"/>
        <v>91.142857142857139</v>
      </c>
      <c r="CB11">
        <f t="shared" si="0"/>
        <v>92.875</v>
      </c>
      <c r="CC11">
        <f t="shared" si="0"/>
        <v>98.111111111111114</v>
      </c>
      <c r="CD11">
        <f t="shared" si="0"/>
        <v>106.55555555555556</v>
      </c>
      <c r="CE11">
        <f t="shared" si="0"/>
        <v>108.2</v>
      </c>
      <c r="CF11">
        <f t="shared" si="4"/>
        <v>115.5</v>
      </c>
      <c r="CG11">
        <f t="shared" si="5"/>
        <v>123.9</v>
      </c>
      <c r="CH11">
        <f t="shared" si="6"/>
        <v>127.22222222222223</v>
      </c>
      <c r="CI11">
        <f t="shared" si="7"/>
        <v>131.375</v>
      </c>
      <c r="CJ11">
        <f t="shared" si="8"/>
        <v>134.28571428571428</v>
      </c>
      <c r="CK11">
        <f t="shared" si="9"/>
        <v>138.33333333333334</v>
      </c>
      <c r="CL11">
        <f t="shared" si="10"/>
        <v>145</v>
      </c>
      <c r="CM11">
        <f t="shared" si="11"/>
        <v>146.25</v>
      </c>
      <c r="CN11">
        <f t="shared" si="12"/>
        <v>137.33333333333334</v>
      </c>
      <c r="CO11">
        <f t="shared" si="13"/>
        <v>144.5</v>
      </c>
      <c r="CP11">
        <f t="shared" si="14"/>
        <v>144</v>
      </c>
      <c r="CQ11" t="e">
        <f t="shared" si="15"/>
        <v>#DIV/0!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102</v>
      </c>
      <c r="C12" s="14">
        <v>93</v>
      </c>
      <c r="D12" s="14">
        <v>132</v>
      </c>
      <c r="E12" s="14">
        <v>89</v>
      </c>
      <c r="F12" s="14">
        <v>85</v>
      </c>
      <c r="G12" s="14">
        <v>82</v>
      </c>
      <c r="H12" s="14">
        <v>99</v>
      </c>
      <c r="I12" s="14">
        <v>101</v>
      </c>
      <c r="J12" s="14">
        <v>53</v>
      </c>
      <c r="K12" s="14">
        <v>96</v>
      </c>
      <c r="L12" s="14">
        <v>63</v>
      </c>
      <c r="M12" s="14">
        <v>75</v>
      </c>
      <c r="N12" s="14">
        <v>91</v>
      </c>
      <c r="O12" s="14">
        <v>86</v>
      </c>
      <c r="P12" s="14">
        <v>60</v>
      </c>
      <c r="Q12" s="14">
        <v>94</v>
      </c>
      <c r="R12" s="14">
        <v>58</v>
      </c>
      <c r="S12" s="14"/>
      <c r="T12" s="14"/>
      <c r="U12" s="15">
        <v>83</v>
      </c>
      <c r="V12" s="15"/>
      <c r="W12" s="15">
        <v>115</v>
      </c>
      <c r="X12" s="15">
        <v>85</v>
      </c>
      <c r="Y12" s="15">
        <v>98</v>
      </c>
      <c r="Z12" s="15">
        <v>112</v>
      </c>
      <c r="AA12" s="15">
        <v>130</v>
      </c>
      <c r="AB12" s="15">
        <v>81</v>
      </c>
      <c r="AC12" s="15">
        <v>93</v>
      </c>
      <c r="AD12" s="15">
        <v>123</v>
      </c>
      <c r="AE12" s="124">
        <v>218</v>
      </c>
      <c r="AF12" s="124">
        <v>105</v>
      </c>
      <c r="AG12" s="124">
        <f>6+33+37+31</f>
        <v>107</v>
      </c>
      <c r="AH12" s="124">
        <f>4+15+39+40</f>
        <v>98</v>
      </c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93.2</v>
      </c>
      <c r="BK12">
        <f t="shared" si="0"/>
        <v>89.3</v>
      </c>
      <c r="BL12">
        <f t="shared" si="2"/>
        <v>87.5</v>
      </c>
      <c r="BM12">
        <f t="shared" si="0"/>
        <v>83.4</v>
      </c>
      <c r="BN12">
        <f t="shared" si="0"/>
        <v>83.1</v>
      </c>
      <c r="BO12">
        <f t="shared" si="0"/>
        <v>80.599999999999994</v>
      </c>
      <c r="BP12">
        <f t="shared" si="0"/>
        <v>81.8</v>
      </c>
      <c r="BQ12">
        <f t="shared" si="0"/>
        <v>77.7</v>
      </c>
      <c r="BR12">
        <f t="shared" si="3"/>
        <v>75.111111111111114</v>
      </c>
      <c r="BS12">
        <f t="shared" si="3"/>
        <v>77.875</v>
      </c>
      <c r="BT12">
        <f t="shared" si="0"/>
        <v>76.25</v>
      </c>
      <c r="BU12">
        <f t="shared" si="0"/>
        <v>78.142857142857139</v>
      </c>
      <c r="BV12">
        <f t="shared" si="0"/>
        <v>83.857142857142861</v>
      </c>
      <c r="BW12">
        <f t="shared" si="0"/>
        <v>83</v>
      </c>
      <c r="BX12">
        <f t="shared" si="0"/>
        <v>84.714285714285708</v>
      </c>
      <c r="BY12">
        <f t="shared" si="0"/>
        <v>92.142857142857139</v>
      </c>
      <c r="BZ12">
        <f t="shared" si="0"/>
        <v>97.285714285714292</v>
      </c>
      <c r="CA12">
        <f t="shared" si="0"/>
        <v>100.57142857142857</v>
      </c>
      <c r="CB12">
        <f t="shared" si="0"/>
        <v>99.625</v>
      </c>
      <c r="CC12">
        <f t="shared" si="0"/>
        <v>102.22222222222223</v>
      </c>
      <c r="CD12">
        <f t="shared" si="0"/>
        <v>117.22222222222223</v>
      </c>
      <c r="CE12">
        <f t="shared" si="0"/>
        <v>116</v>
      </c>
      <c r="CF12">
        <f t="shared" si="4"/>
        <v>115.2</v>
      </c>
      <c r="CG12">
        <f t="shared" si="5"/>
        <v>116.5</v>
      </c>
      <c r="CH12">
        <f t="shared" si="6"/>
        <v>118.55555555555556</v>
      </c>
      <c r="CI12">
        <f t="shared" si="7"/>
        <v>119.375</v>
      </c>
      <c r="CJ12">
        <f t="shared" si="8"/>
        <v>117.85714285714286</v>
      </c>
      <c r="CK12">
        <f t="shared" si="9"/>
        <v>124</v>
      </c>
      <c r="CL12">
        <f t="shared" si="10"/>
        <v>130.19999999999999</v>
      </c>
      <c r="CM12">
        <f t="shared" si="11"/>
        <v>132</v>
      </c>
      <c r="CN12">
        <f t="shared" si="12"/>
        <v>103.33333333333333</v>
      </c>
      <c r="CO12">
        <f t="shared" si="13"/>
        <v>102.5</v>
      </c>
      <c r="CP12">
        <f t="shared" si="14"/>
        <v>98</v>
      </c>
      <c r="CQ12" t="e">
        <f t="shared" si="15"/>
        <v>#DIV/0!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72</v>
      </c>
      <c r="C13" s="16">
        <v>57</v>
      </c>
      <c r="D13" s="16">
        <v>125</v>
      </c>
      <c r="E13" s="16">
        <v>75</v>
      </c>
      <c r="F13" s="16">
        <v>138</v>
      </c>
      <c r="G13" s="16">
        <v>95</v>
      </c>
      <c r="H13" s="16">
        <v>95</v>
      </c>
      <c r="I13" s="16">
        <v>96</v>
      </c>
      <c r="J13" s="16">
        <v>92</v>
      </c>
      <c r="K13" s="16">
        <v>135</v>
      </c>
      <c r="L13" s="16">
        <v>76</v>
      </c>
      <c r="M13" s="16">
        <v>85</v>
      </c>
      <c r="N13" s="16">
        <v>64</v>
      </c>
      <c r="O13" s="16">
        <v>107</v>
      </c>
      <c r="P13" s="16">
        <v>76</v>
      </c>
      <c r="Q13" s="16">
        <v>83</v>
      </c>
      <c r="R13" s="16">
        <v>104</v>
      </c>
      <c r="S13" s="16"/>
      <c r="T13" s="16"/>
      <c r="U13" s="17">
        <v>42</v>
      </c>
      <c r="V13" s="17"/>
      <c r="W13" s="17">
        <v>87</v>
      </c>
      <c r="X13" s="17">
        <v>112</v>
      </c>
      <c r="Y13" s="17">
        <v>115</v>
      </c>
      <c r="Z13" s="17">
        <v>104</v>
      </c>
      <c r="AA13" s="17">
        <v>97</v>
      </c>
      <c r="AB13" s="17">
        <v>118</v>
      </c>
      <c r="AC13" s="17">
        <v>89</v>
      </c>
      <c r="AD13" s="17">
        <v>122</v>
      </c>
      <c r="AE13" s="10">
        <v>168</v>
      </c>
      <c r="AF13" s="10">
        <v>88</v>
      </c>
      <c r="AG13" s="10">
        <f>37+42+46</f>
        <v>125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98</v>
      </c>
      <c r="BK13">
        <f t="shared" si="0"/>
        <v>98.4</v>
      </c>
      <c r="BL13">
        <f t="shared" si="2"/>
        <v>101.2</v>
      </c>
      <c r="BM13">
        <f t="shared" si="0"/>
        <v>95.1</v>
      </c>
      <c r="BN13">
        <f t="shared" si="0"/>
        <v>98.3</v>
      </c>
      <c r="BO13">
        <f t="shared" si="0"/>
        <v>92.1</v>
      </c>
      <c r="BP13">
        <f t="shared" si="0"/>
        <v>90.9</v>
      </c>
      <c r="BQ13">
        <f t="shared" si="0"/>
        <v>91.8</v>
      </c>
      <c r="BR13">
        <f t="shared" si="3"/>
        <v>91.333333333333329</v>
      </c>
      <c r="BS13">
        <f t="shared" si="3"/>
        <v>91.25</v>
      </c>
      <c r="BT13">
        <f t="shared" si="0"/>
        <v>79.625</v>
      </c>
      <c r="BU13">
        <f t="shared" si="0"/>
        <v>80.142857142857139</v>
      </c>
      <c r="BV13">
        <f t="shared" si="0"/>
        <v>80.428571428571431</v>
      </c>
      <c r="BW13">
        <f t="shared" si="0"/>
        <v>87.285714285714292</v>
      </c>
      <c r="BX13">
        <f t="shared" si="0"/>
        <v>88.428571428571431</v>
      </c>
      <c r="BY13">
        <f t="shared" si="0"/>
        <v>92.428571428571431</v>
      </c>
      <c r="BZ13">
        <f t="shared" si="0"/>
        <v>94.428571428571431</v>
      </c>
      <c r="CA13">
        <f t="shared" si="0"/>
        <v>96.428571428571431</v>
      </c>
      <c r="CB13">
        <f t="shared" si="0"/>
        <v>95.5</v>
      </c>
      <c r="CC13">
        <f t="shared" si="0"/>
        <v>98.444444444444443</v>
      </c>
      <c r="CD13">
        <f t="shared" si="0"/>
        <v>112.44444444444444</v>
      </c>
      <c r="CE13">
        <f t="shared" si="0"/>
        <v>110</v>
      </c>
      <c r="CF13">
        <f t="shared" si="4"/>
        <v>113.8</v>
      </c>
      <c r="CG13">
        <f t="shared" si="5"/>
        <v>114</v>
      </c>
      <c r="CH13">
        <f t="shared" si="6"/>
        <v>113.875</v>
      </c>
      <c r="CI13">
        <f t="shared" si="7"/>
        <v>115.28571428571429</v>
      </c>
      <c r="CJ13">
        <f t="shared" si="8"/>
        <v>118.33333333333333</v>
      </c>
      <c r="CK13">
        <f t="shared" si="9"/>
        <v>118.4</v>
      </c>
      <c r="CL13">
        <f t="shared" si="10"/>
        <v>125.75</v>
      </c>
      <c r="CM13">
        <f t="shared" si="11"/>
        <v>127</v>
      </c>
      <c r="CN13">
        <f t="shared" si="12"/>
        <v>106.5</v>
      </c>
      <c r="CO13">
        <f t="shared" si="13"/>
        <v>125</v>
      </c>
      <c r="CP13" t="e">
        <f t="shared" si="14"/>
        <v>#DIV/0!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87</v>
      </c>
      <c r="C14" s="14">
        <v>83</v>
      </c>
      <c r="D14" s="14">
        <v>110</v>
      </c>
      <c r="E14" s="14">
        <v>95</v>
      </c>
      <c r="F14" s="14">
        <v>43</v>
      </c>
      <c r="G14" s="14">
        <v>101</v>
      </c>
      <c r="H14" s="14">
        <v>97</v>
      </c>
      <c r="I14" s="14">
        <v>102</v>
      </c>
      <c r="J14" s="14">
        <v>89</v>
      </c>
      <c r="K14" s="14">
        <v>103</v>
      </c>
      <c r="L14" s="14">
        <v>107</v>
      </c>
      <c r="M14" s="14">
        <v>71</v>
      </c>
      <c r="N14" s="14">
        <v>73</v>
      </c>
      <c r="O14" s="14">
        <v>75</v>
      </c>
      <c r="P14" s="14">
        <v>59</v>
      </c>
      <c r="Q14" s="14">
        <v>71</v>
      </c>
      <c r="R14" s="14">
        <v>111</v>
      </c>
      <c r="S14" s="14"/>
      <c r="T14" s="14"/>
      <c r="U14" s="15">
        <v>91</v>
      </c>
      <c r="V14" s="15"/>
      <c r="W14" s="15">
        <v>87</v>
      </c>
      <c r="X14" s="15">
        <v>60</v>
      </c>
      <c r="Y14" s="15">
        <v>100</v>
      </c>
      <c r="Z14" s="15">
        <v>94</v>
      </c>
      <c r="AA14" s="15">
        <v>94</v>
      </c>
      <c r="AB14" s="15">
        <v>112</v>
      </c>
      <c r="AC14" s="15">
        <v>95</v>
      </c>
      <c r="AD14" s="15">
        <v>69</v>
      </c>
      <c r="AE14" s="124">
        <v>208</v>
      </c>
      <c r="AF14" s="124">
        <v>155</v>
      </c>
      <c r="AG14" s="124">
        <f>1+35+45+50+2</f>
        <v>133</v>
      </c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91</v>
      </c>
      <c r="BK14">
        <f t="shared" si="0"/>
        <v>93</v>
      </c>
      <c r="BL14">
        <f t="shared" si="2"/>
        <v>91.8</v>
      </c>
      <c r="BM14">
        <f t="shared" si="0"/>
        <v>88.1</v>
      </c>
      <c r="BN14">
        <f t="shared" si="0"/>
        <v>86.1</v>
      </c>
      <c r="BO14">
        <f t="shared" si="0"/>
        <v>87.7</v>
      </c>
      <c r="BP14">
        <f t="shared" si="0"/>
        <v>84.7</v>
      </c>
      <c r="BQ14">
        <f t="shared" si="0"/>
        <v>86.1</v>
      </c>
      <c r="BR14">
        <f t="shared" si="3"/>
        <v>84.333333333333329</v>
      </c>
      <c r="BS14">
        <f t="shared" si="3"/>
        <v>83.75</v>
      </c>
      <c r="BT14">
        <f t="shared" si="0"/>
        <v>82.25</v>
      </c>
      <c r="BU14">
        <f t="shared" si="0"/>
        <v>78.714285714285708</v>
      </c>
      <c r="BV14">
        <f t="shared" si="0"/>
        <v>81</v>
      </c>
      <c r="BW14">
        <f t="shared" si="0"/>
        <v>79.142857142857139</v>
      </c>
      <c r="BX14">
        <f t="shared" si="0"/>
        <v>82.714285714285708</v>
      </c>
      <c r="BY14">
        <f t="shared" si="0"/>
        <v>87.714285714285708</v>
      </c>
      <c r="BZ14">
        <f t="shared" si="0"/>
        <v>91</v>
      </c>
      <c r="CA14">
        <f t="shared" si="0"/>
        <v>91.142857142857139</v>
      </c>
      <c r="CB14">
        <f t="shared" si="0"/>
        <v>91.625</v>
      </c>
      <c r="CC14">
        <f t="shared" si="0"/>
        <v>89.111111111111114</v>
      </c>
      <c r="CD14">
        <f t="shared" si="0"/>
        <v>102.11111111111111</v>
      </c>
      <c r="CE14">
        <f t="shared" si="0"/>
        <v>107.4</v>
      </c>
      <c r="CF14">
        <f t="shared" si="4"/>
        <v>112</v>
      </c>
      <c r="CG14">
        <f t="shared" si="5"/>
        <v>117.77777777777777</v>
      </c>
      <c r="CH14">
        <f t="shared" si="6"/>
        <v>120</v>
      </c>
      <c r="CI14">
        <f t="shared" si="7"/>
        <v>123.71428571428571</v>
      </c>
      <c r="CJ14">
        <f t="shared" si="8"/>
        <v>128.66666666666666</v>
      </c>
      <c r="CK14">
        <f t="shared" si="9"/>
        <v>132</v>
      </c>
      <c r="CL14">
        <f t="shared" si="10"/>
        <v>141.25</v>
      </c>
      <c r="CM14">
        <f t="shared" si="11"/>
        <v>165.33333333333334</v>
      </c>
      <c r="CN14">
        <f t="shared" si="12"/>
        <v>144</v>
      </c>
      <c r="CO14">
        <f t="shared" si="13"/>
        <v>133</v>
      </c>
      <c r="CP14" t="e">
        <f t="shared" si="14"/>
        <v>#DIV/0!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44</v>
      </c>
      <c r="C15" s="16">
        <v>35</v>
      </c>
      <c r="D15" s="16">
        <v>40</v>
      </c>
      <c r="E15" s="16">
        <v>74</v>
      </c>
      <c r="F15" s="16">
        <v>37</v>
      </c>
      <c r="G15" s="16">
        <v>57</v>
      </c>
      <c r="H15" s="16">
        <v>46</v>
      </c>
      <c r="I15" s="16">
        <v>95</v>
      </c>
      <c r="J15" s="16">
        <v>44</v>
      </c>
      <c r="K15" s="16">
        <v>31</v>
      </c>
      <c r="L15" s="16">
        <v>58</v>
      </c>
      <c r="M15" s="16">
        <v>44</v>
      </c>
      <c r="N15" s="16">
        <v>60</v>
      </c>
      <c r="O15" s="16">
        <v>59</v>
      </c>
      <c r="P15" s="16">
        <v>51</v>
      </c>
      <c r="Q15" s="16">
        <v>63</v>
      </c>
      <c r="R15" s="16">
        <v>39</v>
      </c>
      <c r="S15" s="16"/>
      <c r="T15" s="16"/>
      <c r="U15" s="17">
        <v>87</v>
      </c>
      <c r="V15" s="17"/>
      <c r="W15" s="17">
        <v>57</v>
      </c>
      <c r="X15" s="17">
        <v>71</v>
      </c>
      <c r="Y15" s="17">
        <v>97</v>
      </c>
      <c r="Z15" s="17">
        <v>115</v>
      </c>
      <c r="AA15" s="17">
        <v>110</v>
      </c>
      <c r="AB15" s="17">
        <v>89</v>
      </c>
      <c r="AC15" s="17">
        <v>65</v>
      </c>
      <c r="AD15" s="17">
        <v>133</v>
      </c>
      <c r="AE15" s="10">
        <v>230</v>
      </c>
      <c r="AF15" s="10">
        <v>134</v>
      </c>
      <c r="AG15" s="10">
        <f>35+32+10</f>
        <v>77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50.3</v>
      </c>
      <c r="BK15">
        <f t="shared" si="0"/>
        <v>51.7</v>
      </c>
      <c r="BL15">
        <f t="shared" si="2"/>
        <v>52.6</v>
      </c>
      <c r="BM15">
        <f t="shared" si="0"/>
        <v>54.6</v>
      </c>
      <c r="BN15">
        <f t="shared" si="0"/>
        <v>53.1</v>
      </c>
      <c r="BO15">
        <f t="shared" si="0"/>
        <v>54.5</v>
      </c>
      <c r="BP15">
        <f t="shared" si="0"/>
        <v>55.1</v>
      </c>
      <c r="BQ15">
        <f t="shared" si="0"/>
        <v>54.4</v>
      </c>
      <c r="BR15">
        <f t="shared" si="3"/>
        <v>49.888888888888886</v>
      </c>
      <c r="BS15">
        <f t="shared" si="3"/>
        <v>50.625</v>
      </c>
      <c r="BT15">
        <f t="shared" si="0"/>
        <v>57.625</v>
      </c>
      <c r="BU15">
        <f t="shared" si="0"/>
        <v>57.571428571428569</v>
      </c>
      <c r="BV15">
        <f t="shared" si="0"/>
        <v>59.428571428571431</v>
      </c>
      <c r="BW15">
        <f t="shared" si="0"/>
        <v>61</v>
      </c>
      <c r="BX15">
        <f t="shared" si="0"/>
        <v>66.428571428571431</v>
      </c>
      <c r="BY15">
        <f t="shared" si="0"/>
        <v>75.571428571428569</v>
      </c>
      <c r="BZ15">
        <f t="shared" si="0"/>
        <v>82.285714285714292</v>
      </c>
      <c r="CA15">
        <f t="shared" si="0"/>
        <v>89.428571428571431</v>
      </c>
      <c r="CB15">
        <f t="shared" si="0"/>
        <v>86.375</v>
      </c>
      <c r="CC15">
        <f t="shared" si="0"/>
        <v>91.555555555555557</v>
      </c>
      <c r="CD15">
        <f t="shared" si="0"/>
        <v>107.44444444444444</v>
      </c>
      <c r="CE15">
        <f t="shared" si="0"/>
        <v>110.1</v>
      </c>
      <c r="CF15">
        <f t="shared" si="4"/>
        <v>112.1</v>
      </c>
      <c r="CG15">
        <f t="shared" si="5"/>
        <v>116.66666666666667</v>
      </c>
      <c r="CH15">
        <f t="shared" si="6"/>
        <v>119.125</v>
      </c>
      <c r="CI15">
        <f t="shared" si="7"/>
        <v>119.71428571428571</v>
      </c>
      <c r="CJ15">
        <f t="shared" si="8"/>
        <v>121.33333333333333</v>
      </c>
      <c r="CK15">
        <f t="shared" si="9"/>
        <v>127.8</v>
      </c>
      <c r="CL15">
        <f t="shared" si="10"/>
        <v>143.5</v>
      </c>
      <c r="CM15">
        <f t="shared" si="11"/>
        <v>147</v>
      </c>
      <c r="CN15">
        <f t="shared" si="12"/>
        <v>105.5</v>
      </c>
      <c r="CO15">
        <f t="shared" si="13"/>
        <v>77</v>
      </c>
      <c r="CP15" t="e">
        <f t="shared" si="14"/>
        <v>#DIV/0!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22</v>
      </c>
      <c r="C16" s="14">
        <v>20</v>
      </c>
      <c r="D16" s="14">
        <v>12</v>
      </c>
      <c r="E16" s="14">
        <v>45</v>
      </c>
      <c r="F16" s="14">
        <v>22</v>
      </c>
      <c r="G16" s="14">
        <v>16</v>
      </c>
      <c r="H16" s="14">
        <v>22</v>
      </c>
      <c r="I16" s="14">
        <v>34</v>
      </c>
      <c r="J16" s="14">
        <v>26</v>
      </c>
      <c r="K16" s="14">
        <v>25</v>
      </c>
      <c r="L16" s="14">
        <v>47</v>
      </c>
      <c r="M16" s="14">
        <v>59</v>
      </c>
      <c r="N16" s="14">
        <v>25</v>
      </c>
      <c r="O16" s="14">
        <v>43</v>
      </c>
      <c r="P16" s="14">
        <v>32</v>
      </c>
      <c r="Q16" s="14">
        <v>52</v>
      </c>
      <c r="R16" s="14">
        <v>19</v>
      </c>
      <c r="S16" s="14"/>
      <c r="T16" s="14"/>
      <c r="U16" s="15">
        <v>39</v>
      </c>
      <c r="V16" s="15"/>
      <c r="W16" s="15">
        <v>36</v>
      </c>
      <c r="X16" s="15">
        <v>63</v>
      </c>
      <c r="Y16" s="15">
        <v>75</v>
      </c>
      <c r="Z16" s="15">
        <v>91</v>
      </c>
      <c r="AA16" s="15">
        <v>73</v>
      </c>
      <c r="AB16" s="15">
        <v>72</v>
      </c>
      <c r="AC16" s="15">
        <v>72</v>
      </c>
      <c r="AD16" s="15">
        <v>68</v>
      </c>
      <c r="AE16" s="124">
        <v>70</v>
      </c>
      <c r="AF16" s="124">
        <v>111</v>
      </c>
      <c r="AG16" s="124">
        <f>29+33+10</f>
        <v>72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24.4</v>
      </c>
      <c r="BK16">
        <f t="shared" si="0"/>
        <v>26.9</v>
      </c>
      <c r="BL16">
        <f t="shared" si="2"/>
        <v>30.8</v>
      </c>
      <c r="BM16">
        <f t="shared" si="0"/>
        <v>32.1</v>
      </c>
      <c r="BN16">
        <f t="shared" si="0"/>
        <v>31.9</v>
      </c>
      <c r="BO16">
        <f t="shared" si="0"/>
        <v>32.9</v>
      </c>
      <c r="BP16">
        <f t="shared" si="0"/>
        <v>36.5</v>
      </c>
      <c r="BQ16">
        <f t="shared" si="0"/>
        <v>36.200000000000003</v>
      </c>
      <c r="BR16">
        <f t="shared" si="3"/>
        <v>36.444444444444443</v>
      </c>
      <c r="BS16">
        <f t="shared" si="3"/>
        <v>37.75</v>
      </c>
      <c r="BT16">
        <f t="shared" si="0"/>
        <v>39.5</v>
      </c>
      <c r="BU16">
        <f t="shared" si="0"/>
        <v>38.428571428571431</v>
      </c>
      <c r="BV16">
        <f t="shared" si="0"/>
        <v>35.142857142857146</v>
      </c>
      <c r="BW16">
        <f t="shared" si="0"/>
        <v>40.571428571428569</v>
      </c>
      <c r="BX16">
        <f t="shared" si="0"/>
        <v>45.142857142857146</v>
      </c>
      <c r="BY16">
        <f t="shared" si="0"/>
        <v>53.571428571428569</v>
      </c>
      <c r="BZ16">
        <f t="shared" si="0"/>
        <v>56.571428571428569</v>
      </c>
      <c r="CA16">
        <f t="shared" si="0"/>
        <v>64.142857142857139</v>
      </c>
      <c r="CB16">
        <f t="shared" si="0"/>
        <v>65.125</v>
      </c>
      <c r="CC16">
        <f t="shared" si="0"/>
        <v>65.444444444444443</v>
      </c>
      <c r="CD16">
        <f t="shared" si="0"/>
        <v>68.888888888888886</v>
      </c>
      <c r="CE16">
        <f t="shared" si="0"/>
        <v>73.099999999999994</v>
      </c>
      <c r="CF16">
        <f t="shared" si="4"/>
        <v>76.7</v>
      </c>
      <c r="CG16">
        <f t="shared" si="5"/>
        <v>78.222222222222229</v>
      </c>
      <c r="CH16">
        <f t="shared" si="6"/>
        <v>78.625</v>
      </c>
      <c r="CI16">
        <f t="shared" si="7"/>
        <v>76.857142857142861</v>
      </c>
      <c r="CJ16">
        <f t="shared" si="8"/>
        <v>77.5</v>
      </c>
      <c r="CK16">
        <f t="shared" si="9"/>
        <v>78.599999999999994</v>
      </c>
      <c r="CL16">
        <f t="shared" si="10"/>
        <v>80.25</v>
      </c>
      <c r="CM16">
        <f t="shared" si="11"/>
        <v>84.333333333333329</v>
      </c>
      <c r="CN16">
        <f t="shared" si="12"/>
        <v>91.5</v>
      </c>
      <c r="CO16">
        <f t="shared" si="13"/>
        <v>72</v>
      </c>
      <c r="CP16" t="e">
        <f t="shared" si="14"/>
        <v>#DIV/0!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794</v>
      </c>
      <c r="C18" s="22">
        <f t="shared" ref="C18:AZ18" si="29">SUM(C5:C16)</f>
        <v>747</v>
      </c>
      <c r="D18" s="22">
        <f t="shared" si="29"/>
        <v>832</v>
      </c>
      <c r="E18" s="22">
        <f t="shared" si="29"/>
        <v>741</v>
      </c>
      <c r="F18" s="22">
        <f t="shared" si="29"/>
        <v>790</v>
      </c>
      <c r="G18" s="22">
        <f t="shared" si="29"/>
        <v>802</v>
      </c>
      <c r="H18" s="22">
        <f t="shared" si="29"/>
        <v>735</v>
      </c>
      <c r="I18" s="22">
        <f t="shared" si="29"/>
        <v>1001</v>
      </c>
      <c r="J18" s="22">
        <f t="shared" si="29"/>
        <v>741</v>
      </c>
      <c r="K18" s="22">
        <f t="shared" si="29"/>
        <v>882</v>
      </c>
      <c r="L18" s="22">
        <f t="shared" si="29"/>
        <v>782</v>
      </c>
      <c r="M18" s="22">
        <f t="shared" si="29"/>
        <v>867</v>
      </c>
      <c r="N18" s="22">
        <f t="shared" si="29"/>
        <v>587</v>
      </c>
      <c r="O18" s="22">
        <f t="shared" si="29"/>
        <v>782</v>
      </c>
      <c r="P18" s="22">
        <f t="shared" si="29"/>
        <v>696</v>
      </c>
      <c r="Q18" s="22">
        <f t="shared" si="29"/>
        <v>723</v>
      </c>
      <c r="R18" s="22">
        <f t="shared" si="29"/>
        <v>744</v>
      </c>
      <c r="S18" s="22">
        <f t="shared" si="29"/>
        <v>0</v>
      </c>
      <c r="T18" s="22">
        <f t="shared" si="29"/>
        <v>0</v>
      </c>
      <c r="U18" s="22">
        <f t="shared" si="29"/>
        <v>562</v>
      </c>
      <c r="V18" s="22">
        <f t="shared" si="29"/>
        <v>0</v>
      </c>
      <c r="W18" s="22">
        <f t="shared" si="29"/>
        <v>928</v>
      </c>
      <c r="X18" s="22">
        <f t="shared" si="29"/>
        <v>890</v>
      </c>
      <c r="Y18" s="22">
        <f t="shared" si="29"/>
        <v>954</v>
      </c>
      <c r="Z18" s="22">
        <f t="shared" si="29"/>
        <v>1096</v>
      </c>
      <c r="AA18" s="22">
        <f t="shared" si="29"/>
        <v>1283</v>
      </c>
      <c r="AB18" s="22">
        <f t="shared" si="29"/>
        <v>1014</v>
      </c>
      <c r="AC18" s="22">
        <f t="shared" si="29"/>
        <v>1039</v>
      </c>
      <c r="AD18" s="22">
        <f t="shared" si="29"/>
        <v>1206</v>
      </c>
      <c r="AE18" s="22">
        <f t="shared" si="29"/>
        <v>1842</v>
      </c>
      <c r="AF18" s="22">
        <f t="shared" si="29"/>
        <v>1592</v>
      </c>
      <c r="AG18" s="22">
        <f t="shared" si="29"/>
        <v>1347</v>
      </c>
      <c r="AH18" s="22">
        <f t="shared" si="29"/>
        <v>768</v>
      </c>
      <c r="AI18" s="22">
        <f t="shared" si="29"/>
        <v>0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 t="shared" ref="BX18:CC18" si="30">AVERAGE(P18:Y18)</f>
        <v>549.70000000000005</v>
      </c>
      <c r="BY18" s="25">
        <f t="shared" si="30"/>
        <v>589.70000000000005</v>
      </c>
      <c r="BZ18" s="25">
        <f t="shared" si="30"/>
        <v>645.70000000000005</v>
      </c>
      <c r="CA18" s="25">
        <f t="shared" si="30"/>
        <v>672.7</v>
      </c>
      <c r="CB18" s="25">
        <f t="shared" si="30"/>
        <v>776.6</v>
      </c>
      <c r="CC18" s="25">
        <f t="shared" si="30"/>
        <v>897.2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transitionEvaluation="1" codeName="Sheet10">
    <tabColor theme="8" tint="-0.249977111117893"/>
  </sheetPr>
  <dimension ref="A1:DD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I14" sqref="AI14"/>
    </sheetView>
  </sheetViews>
  <sheetFormatPr baseColWidth="10" defaultColWidth="9.42578125" defaultRowHeight="20" customHeight="1" x14ac:dyDescent="0.2"/>
  <cols>
    <col min="1" max="1" width="48.7109375" style="5" customWidth="1"/>
    <col min="2" max="22" width="5.7109375" style="5" hidden="1" customWidth="1"/>
    <col min="23" max="29" width="5.7109375" style="5" customWidth="1"/>
    <col min="30" max="30" width="9.42578125" style="5" customWidth="1"/>
    <col min="31" max="52" width="9.42578125" customWidth="1"/>
    <col min="53" max="74" width="9.42578125" style="5" customWidth="1"/>
    <col min="75" max="75" width="0.28515625" style="5" customWidth="1"/>
    <col min="76" max="76" width="25" style="5" customWidth="1"/>
    <col min="77" max="77" width="22.85546875" style="5" customWidth="1"/>
    <col min="78" max="78" width="17.85546875" style="5" customWidth="1"/>
    <col min="79" max="79" width="18.42578125" style="5" customWidth="1"/>
    <col min="80" max="80" width="16.7109375" style="5" customWidth="1"/>
    <col min="81" max="81" width="9.42578125" style="5" customWidth="1"/>
    <col min="82" max="82" width="16.85546875" style="5" customWidth="1"/>
    <col min="83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36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109</v>
      </c>
      <c r="D2" s="34" t="s">
        <v>80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0</v>
      </c>
      <c r="C5" s="16">
        <v>0</v>
      </c>
      <c r="D5" s="16">
        <v>0</v>
      </c>
      <c r="E5" s="16">
        <v>0</v>
      </c>
      <c r="F5" s="16">
        <v>2</v>
      </c>
      <c r="G5" s="16">
        <v>6</v>
      </c>
      <c r="H5" s="16">
        <v>2</v>
      </c>
      <c r="I5" s="16">
        <v>5</v>
      </c>
      <c r="J5" s="16">
        <v>3</v>
      </c>
      <c r="K5" s="16">
        <v>3</v>
      </c>
      <c r="L5" s="16">
        <v>0</v>
      </c>
      <c r="M5" s="16">
        <v>1</v>
      </c>
      <c r="N5" s="16">
        <v>0</v>
      </c>
      <c r="O5" s="16">
        <v>4</v>
      </c>
      <c r="P5" s="16">
        <v>0</v>
      </c>
      <c r="Q5" s="16">
        <v>0</v>
      </c>
      <c r="R5" s="16">
        <v>8</v>
      </c>
      <c r="S5" s="16"/>
      <c r="T5" s="16"/>
      <c r="U5" s="17">
        <v>0</v>
      </c>
      <c r="V5" s="17"/>
      <c r="W5" s="17"/>
      <c r="X5" s="17"/>
      <c r="Y5" s="17">
        <v>1</v>
      </c>
      <c r="Z5" s="17">
        <v>1</v>
      </c>
      <c r="AA5" s="17">
        <v>16</v>
      </c>
      <c r="AB5" s="17">
        <v>7</v>
      </c>
      <c r="AC5" s="17">
        <v>6</v>
      </c>
      <c r="AD5" s="112">
        <v>0</v>
      </c>
      <c r="AE5" s="10">
        <v>5</v>
      </c>
      <c r="AF5" s="10">
        <v>10</v>
      </c>
      <c r="AG5" s="10">
        <v>1</v>
      </c>
      <c r="AH5" s="10">
        <v>4</v>
      </c>
      <c r="AI5" s="10">
        <f>(2)</f>
        <v>2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2.1</v>
      </c>
      <c r="BK5">
        <f t="shared" ref="BK5:DD16" si="0">AVERAGE(C5:L5)</f>
        <v>2.1</v>
      </c>
      <c r="BL5">
        <f>AVERAGE(D5:M5)</f>
        <v>2.2000000000000002</v>
      </c>
      <c r="BM5">
        <f t="shared" si="0"/>
        <v>2.2000000000000002</v>
      </c>
      <c r="BN5">
        <f t="shared" si="0"/>
        <v>2.6</v>
      </c>
      <c r="BO5">
        <f t="shared" si="0"/>
        <v>2.4</v>
      </c>
      <c r="BP5">
        <f t="shared" si="0"/>
        <v>1.8</v>
      </c>
      <c r="BQ5">
        <f t="shared" si="0"/>
        <v>2.4</v>
      </c>
      <c r="BR5">
        <f t="shared" si="0"/>
        <v>2.1111111111111112</v>
      </c>
      <c r="BS5">
        <f t="shared" si="0"/>
        <v>2</v>
      </c>
      <c r="BT5">
        <f t="shared" si="0"/>
        <v>1.625</v>
      </c>
      <c r="BU5">
        <f t="shared" si="0"/>
        <v>1.8571428571428572</v>
      </c>
      <c r="BV5">
        <f t="shared" si="0"/>
        <v>2</v>
      </c>
      <c r="BW5">
        <f t="shared" si="0"/>
        <v>2.4</v>
      </c>
      <c r="BX5">
        <f t="shared" si="0"/>
        <v>1.8</v>
      </c>
      <c r="BY5">
        <f t="shared" si="0"/>
        <v>2</v>
      </c>
      <c r="BZ5">
        <f t="shared" si="0"/>
        <v>5.2</v>
      </c>
      <c r="CA5">
        <f t="shared" si="0"/>
        <v>5</v>
      </c>
      <c r="CB5">
        <f t="shared" si="0"/>
        <v>5.166666666666667</v>
      </c>
      <c r="CC5">
        <f t="shared" si="0"/>
        <v>4.4285714285714288</v>
      </c>
      <c r="CD5">
        <f t="shared" si="0"/>
        <v>5.1428571428571432</v>
      </c>
      <c r="CE5">
        <f t="shared" si="0"/>
        <v>5.75</v>
      </c>
      <c r="CF5">
        <f t="shared" si="0"/>
        <v>5.2222222222222223</v>
      </c>
      <c r="CG5">
        <f t="shared" si="0"/>
        <v>5.0999999999999996</v>
      </c>
      <c r="CH5">
        <f t="shared" si="0"/>
        <v>5.2</v>
      </c>
      <c r="CI5">
        <f t="shared" si="0"/>
        <v>5.666666666666667</v>
      </c>
      <c r="CJ5">
        <f t="shared" si="0"/>
        <v>4.375</v>
      </c>
      <c r="CK5">
        <f t="shared" si="0"/>
        <v>4</v>
      </c>
      <c r="CL5">
        <f t="shared" si="0"/>
        <v>3.6666666666666665</v>
      </c>
      <c r="CM5">
        <f t="shared" si="0"/>
        <v>4.4000000000000004</v>
      </c>
      <c r="CN5">
        <f t="shared" si="0"/>
        <v>4.25</v>
      </c>
      <c r="CO5">
        <f t="shared" si="0"/>
        <v>2.3333333333333335</v>
      </c>
      <c r="CP5">
        <f t="shared" si="0"/>
        <v>3</v>
      </c>
      <c r="CQ5">
        <f t="shared" si="0"/>
        <v>2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3</v>
      </c>
      <c r="C6" s="14">
        <v>0</v>
      </c>
      <c r="D6" s="14">
        <v>0</v>
      </c>
      <c r="E6" s="14">
        <v>0</v>
      </c>
      <c r="F6" s="14">
        <v>1</v>
      </c>
      <c r="G6" s="14">
        <v>1</v>
      </c>
      <c r="H6" s="14">
        <v>1</v>
      </c>
      <c r="I6" s="14">
        <v>3</v>
      </c>
      <c r="J6" s="14">
        <v>3</v>
      </c>
      <c r="K6" s="14">
        <v>0</v>
      </c>
      <c r="L6" s="14">
        <v>0</v>
      </c>
      <c r="M6" s="14">
        <v>4</v>
      </c>
      <c r="N6" s="14">
        <v>5</v>
      </c>
      <c r="O6" s="14">
        <v>3</v>
      </c>
      <c r="P6" s="14">
        <v>0</v>
      </c>
      <c r="Q6" s="14">
        <v>1</v>
      </c>
      <c r="R6" s="14">
        <v>0</v>
      </c>
      <c r="S6" s="14"/>
      <c r="T6" s="14"/>
      <c r="U6" s="15">
        <v>0</v>
      </c>
      <c r="V6" s="15"/>
      <c r="W6" s="15"/>
      <c r="X6" s="15"/>
      <c r="Y6" s="15">
        <v>0</v>
      </c>
      <c r="Z6" s="15">
        <v>0</v>
      </c>
      <c r="AA6" s="15">
        <v>9</v>
      </c>
      <c r="AB6" s="15">
        <v>1</v>
      </c>
      <c r="AC6" s="15">
        <v>2</v>
      </c>
      <c r="AD6" s="111">
        <v>0</v>
      </c>
      <c r="AE6" s="124">
        <v>16</v>
      </c>
      <c r="AF6" s="124">
        <v>1</v>
      </c>
      <c r="AG6" s="124">
        <v>3</v>
      </c>
      <c r="AH6" s="124">
        <v>3</v>
      </c>
      <c r="AI6" s="124">
        <f>(2+6+2+1+1+2)+(1+2)</f>
        <v>17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1.2</v>
      </c>
      <c r="BK6">
        <f t="shared" si="0"/>
        <v>0.9</v>
      </c>
      <c r="BL6">
        <f t="shared" ref="BL6:BL16" si="2">AVERAGE(D6:M6)</f>
        <v>1.3</v>
      </c>
      <c r="BM6">
        <f t="shared" si="0"/>
        <v>1.8</v>
      </c>
      <c r="BN6">
        <f t="shared" si="0"/>
        <v>2.1</v>
      </c>
      <c r="BO6">
        <f t="shared" si="0"/>
        <v>2</v>
      </c>
      <c r="BP6">
        <f t="shared" si="0"/>
        <v>2</v>
      </c>
      <c r="BQ6">
        <f t="shared" si="0"/>
        <v>1.9</v>
      </c>
      <c r="BR6">
        <f t="shared" ref="BR6:BS16" si="3">AVERAGE(J6:S6)</f>
        <v>1.7777777777777777</v>
      </c>
      <c r="BS6">
        <f t="shared" si="3"/>
        <v>1.625</v>
      </c>
      <c r="BT6">
        <f t="shared" si="0"/>
        <v>1.625</v>
      </c>
      <c r="BU6">
        <f t="shared" si="0"/>
        <v>1.8571428571428572</v>
      </c>
      <c r="BV6">
        <f t="shared" si="0"/>
        <v>1.5</v>
      </c>
      <c r="BW6">
        <f t="shared" si="0"/>
        <v>0.8</v>
      </c>
      <c r="BX6">
        <f t="shared" si="0"/>
        <v>0.2</v>
      </c>
      <c r="BY6">
        <f t="shared" si="0"/>
        <v>0.2</v>
      </c>
      <c r="BZ6">
        <f t="shared" si="0"/>
        <v>1.8</v>
      </c>
      <c r="CA6">
        <f t="shared" si="0"/>
        <v>2</v>
      </c>
      <c r="CB6">
        <f t="shared" si="0"/>
        <v>2</v>
      </c>
      <c r="CC6">
        <f t="shared" si="0"/>
        <v>1.7142857142857142</v>
      </c>
      <c r="CD6">
        <f t="shared" si="0"/>
        <v>4</v>
      </c>
      <c r="CE6">
        <f t="shared" si="0"/>
        <v>3.625</v>
      </c>
      <c r="CF6">
        <f t="shared" ref="CF6:CF16" si="4">AVERAGE(X6:AG6)</f>
        <v>3.5555555555555554</v>
      </c>
      <c r="CG6">
        <f t="shared" ref="CG6:CG16" si="5">AVERAGE(Y6:AH6)</f>
        <v>3.5</v>
      </c>
      <c r="CH6">
        <f t="shared" ref="CH6:CH16" si="6">AVERAGE(Z6:AI6)</f>
        <v>5.2</v>
      </c>
      <c r="CI6">
        <f t="shared" ref="CI6:CI16" si="7">AVERAGE(AA6:AJ6)</f>
        <v>5.7777777777777777</v>
      </c>
      <c r="CJ6">
        <f t="shared" ref="CJ6:CJ16" si="8">AVERAGE(AB6:AK6)</f>
        <v>5.375</v>
      </c>
      <c r="CK6">
        <f t="shared" ref="CK6:CK16" si="9">AVERAGE(AC6:AL6)</f>
        <v>6</v>
      </c>
      <c r="CL6">
        <f t="shared" ref="CL6:CL16" si="10">AVERAGE(AD6:AM6)</f>
        <v>6.666666666666667</v>
      </c>
      <c r="CM6">
        <f t="shared" ref="CM6:CM16" si="11">AVERAGE(AE6:AN6)</f>
        <v>8</v>
      </c>
      <c r="CN6">
        <f t="shared" ref="CN6:CN16" si="12">AVERAGE(AF6:AO6)</f>
        <v>6</v>
      </c>
      <c r="CO6">
        <f t="shared" ref="CO6:CO16" si="13">AVERAGE(AG6:AP6)</f>
        <v>7.666666666666667</v>
      </c>
      <c r="CP6">
        <f t="shared" ref="CP6:CP16" si="14">AVERAGE(AH6:AQ6)</f>
        <v>10</v>
      </c>
      <c r="CQ6">
        <f t="shared" ref="CQ6:CQ16" si="15">AVERAGE(AI6:AR6)</f>
        <v>17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5</v>
      </c>
      <c r="C7" s="16">
        <v>3</v>
      </c>
      <c r="D7" s="16">
        <v>3</v>
      </c>
      <c r="E7" s="16">
        <v>5</v>
      </c>
      <c r="F7" s="16">
        <v>7</v>
      </c>
      <c r="G7" s="16">
        <v>4</v>
      </c>
      <c r="H7" s="16">
        <v>2</v>
      </c>
      <c r="I7" s="16">
        <v>8</v>
      </c>
      <c r="J7" s="16">
        <v>3</v>
      </c>
      <c r="K7" s="16">
        <v>7</v>
      </c>
      <c r="L7" s="16">
        <v>0</v>
      </c>
      <c r="M7" s="16">
        <v>5</v>
      </c>
      <c r="N7" s="16">
        <v>2</v>
      </c>
      <c r="O7" s="16">
        <v>0</v>
      </c>
      <c r="P7" s="16">
        <v>4</v>
      </c>
      <c r="Q7" s="16">
        <v>9</v>
      </c>
      <c r="R7" s="16">
        <v>1</v>
      </c>
      <c r="S7" s="16"/>
      <c r="T7" s="16"/>
      <c r="U7" s="17">
        <v>14</v>
      </c>
      <c r="V7" s="17"/>
      <c r="W7" s="17"/>
      <c r="X7" s="17"/>
      <c r="Y7" s="17">
        <v>0</v>
      </c>
      <c r="Z7" s="17">
        <v>2</v>
      </c>
      <c r="AA7" s="17">
        <v>4</v>
      </c>
      <c r="AB7" s="17">
        <v>1</v>
      </c>
      <c r="AC7" s="17">
        <v>4</v>
      </c>
      <c r="AD7" s="112">
        <v>0</v>
      </c>
      <c r="AE7" s="10">
        <v>9</v>
      </c>
      <c r="AF7" s="10">
        <v>2</v>
      </c>
      <c r="AG7" s="10">
        <v>2</v>
      </c>
      <c r="AH7" s="10">
        <v>0</v>
      </c>
      <c r="AI7" s="10">
        <f>(1+2+1)</f>
        <v>4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4.7</v>
      </c>
      <c r="BK7">
        <f t="shared" si="0"/>
        <v>4.2</v>
      </c>
      <c r="BL7">
        <f t="shared" si="2"/>
        <v>4.4000000000000004</v>
      </c>
      <c r="BM7">
        <f t="shared" si="0"/>
        <v>4.3</v>
      </c>
      <c r="BN7">
        <f t="shared" si="0"/>
        <v>3.8</v>
      </c>
      <c r="BO7">
        <f t="shared" si="0"/>
        <v>3.5</v>
      </c>
      <c r="BP7">
        <f t="shared" si="0"/>
        <v>4</v>
      </c>
      <c r="BQ7">
        <f t="shared" si="0"/>
        <v>3.9</v>
      </c>
      <c r="BR7">
        <f t="shared" si="3"/>
        <v>3.4444444444444446</v>
      </c>
      <c r="BS7">
        <f t="shared" si="3"/>
        <v>3.5</v>
      </c>
      <c r="BT7">
        <f t="shared" si="0"/>
        <v>4.375</v>
      </c>
      <c r="BU7">
        <f t="shared" si="0"/>
        <v>5</v>
      </c>
      <c r="BV7">
        <f t="shared" si="0"/>
        <v>5</v>
      </c>
      <c r="BW7">
        <f t="shared" si="0"/>
        <v>5.6</v>
      </c>
      <c r="BX7">
        <f>AVERAGE(P7:Y7)</f>
        <v>5.6</v>
      </c>
      <c r="BY7">
        <f t="shared" si="0"/>
        <v>5.2</v>
      </c>
      <c r="BZ7">
        <f t="shared" si="0"/>
        <v>4.2</v>
      </c>
      <c r="CA7">
        <f t="shared" si="0"/>
        <v>4.2</v>
      </c>
      <c r="CB7">
        <f t="shared" si="0"/>
        <v>4.166666666666667</v>
      </c>
      <c r="CC7">
        <f t="shared" si="0"/>
        <v>3.5714285714285716</v>
      </c>
      <c r="CD7">
        <f t="shared" si="0"/>
        <v>2.8571428571428572</v>
      </c>
      <c r="CE7">
        <f>AVERAGE(W7:AF7)</f>
        <v>2.75</v>
      </c>
      <c r="CF7">
        <f t="shared" si="4"/>
        <v>2.6666666666666665</v>
      </c>
      <c r="CG7">
        <f t="shared" si="5"/>
        <v>2.4</v>
      </c>
      <c r="CH7">
        <f t="shared" si="6"/>
        <v>2.8</v>
      </c>
      <c r="CI7">
        <f t="shared" si="7"/>
        <v>2.8888888888888888</v>
      </c>
      <c r="CJ7">
        <f t="shared" si="8"/>
        <v>2.75</v>
      </c>
      <c r="CK7">
        <f t="shared" si="9"/>
        <v>3</v>
      </c>
      <c r="CL7">
        <f t="shared" si="10"/>
        <v>2.8333333333333335</v>
      </c>
      <c r="CM7">
        <f t="shared" si="11"/>
        <v>3.4</v>
      </c>
      <c r="CN7">
        <f t="shared" si="12"/>
        <v>2</v>
      </c>
      <c r="CO7">
        <f t="shared" si="13"/>
        <v>2</v>
      </c>
      <c r="CP7">
        <f t="shared" si="14"/>
        <v>2</v>
      </c>
      <c r="CQ7">
        <f t="shared" si="15"/>
        <v>4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22</v>
      </c>
      <c r="C8" s="14">
        <v>15</v>
      </c>
      <c r="D8" s="14">
        <v>13</v>
      </c>
      <c r="E8" s="14">
        <v>16</v>
      </c>
      <c r="F8" s="14">
        <v>26</v>
      </c>
      <c r="G8" s="14">
        <v>2</v>
      </c>
      <c r="H8" s="14">
        <v>5</v>
      </c>
      <c r="I8" s="14">
        <v>6</v>
      </c>
      <c r="J8" s="14">
        <v>19</v>
      </c>
      <c r="K8" s="14">
        <v>3</v>
      </c>
      <c r="L8" s="14">
        <v>15</v>
      </c>
      <c r="M8" s="14">
        <v>17</v>
      </c>
      <c r="N8" s="14">
        <v>20</v>
      </c>
      <c r="O8" s="14">
        <v>14</v>
      </c>
      <c r="P8" s="14">
        <v>6</v>
      </c>
      <c r="Q8" s="14">
        <v>13</v>
      </c>
      <c r="R8" s="14">
        <v>3</v>
      </c>
      <c r="S8" s="14"/>
      <c r="T8" s="14"/>
      <c r="U8" s="15">
        <v>8</v>
      </c>
      <c r="V8" s="15"/>
      <c r="W8" s="15"/>
      <c r="X8" s="15"/>
      <c r="Y8" s="15">
        <v>7</v>
      </c>
      <c r="Z8" s="15">
        <v>6</v>
      </c>
      <c r="AA8" s="15">
        <v>15</v>
      </c>
      <c r="AB8" s="15">
        <v>16</v>
      </c>
      <c r="AC8" s="15">
        <v>6</v>
      </c>
      <c r="AD8" s="111">
        <v>24</v>
      </c>
      <c r="AE8" s="124">
        <v>8</v>
      </c>
      <c r="AF8" s="124">
        <v>11</v>
      </c>
      <c r="AG8" s="124">
        <v>15</v>
      </c>
      <c r="AH8" s="124">
        <v>1</v>
      </c>
      <c r="AI8" s="124">
        <f>(1)</f>
        <v>1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12.7</v>
      </c>
      <c r="BK8">
        <f t="shared" si="0"/>
        <v>12</v>
      </c>
      <c r="BL8">
        <f t="shared" si="2"/>
        <v>12.2</v>
      </c>
      <c r="BM8">
        <f t="shared" si="0"/>
        <v>12.9</v>
      </c>
      <c r="BN8">
        <f t="shared" si="0"/>
        <v>12.7</v>
      </c>
      <c r="BO8">
        <f t="shared" si="0"/>
        <v>10.7</v>
      </c>
      <c r="BP8">
        <f t="shared" si="0"/>
        <v>11.8</v>
      </c>
      <c r="BQ8">
        <f t="shared" si="0"/>
        <v>11.6</v>
      </c>
      <c r="BR8">
        <f t="shared" si="3"/>
        <v>12.222222222222221</v>
      </c>
      <c r="BS8">
        <f t="shared" si="3"/>
        <v>11.375</v>
      </c>
      <c r="BT8">
        <f>AVERAGE(L8:U8)</f>
        <v>12</v>
      </c>
      <c r="BU8">
        <f t="shared" si="0"/>
        <v>11.571428571428571</v>
      </c>
      <c r="BV8">
        <f t="shared" si="0"/>
        <v>10.666666666666666</v>
      </c>
      <c r="BW8">
        <f t="shared" si="0"/>
        <v>8.8000000000000007</v>
      </c>
      <c r="BX8">
        <f t="shared" si="0"/>
        <v>7.4</v>
      </c>
      <c r="BY8">
        <f t="shared" si="0"/>
        <v>7.4</v>
      </c>
      <c r="BZ8">
        <f t="shared" si="0"/>
        <v>7.8</v>
      </c>
      <c r="CA8">
        <f t="shared" si="0"/>
        <v>10.4</v>
      </c>
      <c r="CB8">
        <f t="shared" si="0"/>
        <v>9.6666666666666661</v>
      </c>
      <c r="CC8">
        <f t="shared" si="0"/>
        <v>11.714285714285714</v>
      </c>
      <c r="CD8">
        <f t="shared" si="0"/>
        <v>11.714285714285714</v>
      </c>
      <c r="CE8">
        <f t="shared" si="0"/>
        <v>11.625</v>
      </c>
      <c r="CF8">
        <f t="shared" si="4"/>
        <v>12</v>
      </c>
      <c r="CG8">
        <f t="shared" si="5"/>
        <v>10.9</v>
      </c>
      <c r="CH8">
        <f t="shared" si="6"/>
        <v>10.3</v>
      </c>
      <c r="CI8">
        <f t="shared" si="7"/>
        <v>10.777777777777779</v>
      </c>
      <c r="CJ8">
        <f t="shared" si="8"/>
        <v>10.25</v>
      </c>
      <c r="CK8">
        <f t="shared" si="9"/>
        <v>9.4285714285714288</v>
      </c>
      <c r="CL8">
        <f t="shared" si="10"/>
        <v>10</v>
      </c>
      <c r="CM8">
        <f t="shared" si="11"/>
        <v>7.2</v>
      </c>
      <c r="CN8">
        <f t="shared" si="12"/>
        <v>7</v>
      </c>
      <c r="CO8">
        <f t="shared" si="13"/>
        <v>5.666666666666667</v>
      </c>
      <c r="CP8">
        <f t="shared" si="14"/>
        <v>1</v>
      </c>
      <c r="CQ8">
        <f t="shared" si="15"/>
        <v>1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33</v>
      </c>
      <c r="C9" s="16">
        <v>58</v>
      </c>
      <c r="D9" s="16">
        <v>50</v>
      </c>
      <c r="E9" s="16">
        <v>52</v>
      </c>
      <c r="F9" s="16">
        <v>24</v>
      </c>
      <c r="G9" s="16">
        <v>25</v>
      </c>
      <c r="H9" s="16">
        <v>15</v>
      </c>
      <c r="I9" s="16">
        <v>26</v>
      </c>
      <c r="J9" s="16">
        <v>30</v>
      </c>
      <c r="K9" s="16">
        <v>16</v>
      </c>
      <c r="L9" s="16">
        <v>5</v>
      </c>
      <c r="M9" s="16">
        <v>32</v>
      </c>
      <c r="N9" s="16">
        <v>44</v>
      </c>
      <c r="O9" s="16">
        <v>8</v>
      </c>
      <c r="P9" s="16">
        <v>32</v>
      </c>
      <c r="Q9" s="16">
        <v>15</v>
      </c>
      <c r="R9" s="16">
        <v>35</v>
      </c>
      <c r="S9" s="16"/>
      <c r="T9" s="16"/>
      <c r="U9" s="17">
        <v>9</v>
      </c>
      <c r="V9" s="17"/>
      <c r="W9" s="17"/>
      <c r="X9" s="17"/>
      <c r="Y9" s="17">
        <v>18</v>
      </c>
      <c r="Z9" s="17">
        <v>30</v>
      </c>
      <c r="AA9" s="17">
        <v>6</v>
      </c>
      <c r="AB9" s="17">
        <v>19</v>
      </c>
      <c r="AC9" s="17">
        <v>1</v>
      </c>
      <c r="AD9" s="112">
        <v>8</v>
      </c>
      <c r="AE9" s="10">
        <v>24</v>
      </c>
      <c r="AF9" s="10">
        <v>7</v>
      </c>
      <c r="AG9" s="10">
        <v>1</v>
      </c>
      <c r="AH9" s="10">
        <f>2+(1+2+1+3+2+1)</f>
        <v>12</v>
      </c>
      <c r="AI9" s="10">
        <f>(7+2+4+3+5+2)</f>
        <v>23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32.9</v>
      </c>
      <c r="BK9">
        <f t="shared" si="0"/>
        <v>30.1</v>
      </c>
      <c r="BL9">
        <f t="shared" si="2"/>
        <v>27.5</v>
      </c>
      <c r="BM9">
        <f t="shared" si="0"/>
        <v>26.9</v>
      </c>
      <c r="BN9">
        <f t="shared" si="0"/>
        <v>22.5</v>
      </c>
      <c r="BO9">
        <f t="shared" si="0"/>
        <v>23.3</v>
      </c>
      <c r="BP9">
        <f t="shared" si="0"/>
        <v>22.3</v>
      </c>
      <c r="BQ9">
        <f t="shared" si="0"/>
        <v>24.3</v>
      </c>
      <c r="BR9">
        <f t="shared" si="3"/>
        <v>24.111111111111111</v>
      </c>
      <c r="BS9">
        <f t="shared" si="3"/>
        <v>23.375</v>
      </c>
      <c r="BT9">
        <f t="shared" si="0"/>
        <v>22.5</v>
      </c>
      <c r="BU9">
        <f t="shared" si="0"/>
        <v>25</v>
      </c>
      <c r="BV9">
        <f t="shared" si="0"/>
        <v>23.833333333333332</v>
      </c>
      <c r="BW9">
        <f t="shared" si="0"/>
        <v>19.8</v>
      </c>
      <c r="BX9">
        <f t="shared" si="0"/>
        <v>21.8</v>
      </c>
      <c r="BY9">
        <f t="shared" si="0"/>
        <v>21.4</v>
      </c>
      <c r="BZ9">
        <f t="shared" si="0"/>
        <v>19.600000000000001</v>
      </c>
      <c r="CA9">
        <f t="shared" si="0"/>
        <v>16.399999999999999</v>
      </c>
      <c r="CB9">
        <f t="shared" si="0"/>
        <v>13.833333333333334</v>
      </c>
      <c r="CC9">
        <f t="shared" si="0"/>
        <v>13</v>
      </c>
      <c r="CD9">
        <f t="shared" si="0"/>
        <v>15.142857142857142</v>
      </c>
      <c r="CE9">
        <f t="shared" si="0"/>
        <v>14.125</v>
      </c>
      <c r="CF9">
        <f t="shared" si="4"/>
        <v>12.666666666666666</v>
      </c>
      <c r="CG9">
        <f t="shared" si="5"/>
        <v>12.6</v>
      </c>
      <c r="CH9">
        <f t="shared" si="6"/>
        <v>13.1</v>
      </c>
      <c r="CI9">
        <f t="shared" si="7"/>
        <v>11.222222222222221</v>
      </c>
      <c r="CJ9">
        <f t="shared" si="8"/>
        <v>11.875</v>
      </c>
      <c r="CK9">
        <f t="shared" si="9"/>
        <v>10.857142857142858</v>
      </c>
      <c r="CL9">
        <f t="shared" si="10"/>
        <v>12.5</v>
      </c>
      <c r="CM9">
        <f t="shared" si="11"/>
        <v>13.4</v>
      </c>
      <c r="CN9">
        <f t="shared" si="12"/>
        <v>10.75</v>
      </c>
      <c r="CO9">
        <f t="shared" si="13"/>
        <v>12</v>
      </c>
      <c r="CP9">
        <f t="shared" si="14"/>
        <v>17.5</v>
      </c>
      <c r="CQ9">
        <f t="shared" si="15"/>
        <v>23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21</v>
      </c>
      <c r="C10" s="14">
        <v>27</v>
      </c>
      <c r="D10" s="14">
        <v>22</v>
      </c>
      <c r="E10" s="14">
        <v>36</v>
      </c>
      <c r="F10" s="14">
        <v>15</v>
      </c>
      <c r="G10" s="14">
        <v>35</v>
      </c>
      <c r="H10" s="14">
        <v>12</v>
      </c>
      <c r="I10" s="14">
        <v>14</v>
      </c>
      <c r="J10" s="14">
        <v>151</v>
      </c>
      <c r="K10" s="14">
        <v>6</v>
      </c>
      <c r="L10" s="14">
        <v>4</v>
      </c>
      <c r="M10" s="14">
        <v>34</v>
      </c>
      <c r="N10" s="14">
        <v>48</v>
      </c>
      <c r="O10" s="14">
        <v>19</v>
      </c>
      <c r="P10" s="14">
        <v>27</v>
      </c>
      <c r="Q10" s="14">
        <v>29</v>
      </c>
      <c r="R10" s="14">
        <v>19</v>
      </c>
      <c r="S10" s="14"/>
      <c r="T10" s="14"/>
      <c r="U10" s="15">
        <v>12</v>
      </c>
      <c r="V10" s="15"/>
      <c r="W10" s="15"/>
      <c r="X10" s="15"/>
      <c r="Y10" s="15">
        <v>19</v>
      </c>
      <c r="Z10" s="15">
        <v>2</v>
      </c>
      <c r="AA10" s="15">
        <v>12</v>
      </c>
      <c r="AB10" s="15">
        <v>6</v>
      </c>
      <c r="AC10" s="15">
        <v>20</v>
      </c>
      <c r="AD10" s="111">
        <v>12</v>
      </c>
      <c r="AE10" s="124">
        <v>25</v>
      </c>
      <c r="AF10" s="124">
        <v>15</v>
      </c>
      <c r="AG10" s="124">
        <v>7</v>
      </c>
      <c r="AH10" s="124">
        <f>(2+1+2)</f>
        <v>5</v>
      </c>
      <c r="AI10" s="124">
        <f>(1+2+1+4+2+2+1+2)+(1+1)</f>
        <v>17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33.9</v>
      </c>
      <c r="BK10">
        <f t="shared" si="0"/>
        <v>32.200000000000003</v>
      </c>
      <c r="BL10">
        <f t="shared" si="2"/>
        <v>32.9</v>
      </c>
      <c r="BM10">
        <f t="shared" si="0"/>
        <v>35.5</v>
      </c>
      <c r="BN10">
        <f t="shared" si="0"/>
        <v>33.799999999999997</v>
      </c>
      <c r="BO10">
        <f t="shared" si="0"/>
        <v>35</v>
      </c>
      <c r="BP10">
        <f t="shared" si="0"/>
        <v>34.4</v>
      </c>
      <c r="BQ10">
        <f t="shared" si="0"/>
        <v>35.1</v>
      </c>
      <c r="BR10">
        <f t="shared" si="3"/>
        <v>37.444444444444443</v>
      </c>
      <c r="BS10">
        <f t="shared" si="3"/>
        <v>23.25</v>
      </c>
      <c r="BT10">
        <f t="shared" si="0"/>
        <v>24</v>
      </c>
      <c r="BU10">
        <f t="shared" si="0"/>
        <v>26.857142857142858</v>
      </c>
      <c r="BV10">
        <f t="shared" si="0"/>
        <v>25.666666666666668</v>
      </c>
      <c r="BW10">
        <f t="shared" si="0"/>
        <v>21.2</v>
      </c>
      <c r="BX10">
        <f t="shared" si="0"/>
        <v>21.2</v>
      </c>
      <c r="BY10">
        <f t="shared" si="0"/>
        <v>16.2</v>
      </c>
      <c r="BZ10">
        <f t="shared" si="0"/>
        <v>12.8</v>
      </c>
      <c r="CA10">
        <f t="shared" si="0"/>
        <v>10.199999999999999</v>
      </c>
      <c r="CB10">
        <f t="shared" si="0"/>
        <v>11.833333333333334</v>
      </c>
      <c r="CC10">
        <f t="shared" si="0"/>
        <v>11.857142857142858</v>
      </c>
      <c r="CD10">
        <f t="shared" si="0"/>
        <v>13.714285714285714</v>
      </c>
      <c r="CE10">
        <f t="shared" si="0"/>
        <v>13.875</v>
      </c>
      <c r="CF10">
        <f t="shared" si="4"/>
        <v>13.111111111111111</v>
      </c>
      <c r="CG10">
        <f t="shared" si="5"/>
        <v>12.3</v>
      </c>
      <c r="CH10">
        <f t="shared" si="6"/>
        <v>12.1</v>
      </c>
      <c r="CI10">
        <f t="shared" si="7"/>
        <v>13.222222222222221</v>
      </c>
      <c r="CJ10">
        <f t="shared" si="8"/>
        <v>13.375</v>
      </c>
      <c r="CK10">
        <f t="shared" si="9"/>
        <v>14.428571428571429</v>
      </c>
      <c r="CL10">
        <f t="shared" si="10"/>
        <v>13.5</v>
      </c>
      <c r="CM10">
        <f t="shared" si="11"/>
        <v>13.8</v>
      </c>
      <c r="CN10">
        <f t="shared" si="12"/>
        <v>11</v>
      </c>
      <c r="CO10">
        <f t="shared" si="13"/>
        <v>9.6666666666666661</v>
      </c>
      <c r="CP10">
        <f t="shared" si="14"/>
        <v>11</v>
      </c>
      <c r="CQ10">
        <f t="shared" si="15"/>
        <v>17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74</v>
      </c>
      <c r="C11" s="16">
        <v>43</v>
      </c>
      <c r="D11" s="16">
        <v>39</v>
      </c>
      <c r="E11" s="16">
        <v>56</v>
      </c>
      <c r="F11" s="16">
        <v>46</v>
      </c>
      <c r="G11" s="16">
        <v>20</v>
      </c>
      <c r="H11" s="16">
        <v>35</v>
      </c>
      <c r="I11" s="16">
        <v>32</v>
      </c>
      <c r="J11" s="16">
        <v>125</v>
      </c>
      <c r="K11" s="16">
        <v>18</v>
      </c>
      <c r="L11" s="16">
        <v>26</v>
      </c>
      <c r="M11" s="16">
        <v>49</v>
      </c>
      <c r="N11" s="16">
        <v>37</v>
      </c>
      <c r="O11" s="16">
        <v>22</v>
      </c>
      <c r="P11" s="16">
        <v>20</v>
      </c>
      <c r="Q11" s="16">
        <v>16</v>
      </c>
      <c r="R11" s="16">
        <v>5</v>
      </c>
      <c r="S11" s="16"/>
      <c r="T11" s="16"/>
      <c r="U11" s="17">
        <v>7</v>
      </c>
      <c r="V11" s="17"/>
      <c r="W11" s="17"/>
      <c r="X11" s="17"/>
      <c r="Y11" s="17">
        <v>6</v>
      </c>
      <c r="Z11" s="17">
        <v>7</v>
      </c>
      <c r="AA11" s="17">
        <v>16</v>
      </c>
      <c r="AB11" s="17">
        <v>28</v>
      </c>
      <c r="AC11" s="17">
        <v>9</v>
      </c>
      <c r="AD11" s="112">
        <v>9</v>
      </c>
      <c r="AE11" s="10">
        <v>16</v>
      </c>
      <c r="AF11" s="10">
        <v>13</v>
      </c>
      <c r="AG11" s="10">
        <v>18</v>
      </c>
      <c r="AH11" s="10">
        <f>(2+1+2+2+1+1+1)</f>
        <v>10</v>
      </c>
      <c r="AI11" s="10">
        <f>(2+2+4+1+2+2+2+1)</f>
        <v>16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48.8</v>
      </c>
      <c r="BK11">
        <f t="shared" si="0"/>
        <v>44</v>
      </c>
      <c r="BL11">
        <f t="shared" si="2"/>
        <v>44.6</v>
      </c>
      <c r="BM11">
        <f t="shared" si="0"/>
        <v>44.4</v>
      </c>
      <c r="BN11">
        <f t="shared" si="0"/>
        <v>41</v>
      </c>
      <c r="BO11">
        <f t="shared" si="0"/>
        <v>38.4</v>
      </c>
      <c r="BP11">
        <f t="shared" si="0"/>
        <v>38</v>
      </c>
      <c r="BQ11">
        <f t="shared" si="0"/>
        <v>35</v>
      </c>
      <c r="BR11">
        <f t="shared" si="3"/>
        <v>35.333333333333336</v>
      </c>
      <c r="BS11">
        <f t="shared" si="3"/>
        <v>24.125</v>
      </c>
      <c r="BT11">
        <f t="shared" si="0"/>
        <v>22.75</v>
      </c>
      <c r="BU11">
        <f t="shared" si="0"/>
        <v>22.285714285714285</v>
      </c>
      <c r="BV11">
        <f t="shared" si="0"/>
        <v>17.833333333333332</v>
      </c>
      <c r="BW11">
        <f t="shared" si="0"/>
        <v>14</v>
      </c>
      <c r="BX11">
        <f t="shared" si="0"/>
        <v>10.8</v>
      </c>
      <c r="BY11">
        <f t="shared" si="0"/>
        <v>8.1999999999999993</v>
      </c>
      <c r="BZ11">
        <f t="shared" si="0"/>
        <v>8.1999999999999993</v>
      </c>
      <c r="CA11">
        <f t="shared" si="0"/>
        <v>12.8</v>
      </c>
      <c r="CB11">
        <f t="shared" si="0"/>
        <v>12.166666666666666</v>
      </c>
      <c r="CC11">
        <f t="shared" si="0"/>
        <v>11.714285714285714</v>
      </c>
      <c r="CD11">
        <f t="shared" si="0"/>
        <v>13</v>
      </c>
      <c r="CE11">
        <f t="shared" si="0"/>
        <v>13</v>
      </c>
      <c r="CF11">
        <f t="shared" si="4"/>
        <v>13.555555555555555</v>
      </c>
      <c r="CG11">
        <f t="shared" si="5"/>
        <v>13.2</v>
      </c>
      <c r="CH11">
        <f t="shared" si="6"/>
        <v>14.2</v>
      </c>
      <c r="CI11">
        <f t="shared" si="7"/>
        <v>15</v>
      </c>
      <c r="CJ11">
        <f t="shared" si="8"/>
        <v>14.875</v>
      </c>
      <c r="CK11">
        <f t="shared" si="9"/>
        <v>13</v>
      </c>
      <c r="CL11">
        <f t="shared" si="10"/>
        <v>13.666666666666666</v>
      </c>
      <c r="CM11">
        <f t="shared" si="11"/>
        <v>14.6</v>
      </c>
      <c r="CN11">
        <f t="shared" si="12"/>
        <v>14.25</v>
      </c>
      <c r="CO11">
        <f t="shared" si="13"/>
        <v>14.666666666666666</v>
      </c>
      <c r="CP11">
        <f t="shared" si="14"/>
        <v>13</v>
      </c>
      <c r="CQ11">
        <f t="shared" si="15"/>
        <v>16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56</v>
      </c>
      <c r="C12" s="14">
        <v>60</v>
      </c>
      <c r="D12" s="14">
        <v>70</v>
      </c>
      <c r="E12" s="14">
        <v>50</v>
      </c>
      <c r="F12" s="14">
        <v>59</v>
      </c>
      <c r="G12" s="14">
        <v>98</v>
      </c>
      <c r="H12" s="14">
        <v>40</v>
      </c>
      <c r="I12" s="14">
        <v>28</v>
      </c>
      <c r="J12" s="14">
        <v>160</v>
      </c>
      <c r="K12" s="14">
        <v>33</v>
      </c>
      <c r="L12" s="14">
        <v>27</v>
      </c>
      <c r="M12" s="14">
        <v>40</v>
      </c>
      <c r="N12" s="14">
        <v>49</v>
      </c>
      <c r="O12" s="14">
        <v>24</v>
      </c>
      <c r="P12" s="14">
        <v>38</v>
      </c>
      <c r="Q12" s="14">
        <v>48</v>
      </c>
      <c r="R12" s="14">
        <v>14</v>
      </c>
      <c r="S12" s="14"/>
      <c r="T12" s="14"/>
      <c r="U12" s="15">
        <v>18</v>
      </c>
      <c r="V12" s="15"/>
      <c r="W12" s="15"/>
      <c r="X12" s="15"/>
      <c r="Y12" s="15">
        <v>11</v>
      </c>
      <c r="Z12" s="15">
        <v>11</v>
      </c>
      <c r="AA12" s="15">
        <v>38</v>
      </c>
      <c r="AB12" s="15">
        <v>13</v>
      </c>
      <c r="AC12" s="15">
        <v>8</v>
      </c>
      <c r="AD12" s="111">
        <v>31</v>
      </c>
      <c r="AE12" s="124">
        <v>25</v>
      </c>
      <c r="AF12" s="124">
        <v>19</v>
      </c>
      <c r="AG12" s="124">
        <v>4</v>
      </c>
      <c r="AH12" s="124">
        <f>(2+1+1)</f>
        <v>4</v>
      </c>
      <c r="AI12" s="124">
        <f>(2+3+2+1+1)</f>
        <v>9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65.400000000000006</v>
      </c>
      <c r="BK12">
        <f t="shared" si="0"/>
        <v>62.5</v>
      </c>
      <c r="BL12">
        <f t="shared" si="2"/>
        <v>60.5</v>
      </c>
      <c r="BM12">
        <f t="shared" si="0"/>
        <v>58.4</v>
      </c>
      <c r="BN12">
        <f t="shared" si="0"/>
        <v>55.8</v>
      </c>
      <c r="BO12">
        <f t="shared" si="0"/>
        <v>53.7</v>
      </c>
      <c r="BP12">
        <f t="shared" si="0"/>
        <v>48.7</v>
      </c>
      <c r="BQ12">
        <f t="shared" si="0"/>
        <v>46.1</v>
      </c>
      <c r="BR12">
        <f t="shared" si="3"/>
        <v>48.111111111111114</v>
      </c>
      <c r="BS12">
        <f t="shared" si="3"/>
        <v>34.125</v>
      </c>
      <c r="BT12">
        <f t="shared" si="0"/>
        <v>32.25</v>
      </c>
      <c r="BU12">
        <f t="shared" si="0"/>
        <v>33</v>
      </c>
      <c r="BV12">
        <f t="shared" si="0"/>
        <v>31.833333333333332</v>
      </c>
      <c r="BW12">
        <f t="shared" si="0"/>
        <v>28.4</v>
      </c>
      <c r="BX12">
        <f t="shared" si="0"/>
        <v>25.8</v>
      </c>
      <c r="BY12">
        <f t="shared" si="0"/>
        <v>20.399999999999999</v>
      </c>
      <c r="BZ12">
        <f t="shared" si="0"/>
        <v>18.399999999999999</v>
      </c>
      <c r="CA12">
        <f t="shared" si="0"/>
        <v>18.2</v>
      </c>
      <c r="CB12">
        <f t="shared" si="0"/>
        <v>16.5</v>
      </c>
      <c r="CC12">
        <f t="shared" si="0"/>
        <v>18.571428571428573</v>
      </c>
      <c r="CD12">
        <f t="shared" si="0"/>
        <v>19.571428571428573</v>
      </c>
      <c r="CE12">
        <f t="shared" si="0"/>
        <v>19.5</v>
      </c>
      <c r="CF12">
        <f t="shared" si="4"/>
        <v>17.777777777777779</v>
      </c>
      <c r="CG12">
        <f t="shared" si="5"/>
        <v>16.399999999999999</v>
      </c>
      <c r="CH12">
        <f t="shared" si="6"/>
        <v>16.2</v>
      </c>
      <c r="CI12">
        <f t="shared" si="7"/>
        <v>16.777777777777779</v>
      </c>
      <c r="CJ12">
        <f t="shared" si="8"/>
        <v>14.125</v>
      </c>
      <c r="CK12">
        <f t="shared" si="9"/>
        <v>14.285714285714286</v>
      </c>
      <c r="CL12">
        <f t="shared" si="10"/>
        <v>15.333333333333334</v>
      </c>
      <c r="CM12">
        <f t="shared" si="11"/>
        <v>12.2</v>
      </c>
      <c r="CN12">
        <f t="shared" si="12"/>
        <v>9</v>
      </c>
      <c r="CO12">
        <f t="shared" si="13"/>
        <v>5.666666666666667</v>
      </c>
      <c r="CP12">
        <f t="shared" si="14"/>
        <v>6.5</v>
      </c>
      <c r="CQ12">
        <f t="shared" si="15"/>
        <v>9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19</v>
      </c>
      <c r="C13" s="16">
        <v>34</v>
      </c>
      <c r="D13" s="16">
        <v>25</v>
      </c>
      <c r="E13" s="16">
        <v>28</v>
      </c>
      <c r="F13" s="16">
        <v>38</v>
      </c>
      <c r="G13" s="16">
        <v>11</v>
      </c>
      <c r="H13" s="16">
        <v>19</v>
      </c>
      <c r="I13" s="16">
        <v>24</v>
      </c>
      <c r="J13" s="16">
        <v>116</v>
      </c>
      <c r="K13" s="16">
        <v>15</v>
      </c>
      <c r="L13" s="16">
        <v>13</v>
      </c>
      <c r="M13" s="16">
        <v>20</v>
      </c>
      <c r="N13" s="16">
        <v>8</v>
      </c>
      <c r="O13" s="16">
        <v>24</v>
      </c>
      <c r="P13" s="16">
        <v>20</v>
      </c>
      <c r="Q13" s="16">
        <v>0</v>
      </c>
      <c r="R13" s="16">
        <v>11</v>
      </c>
      <c r="S13" s="16"/>
      <c r="T13" s="16"/>
      <c r="U13" s="17">
        <v>5</v>
      </c>
      <c r="V13" s="17"/>
      <c r="W13" s="17"/>
      <c r="X13" s="17"/>
      <c r="Y13" s="17">
        <v>4</v>
      </c>
      <c r="Z13" s="17">
        <v>1</v>
      </c>
      <c r="AA13" s="17">
        <v>1</v>
      </c>
      <c r="AB13" s="17">
        <v>12</v>
      </c>
      <c r="AC13" s="17">
        <v>8</v>
      </c>
      <c r="AD13" s="112">
        <v>21</v>
      </c>
      <c r="AE13" s="10">
        <v>33</v>
      </c>
      <c r="AF13" s="10">
        <v>6</v>
      </c>
      <c r="AG13" s="10">
        <v>8</v>
      </c>
      <c r="AH13" s="10">
        <f>(1+1+4+2)</f>
        <v>8</v>
      </c>
      <c r="AI13" s="10">
        <f>(2+2)+(2+1+2+2+1+1)</f>
        <v>13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32.9</v>
      </c>
      <c r="BK13">
        <f t="shared" si="0"/>
        <v>32.299999999999997</v>
      </c>
      <c r="BL13">
        <f t="shared" si="2"/>
        <v>30.9</v>
      </c>
      <c r="BM13">
        <f t="shared" si="0"/>
        <v>29.2</v>
      </c>
      <c r="BN13">
        <f t="shared" si="0"/>
        <v>28.8</v>
      </c>
      <c r="BO13">
        <f t="shared" si="0"/>
        <v>27</v>
      </c>
      <c r="BP13">
        <f t="shared" si="0"/>
        <v>25.9</v>
      </c>
      <c r="BQ13">
        <f t="shared" si="0"/>
        <v>25.1</v>
      </c>
      <c r="BR13">
        <f t="shared" si="3"/>
        <v>25.222222222222221</v>
      </c>
      <c r="BS13">
        <f t="shared" si="3"/>
        <v>13.875</v>
      </c>
      <c r="BT13">
        <f t="shared" si="0"/>
        <v>12.625</v>
      </c>
      <c r="BU13">
        <f t="shared" si="0"/>
        <v>12.571428571428571</v>
      </c>
      <c r="BV13">
        <f t="shared" si="0"/>
        <v>11.333333333333334</v>
      </c>
      <c r="BW13">
        <f t="shared" si="0"/>
        <v>12</v>
      </c>
      <c r="BX13">
        <f t="shared" si="0"/>
        <v>8</v>
      </c>
      <c r="BY13">
        <f t="shared" si="0"/>
        <v>4.2</v>
      </c>
      <c r="BZ13">
        <f t="shared" si="0"/>
        <v>4.4000000000000004</v>
      </c>
      <c r="CA13">
        <f t="shared" si="0"/>
        <v>4.5999999999999996</v>
      </c>
      <c r="CB13">
        <f t="shared" si="0"/>
        <v>5.166666666666667</v>
      </c>
      <c r="CC13">
        <f t="shared" si="0"/>
        <v>7.4285714285714288</v>
      </c>
      <c r="CD13">
        <f t="shared" si="0"/>
        <v>11.428571428571429</v>
      </c>
      <c r="CE13">
        <f t="shared" si="0"/>
        <v>10.75</v>
      </c>
      <c r="CF13">
        <f t="shared" si="4"/>
        <v>10.444444444444445</v>
      </c>
      <c r="CG13">
        <f t="shared" si="5"/>
        <v>10.199999999999999</v>
      </c>
      <c r="CH13">
        <f t="shared" si="6"/>
        <v>11.1</v>
      </c>
      <c r="CI13">
        <f t="shared" si="7"/>
        <v>12.222222222222221</v>
      </c>
      <c r="CJ13">
        <f t="shared" si="8"/>
        <v>13.625</v>
      </c>
      <c r="CK13">
        <f t="shared" si="9"/>
        <v>13.857142857142858</v>
      </c>
      <c r="CL13">
        <f t="shared" si="10"/>
        <v>14.833333333333334</v>
      </c>
      <c r="CM13">
        <f t="shared" si="11"/>
        <v>13.6</v>
      </c>
      <c r="CN13">
        <f t="shared" si="12"/>
        <v>8.75</v>
      </c>
      <c r="CO13">
        <f t="shared" si="13"/>
        <v>9.6666666666666661</v>
      </c>
      <c r="CP13">
        <f t="shared" si="14"/>
        <v>10.5</v>
      </c>
      <c r="CQ13">
        <f t="shared" si="15"/>
        <v>13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28</v>
      </c>
      <c r="C14" s="14">
        <v>35</v>
      </c>
      <c r="D14" s="14">
        <v>59</v>
      </c>
      <c r="E14" s="14">
        <v>52</v>
      </c>
      <c r="F14" s="14">
        <v>32</v>
      </c>
      <c r="G14" s="14">
        <v>24</v>
      </c>
      <c r="H14" s="14">
        <v>37</v>
      </c>
      <c r="I14" s="14">
        <v>16</v>
      </c>
      <c r="J14" s="14">
        <v>27</v>
      </c>
      <c r="K14" s="14">
        <v>22</v>
      </c>
      <c r="L14" s="14">
        <v>26</v>
      </c>
      <c r="M14" s="14">
        <v>22</v>
      </c>
      <c r="N14" s="14">
        <v>38</v>
      </c>
      <c r="O14" s="14">
        <v>24</v>
      </c>
      <c r="P14" s="14">
        <v>15</v>
      </c>
      <c r="Q14" s="14">
        <v>12</v>
      </c>
      <c r="R14" s="14">
        <v>11</v>
      </c>
      <c r="S14" s="14"/>
      <c r="T14" s="14"/>
      <c r="U14" s="15">
        <v>1</v>
      </c>
      <c r="V14" s="15"/>
      <c r="W14" s="15"/>
      <c r="X14" s="15"/>
      <c r="Y14" s="15">
        <v>3</v>
      </c>
      <c r="Z14" s="15">
        <v>11</v>
      </c>
      <c r="AA14" s="15">
        <v>10</v>
      </c>
      <c r="AB14" s="15">
        <v>16</v>
      </c>
      <c r="AC14" s="15">
        <v>5</v>
      </c>
      <c r="AD14" s="111">
        <v>4</v>
      </c>
      <c r="AE14" s="124">
        <v>5</v>
      </c>
      <c r="AF14" s="124">
        <v>19</v>
      </c>
      <c r="AG14" s="124">
        <v>8</v>
      </c>
      <c r="AH14" s="124">
        <f>(2+1+2+2+1)</f>
        <v>8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33.200000000000003</v>
      </c>
      <c r="BK14">
        <f t="shared" si="0"/>
        <v>33</v>
      </c>
      <c r="BL14">
        <f t="shared" si="2"/>
        <v>31.7</v>
      </c>
      <c r="BM14">
        <f t="shared" si="0"/>
        <v>29.6</v>
      </c>
      <c r="BN14">
        <f t="shared" si="0"/>
        <v>26.8</v>
      </c>
      <c r="BO14">
        <f t="shared" si="0"/>
        <v>25.1</v>
      </c>
      <c r="BP14">
        <f t="shared" si="0"/>
        <v>23.9</v>
      </c>
      <c r="BQ14">
        <f t="shared" si="0"/>
        <v>21.3</v>
      </c>
      <c r="BR14">
        <f t="shared" si="3"/>
        <v>21.888888888888889</v>
      </c>
      <c r="BS14">
        <f t="shared" si="3"/>
        <v>21.25</v>
      </c>
      <c r="BT14">
        <f t="shared" si="0"/>
        <v>18.625</v>
      </c>
      <c r="BU14">
        <f t="shared" si="0"/>
        <v>17.571428571428573</v>
      </c>
      <c r="BV14">
        <f t="shared" si="0"/>
        <v>16.833333333333332</v>
      </c>
      <c r="BW14">
        <f t="shared" si="0"/>
        <v>12.6</v>
      </c>
      <c r="BX14">
        <f t="shared" si="0"/>
        <v>8.4</v>
      </c>
      <c r="BY14">
        <f t="shared" si="0"/>
        <v>7.6</v>
      </c>
      <c r="BZ14">
        <f t="shared" si="0"/>
        <v>7.2</v>
      </c>
      <c r="CA14">
        <f t="shared" si="0"/>
        <v>8.1999999999999993</v>
      </c>
      <c r="CB14">
        <f t="shared" si="0"/>
        <v>7.666666666666667</v>
      </c>
      <c r="CC14">
        <f t="shared" si="0"/>
        <v>7.1428571428571432</v>
      </c>
      <c r="CD14">
        <f t="shared" si="0"/>
        <v>7.7142857142857144</v>
      </c>
      <c r="CE14">
        <f t="shared" si="0"/>
        <v>9.125</v>
      </c>
      <c r="CF14">
        <f t="shared" si="4"/>
        <v>9</v>
      </c>
      <c r="CG14">
        <f t="shared" si="5"/>
        <v>8.9</v>
      </c>
      <c r="CH14">
        <f t="shared" si="6"/>
        <v>9.5555555555555554</v>
      </c>
      <c r="CI14">
        <f t="shared" si="7"/>
        <v>9.375</v>
      </c>
      <c r="CJ14">
        <f t="shared" si="8"/>
        <v>9.2857142857142865</v>
      </c>
      <c r="CK14">
        <f t="shared" si="9"/>
        <v>8.1666666666666661</v>
      </c>
      <c r="CL14">
        <f t="shared" si="10"/>
        <v>8.8000000000000007</v>
      </c>
      <c r="CM14">
        <f t="shared" si="11"/>
        <v>10</v>
      </c>
      <c r="CN14">
        <f t="shared" si="12"/>
        <v>11.666666666666666</v>
      </c>
      <c r="CO14">
        <f t="shared" si="13"/>
        <v>8</v>
      </c>
      <c r="CP14">
        <f t="shared" si="14"/>
        <v>8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9</v>
      </c>
      <c r="C15" s="16">
        <v>8</v>
      </c>
      <c r="D15" s="16">
        <v>15</v>
      </c>
      <c r="E15" s="16">
        <v>11</v>
      </c>
      <c r="F15" s="16">
        <v>25</v>
      </c>
      <c r="G15" s="16">
        <v>7</v>
      </c>
      <c r="H15" s="16">
        <v>4</v>
      </c>
      <c r="I15" s="16">
        <v>3</v>
      </c>
      <c r="J15" s="16">
        <v>12</v>
      </c>
      <c r="K15" s="16">
        <v>11</v>
      </c>
      <c r="L15" s="16">
        <v>14</v>
      </c>
      <c r="M15" s="16">
        <v>11</v>
      </c>
      <c r="N15" s="16">
        <v>12</v>
      </c>
      <c r="O15" s="16">
        <v>2</v>
      </c>
      <c r="P15" s="16">
        <v>1</v>
      </c>
      <c r="Q15" s="16">
        <v>9</v>
      </c>
      <c r="R15" s="16">
        <v>2</v>
      </c>
      <c r="S15" s="16"/>
      <c r="T15" s="16"/>
      <c r="U15" s="17">
        <v>2</v>
      </c>
      <c r="V15" s="17"/>
      <c r="W15" s="17"/>
      <c r="X15" s="17"/>
      <c r="Y15" s="17">
        <v>0</v>
      </c>
      <c r="Z15" s="17">
        <v>9</v>
      </c>
      <c r="AA15" s="17">
        <v>10</v>
      </c>
      <c r="AB15" s="17">
        <v>6</v>
      </c>
      <c r="AC15" s="17">
        <v>17</v>
      </c>
      <c r="AD15" s="112">
        <v>3</v>
      </c>
      <c r="AE15" s="10">
        <v>3</v>
      </c>
      <c r="AF15" s="10">
        <v>8</v>
      </c>
      <c r="AG15" s="10">
        <v>5</v>
      </c>
      <c r="AH15" s="10">
        <f>(1+1+1+1)</f>
        <v>4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10.5</v>
      </c>
      <c r="BK15">
        <f t="shared" si="0"/>
        <v>11</v>
      </c>
      <c r="BL15">
        <f t="shared" si="2"/>
        <v>11.3</v>
      </c>
      <c r="BM15">
        <f t="shared" si="0"/>
        <v>11</v>
      </c>
      <c r="BN15">
        <f t="shared" si="0"/>
        <v>10.1</v>
      </c>
      <c r="BO15">
        <f t="shared" si="0"/>
        <v>7.7</v>
      </c>
      <c r="BP15">
        <f t="shared" si="0"/>
        <v>7.9</v>
      </c>
      <c r="BQ15">
        <f t="shared" si="0"/>
        <v>7.7</v>
      </c>
      <c r="BR15">
        <f t="shared" si="3"/>
        <v>8.2222222222222214</v>
      </c>
      <c r="BS15">
        <f t="shared" si="3"/>
        <v>7.75</v>
      </c>
      <c r="BT15">
        <f t="shared" si="0"/>
        <v>6.625</v>
      </c>
      <c r="BU15">
        <f t="shared" si="0"/>
        <v>5.5714285714285712</v>
      </c>
      <c r="BV15">
        <f t="shared" si="0"/>
        <v>4.666666666666667</v>
      </c>
      <c r="BW15">
        <f t="shared" si="0"/>
        <v>3.2</v>
      </c>
      <c r="BX15">
        <f t="shared" si="0"/>
        <v>2.8</v>
      </c>
      <c r="BY15">
        <f t="shared" si="0"/>
        <v>4.4000000000000004</v>
      </c>
      <c r="BZ15">
        <f t="shared" si="0"/>
        <v>4.5999999999999996</v>
      </c>
      <c r="CA15">
        <f t="shared" si="0"/>
        <v>5.4</v>
      </c>
      <c r="CB15">
        <f t="shared" si="0"/>
        <v>7.333333333333333</v>
      </c>
      <c r="CC15">
        <f t="shared" si="0"/>
        <v>6.7142857142857144</v>
      </c>
      <c r="CD15">
        <f t="shared" si="0"/>
        <v>6.8571428571428568</v>
      </c>
      <c r="CE15">
        <f t="shared" si="0"/>
        <v>7</v>
      </c>
      <c r="CF15">
        <f t="shared" si="4"/>
        <v>6.7777777777777777</v>
      </c>
      <c r="CG15">
        <f t="shared" si="5"/>
        <v>6.5</v>
      </c>
      <c r="CH15">
        <f t="shared" si="6"/>
        <v>7.2222222222222223</v>
      </c>
      <c r="CI15">
        <f t="shared" si="7"/>
        <v>7</v>
      </c>
      <c r="CJ15">
        <f t="shared" si="8"/>
        <v>6.5714285714285712</v>
      </c>
      <c r="CK15">
        <f t="shared" si="9"/>
        <v>6.666666666666667</v>
      </c>
      <c r="CL15">
        <f t="shared" si="10"/>
        <v>4.5999999999999996</v>
      </c>
      <c r="CM15">
        <f t="shared" si="11"/>
        <v>5</v>
      </c>
      <c r="CN15">
        <f t="shared" si="12"/>
        <v>5.666666666666667</v>
      </c>
      <c r="CO15">
        <f t="shared" si="13"/>
        <v>4.5</v>
      </c>
      <c r="CP15">
        <f t="shared" si="14"/>
        <v>4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0</v>
      </c>
      <c r="C16" s="14">
        <v>5</v>
      </c>
      <c r="D16" s="14">
        <v>10</v>
      </c>
      <c r="E16" s="14">
        <v>10</v>
      </c>
      <c r="F16" s="14">
        <v>0</v>
      </c>
      <c r="G16" s="14">
        <v>0</v>
      </c>
      <c r="H16" s="14">
        <v>0</v>
      </c>
      <c r="I16" s="14">
        <v>3</v>
      </c>
      <c r="J16" s="14">
        <v>5</v>
      </c>
      <c r="K16" s="14">
        <v>0</v>
      </c>
      <c r="L16" s="14">
        <v>0</v>
      </c>
      <c r="M16" s="14">
        <v>1</v>
      </c>
      <c r="N16" s="14">
        <v>3</v>
      </c>
      <c r="O16" s="14">
        <v>8</v>
      </c>
      <c r="P16" s="14">
        <v>7</v>
      </c>
      <c r="Q16" s="14">
        <v>6</v>
      </c>
      <c r="R16" s="14">
        <v>0</v>
      </c>
      <c r="S16" s="14"/>
      <c r="T16" s="14"/>
      <c r="U16" s="15">
        <v>0</v>
      </c>
      <c r="V16" s="15"/>
      <c r="W16" s="15"/>
      <c r="X16" s="15"/>
      <c r="Y16" s="15">
        <v>0</v>
      </c>
      <c r="Z16" s="15">
        <v>2</v>
      </c>
      <c r="AA16" s="15">
        <v>8</v>
      </c>
      <c r="AB16" s="15">
        <v>6</v>
      </c>
      <c r="AC16" s="15">
        <v>7</v>
      </c>
      <c r="AD16" s="111">
        <v>0</v>
      </c>
      <c r="AE16" s="124">
        <v>0</v>
      </c>
      <c r="AF16" s="124">
        <v>10</v>
      </c>
      <c r="AG16" s="124">
        <v>5</v>
      </c>
      <c r="AH16" s="124">
        <f>(0)</f>
        <v>0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3.3</v>
      </c>
      <c r="BK16">
        <f t="shared" si="0"/>
        <v>3.3</v>
      </c>
      <c r="BL16">
        <f t="shared" si="2"/>
        <v>2.9</v>
      </c>
      <c r="BM16">
        <f t="shared" si="0"/>
        <v>2.2000000000000002</v>
      </c>
      <c r="BN16">
        <f t="shared" si="0"/>
        <v>2</v>
      </c>
      <c r="BO16">
        <f t="shared" si="0"/>
        <v>2.7</v>
      </c>
      <c r="BP16">
        <f t="shared" si="0"/>
        <v>3.3</v>
      </c>
      <c r="BQ16">
        <f t="shared" si="0"/>
        <v>3.3</v>
      </c>
      <c r="BR16">
        <f t="shared" si="3"/>
        <v>3.3333333333333335</v>
      </c>
      <c r="BS16">
        <f t="shared" si="3"/>
        <v>3.125</v>
      </c>
      <c r="BT16">
        <f t="shared" si="0"/>
        <v>3.125</v>
      </c>
      <c r="BU16">
        <f t="shared" si="0"/>
        <v>3.5714285714285716</v>
      </c>
      <c r="BV16">
        <f t="shared" si="0"/>
        <v>4</v>
      </c>
      <c r="BW16">
        <f t="shared" si="0"/>
        <v>4.2</v>
      </c>
      <c r="BX16">
        <f t="shared" si="0"/>
        <v>2.6</v>
      </c>
      <c r="BY16">
        <f t="shared" si="0"/>
        <v>1.6</v>
      </c>
      <c r="BZ16">
        <f t="shared" si="0"/>
        <v>2</v>
      </c>
      <c r="CA16">
        <f t="shared" si="0"/>
        <v>3.2</v>
      </c>
      <c r="CB16">
        <f t="shared" si="0"/>
        <v>3.8333333333333335</v>
      </c>
      <c r="CC16">
        <f t="shared" si="0"/>
        <v>3.2857142857142856</v>
      </c>
      <c r="CD16">
        <f t="shared" si="0"/>
        <v>3.2857142857142856</v>
      </c>
      <c r="CE16">
        <f t="shared" si="0"/>
        <v>4.125</v>
      </c>
      <c r="CF16">
        <f t="shared" si="4"/>
        <v>4.2222222222222223</v>
      </c>
      <c r="CG16">
        <f t="shared" si="5"/>
        <v>3.8</v>
      </c>
      <c r="CH16">
        <f t="shared" si="6"/>
        <v>4.2222222222222223</v>
      </c>
      <c r="CI16">
        <f t="shared" si="7"/>
        <v>4.5</v>
      </c>
      <c r="CJ16">
        <f t="shared" si="8"/>
        <v>4</v>
      </c>
      <c r="CK16">
        <f t="shared" si="9"/>
        <v>3.6666666666666665</v>
      </c>
      <c r="CL16">
        <f t="shared" si="10"/>
        <v>3</v>
      </c>
      <c r="CM16">
        <f t="shared" si="11"/>
        <v>3.75</v>
      </c>
      <c r="CN16">
        <f t="shared" si="12"/>
        <v>5</v>
      </c>
      <c r="CO16">
        <f t="shared" si="13"/>
        <v>2.5</v>
      </c>
      <c r="CP16">
        <f t="shared" si="14"/>
        <v>0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270</v>
      </c>
      <c r="C18" s="22">
        <f t="shared" ref="C18:AZ18" si="29">SUM(C5:C16)</f>
        <v>288</v>
      </c>
      <c r="D18" s="22">
        <f t="shared" si="29"/>
        <v>306</v>
      </c>
      <c r="E18" s="22">
        <f t="shared" si="29"/>
        <v>316</v>
      </c>
      <c r="F18" s="22">
        <f t="shared" si="29"/>
        <v>275</v>
      </c>
      <c r="G18" s="22">
        <f t="shared" si="29"/>
        <v>233</v>
      </c>
      <c r="H18" s="22">
        <f t="shared" si="29"/>
        <v>172</v>
      </c>
      <c r="I18" s="22">
        <f t="shared" si="29"/>
        <v>168</v>
      </c>
      <c r="J18" s="22">
        <f t="shared" si="29"/>
        <v>654</v>
      </c>
      <c r="K18" s="22">
        <f t="shared" si="29"/>
        <v>134</v>
      </c>
      <c r="L18" s="22">
        <f t="shared" si="29"/>
        <v>130</v>
      </c>
      <c r="M18" s="22">
        <f t="shared" si="29"/>
        <v>236</v>
      </c>
      <c r="N18" s="22">
        <f t="shared" si="29"/>
        <v>266</v>
      </c>
      <c r="O18" s="22">
        <f t="shared" si="29"/>
        <v>152</v>
      </c>
      <c r="P18" s="22">
        <f t="shared" si="29"/>
        <v>170</v>
      </c>
      <c r="Q18" s="22">
        <f t="shared" si="29"/>
        <v>158</v>
      </c>
      <c r="R18" s="22">
        <f t="shared" si="29"/>
        <v>109</v>
      </c>
      <c r="S18" s="22">
        <f t="shared" si="29"/>
        <v>0</v>
      </c>
      <c r="T18" s="22">
        <f t="shared" si="29"/>
        <v>0</v>
      </c>
      <c r="U18" s="22">
        <f t="shared" si="29"/>
        <v>76</v>
      </c>
      <c r="V18" s="22">
        <f t="shared" si="29"/>
        <v>0</v>
      </c>
      <c r="W18" s="22">
        <f t="shared" si="29"/>
        <v>0</v>
      </c>
      <c r="X18" s="22">
        <f t="shared" si="29"/>
        <v>0</v>
      </c>
      <c r="Y18" s="22">
        <f t="shared" si="29"/>
        <v>69</v>
      </c>
      <c r="Z18" s="22">
        <f t="shared" si="29"/>
        <v>82</v>
      </c>
      <c r="AA18" s="22">
        <f t="shared" si="29"/>
        <v>145</v>
      </c>
      <c r="AB18" s="22">
        <f t="shared" si="29"/>
        <v>131</v>
      </c>
      <c r="AC18" s="22">
        <f t="shared" si="29"/>
        <v>93</v>
      </c>
      <c r="AD18" s="22">
        <f t="shared" si="29"/>
        <v>112</v>
      </c>
      <c r="AE18" s="22">
        <f t="shared" si="29"/>
        <v>169</v>
      </c>
      <c r="AF18" s="22">
        <f t="shared" si="29"/>
        <v>121</v>
      </c>
      <c r="AG18" s="22">
        <f t="shared" si="29"/>
        <v>77</v>
      </c>
      <c r="AH18" s="22">
        <f t="shared" si="29"/>
        <v>59</v>
      </c>
      <c r="AI18" s="22">
        <f t="shared" si="29"/>
        <v>102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>AVERAGE(P18:Y18)</f>
        <v>58.2</v>
      </c>
      <c r="BY18" s="25">
        <f>AVERAGE(Q18:Z18)</f>
        <v>49.4</v>
      </c>
      <c r="BZ18" s="25">
        <f>AVERAGE(R18:AA18)</f>
        <v>48.1</v>
      </c>
      <c r="CA18" s="25">
        <f>AVERAGE(S18:AB18)</f>
        <v>50.3</v>
      </c>
      <c r="CB18" s="25">
        <f>AVERAGE(T18:AC18)</f>
        <v>59.6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transitionEvaluation="1" codeName="Sheet11">
    <tabColor theme="8" tint="-0.249977111117893"/>
  </sheetPr>
  <dimension ref="A1:DF192"/>
  <sheetViews>
    <sheetView defaultGridColor="0" colorId="22" zoomScale="70" zoomScaleNormal="70" workbookViewId="0">
      <pane xSplit="1" topLeftCell="W1" activePane="topRight" state="frozen"/>
      <selection activeCell="AT39" sqref="AT39"/>
      <selection pane="topRight" activeCell="AG37" sqref="AG37"/>
    </sheetView>
  </sheetViews>
  <sheetFormatPr baseColWidth="10" defaultColWidth="9.42578125" defaultRowHeight="20" customHeight="1" x14ac:dyDescent="0.2"/>
  <cols>
    <col min="1" max="1" width="45.85546875" style="5" customWidth="1"/>
    <col min="2" max="13" width="5.7109375" style="5" hidden="1" customWidth="1"/>
    <col min="14" max="14" width="9.140625" style="5" hidden="1" customWidth="1"/>
    <col min="15" max="22" width="5.7109375" style="5" hidden="1" customWidth="1"/>
    <col min="23" max="23" width="5.7109375" style="5" customWidth="1"/>
    <col min="24" max="24" width="6" style="5" customWidth="1"/>
    <col min="25" max="29" width="5.7109375" style="5" customWidth="1"/>
    <col min="30" max="30" width="7.28515625" style="5" customWidth="1"/>
    <col min="31" max="31" width="6.7109375" customWidth="1"/>
    <col min="32" max="52" width="9.42578125" customWidth="1"/>
    <col min="53" max="74" width="9.42578125" style="5" customWidth="1"/>
    <col min="75" max="75" width="4.7109375" style="5" customWidth="1"/>
    <col min="76" max="76" width="9.85546875" style="5" customWidth="1"/>
    <col min="77" max="77" width="16.7109375" style="5" customWidth="1"/>
    <col min="78" max="78" width="15.5703125" style="5" customWidth="1"/>
    <col min="79" max="79" width="16.42578125" style="5" customWidth="1"/>
    <col min="80" max="80" width="16.7109375" style="5" customWidth="1"/>
    <col min="81" max="81" width="16" style="5" customWidth="1"/>
    <col min="82" max="82" width="16.85546875" style="5" customWidth="1"/>
    <col min="83" max="110" width="9.42578125" style="5" hidden="1" customWidth="1"/>
    <col min="111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36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BA1" s="35"/>
      <c r="BE1" s="35"/>
    </row>
    <row r="2" spans="1:108" s="34" customFormat="1" ht="25" customHeight="1" x14ac:dyDescent="0.25">
      <c r="A2" s="36" t="s">
        <v>35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85</v>
      </c>
      <c r="CA3" s="77" t="s">
        <v>93</v>
      </c>
      <c r="CB3" s="77" t="s">
        <v>98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58</v>
      </c>
      <c r="C5" s="16">
        <v>69</v>
      </c>
      <c r="D5" s="16">
        <v>83</v>
      </c>
      <c r="E5" s="16">
        <v>43</v>
      </c>
      <c r="F5" s="16">
        <v>116</v>
      </c>
      <c r="G5" s="16">
        <v>21</v>
      </c>
      <c r="H5" s="16">
        <v>72</v>
      </c>
      <c r="I5" s="16">
        <v>66</v>
      </c>
      <c r="J5" s="16">
        <v>51</v>
      </c>
      <c r="K5" s="16">
        <v>118</v>
      </c>
      <c r="L5" s="16">
        <v>40</v>
      </c>
      <c r="M5" s="16">
        <v>65</v>
      </c>
      <c r="N5" s="16">
        <v>32</v>
      </c>
      <c r="O5" s="16">
        <v>36</v>
      </c>
      <c r="P5" s="16">
        <v>40</v>
      </c>
      <c r="Q5" s="16">
        <v>115</v>
      </c>
      <c r="R5" s="16">
        <v>71</v>
      </c>
      <c r="S5" s="16"/>
      <c r="T5" s="16"/>
      <c r="U5" s="17">
        <v>28</v>
      </c>
      <c r="V5" s="17"/>
      <c r="W5" s="17">
        <v>65</v>
      </c>
      <c r="X5" s="17">
        <v>81</v>
      </c>
      <c r="Y5" s="17">
        <v>99</v>
      </c>
      <c r="Z5" s="17">
        <v>95</v>
      </c>
      <c r="AA5" s="17">
        <v>154</v>
      </c>
      <c r="AB5" s="17">
        <v>112</v>
      </c>
      <c r="AC5" s="17">
        <v>120</v>
      </c>
      <c r="AD5" s="17">
        <v>47</v>
      </c>
      <c r="AE5" s="10">
        <v>81</v>
      </c>
      <c r="AF5" s="10">
        <v>216</v>
      </c>
      <c r="AG5" s="10">
        <f>28+33+5</f>
        <v>66</v>
      </c>
      <c r="AH5" s="10">
        <f>24+37+30</f>
        <v>91</v>
      </c>
      <c r="AI5" s="10">
        <f>2+18</f>
        <v>20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69.7</v>
      </c>
      <c r="BK5">
        <f t="shared" ref="BK5:DD16" si="0">AVERAGE(C5:L5)</f>
        <v>67.900000000000006</v>
      </c>
      <c r="BL5">
        <f>AVERAGE(D5:M5)</f>
        <v>67.5</v>
      </c>
      <c r="BM5">
        <f t="shared" si="0"/>
        <v>62.4</v>
      </c>
      <c r="BN5">
        <f t="shared" si="0"/>
        <v>61.7</v>
      </c>
      <c r="BO5">
        <f t="shared" si="0"/>
        <v>54.1</v>
      </c>
      <c r="BP5">
        <f t="shared" si="0"/>
        <v>63.5</v>
      </c>
      <c r="BQ5">
        <f t="shared" si="0"/>
        <v>63.4</v>
      </c>
      <c r="BR5">
        <f t="shared" si="0"/>
        <v>63.111111111111114</v>
      </c>
      <c r="BS5">
        <f t="shared" si="0"/>
        <v>64.625</v>
      </c>
      <c r="BT5">
        <f t="shared" si="0"/>
        <v>53.375</v>
      </c>
      <c r="BU5">
        <f t="shared" si="0"/>
        <v>55.285714285714285</v>
      </c>
      <c r="BV5">
        <f t="shared" si="0"/>
        <v>55.285714285714285</v>
      </c>
      <c r="BW5">
        <f t="shared" si="0"/>
        <v>62.285714285714285</v>
      </c>
      <c r="BX5">
        <f t="shared" si="0"/>
        <v>71.285714285714292</v>
      </c>
      <c r="BY5">
        <f t="shared" si="0"/>
        <v>79.142857142857139</v>
      </c>
      <c r="BZ5">
        <f t="shared" si="0"/>
        <v>84.714285714285708</v>
      </c>
      <c r="CA5">
        <f t="shared" si="0"/>
        <v>90.571428571428569</v>
      </c>
      <c r="CB5">
        <f t="shared" si="0"/>
        <v>94.25</v>
      </c>
      <c r="CC5">
        <f t="shared" si="0"/>
        <v>89</v>
      </c>
      <c r="CD5">
        <f t="shared" si="0"/>
        <v>94.888888888888886</v>
      </c>
      <c r="CE5">
        <f t="shared" si="0"/>
        <v>107</v>
      </c>
      <c r="CF5">
        <f t="shared" si="0"/>
        <v>107.1</v>
      </c>
      <c r="CG5">
        <f t="shared" si="0"/>
        <v>108.1</v>
      </c>
      <c r="CH5">
        <f t="shared" si="0"/>
        <v>100.2</v>
      </c>
      <c r="CI5">
        <f t="shared" si="0"/>
        <v>100.77777777777777</v>
      </c>
      <c r="CJ5">
        <f t="shared" si="0"/>
        <v>94.125</v>
      </c>
      <c r="CK5">
        <f t="shared" si="0"/>
        <v>91.571428571428569</v>
      </c>
      <c r="CL5">
        <f t="shared" si="0"/>
        <v>86.833333333333329</v>
      </c>
      <c r="CM5">
        <f t="shared" si="0"/>
        <v>94.8</v>
      </c>
      <c r="CN5">
        <f t="shared" si="0"/>
        <v>98.25</v>
      </c>
      <c r="CO5">
        <f t="shared" si="0"/>
        <v>59</v>
      </c>
      <c r="CP5">
        <f t="shared" si="0"/>
        <v>55.5</v>
      </c>
      <c r="CQ5">
        <f t="shared" si="0"/>
        <v>20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75</v>
      </c>
      <c r="C6" s="14">
        <v>71</v>
      </c>
      <c r="D6" s="14">
        <v>41</v>
      </c>
      <c r="E6" s="14">
        <v>75</v>
      </c>
      <c r="F6" s="14">
        <v>79</v>
      </c>
      <c r="G6" s="14">
        <v>47</v>
      </c>
      <c r="H6" s="14">
        <v>48</v>
      </c>
      <c r="I6" s="14">
        <v>115</v>
      </c>
      <c r="J6" s="14">
        <v>54</v>
      </c>
      <c r="K6" s="14">
        <v>65</v>
      </c>
      <c r="L6" s="14">
        <v>53</v>
      </c>
      <c r="M6" s="14">
        <v>42</v>
      </c>
      <c r="N6" s="14">
        <v>57</v>
      </c>
      <c r="O6" s="14">
        <v>59</v>
      </c>
      <c r="P6" s="14">
        <v>60</v>
      </c>
      <c r="Q6" s="14">
        <v>79</v>
      </c>
      <c r="R6" s="14">
        <v>32</v>
      </c>
      <c r="S6" s="14"/>
      <c r="T6" s="14"/>
      <c r="U6" s="15">
        <v>72</v>
      </c>
      <c r="V6" s="15"/>
      <c r="W6" s="15">
        <v>62</v>
      </c>
      <c r="X6" s="15">
        <v>45</v>
      </c>
      <c r="Y6" s="15">
        <v>66</v>
      </c>
      <c r="Z6" s="15">
        <v>77</v>
      </c>
      <c r="AA6" s="15">
        <v>122</v>
      </c>
      <c r="AB6" s="15">
        <v>54</v>
      </c>
      <c r="AC6" s="15">
        <v>98</v>
      </c>
      <c r="AD6" s="15">
        <v>76</v>
      </c>
      <c r="AE6" s="124">
        <v>104</v>
      </c>
      <c r="AF6" s="124">
        <v>109</v>
      </c>
      <c r="AG6" s="124">
        <f>34+33+30</f>
        <v>97</v>
      </c>
      <c r="AH6" s="124">
        <f>3+40+28</f>
        <v>71</v>
      </c>
      <c r="AI6" s="124">
        <v>3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67</v>
      </c>
      <c r="BK6">
        <f t="shared" si="0"/>
        <v>64.8</v>
      </c>
      <c r="BL6">
        <f t="shared" ref="BL6:BL16" si="2">AVERAGE(D6:M6)</f>
        <v>61.9</v>
      </c>
      <c r="BM6">
        <f t="shared" si="0"/>
        <v>63.5</v>
      </c>
      <c r="BN6">
        <f t="shared" si="0"/>
        <v>61.9</v>
      </c>
      <c r="BO6">
        <f t="shared" si="0"/>
        <v>60</v>
      </c>
      <c r="BP6">
        <f t="shared" si="0"/>
        <v>63.2</v>
      </c>
      <c r="BQ6">
        <f t="shared" si="0"/>
        <v>61.6</v>
      </c>
      <c r="BR6">
        <f t="shared" ref="BR6:BS16" si="3">AVERAGE(J6:S6)</f>
        <v>55.666666666666664</v>
      </c>
      <c r="BS6">
        <f t="shared" si="3"/>
        <v>55.875</v>
      </c>
      <c r="BT6">
        <f t="shared" si="0"/>
        <v>56.75</v>
      </c>
      <c r="BU6">
        <f t="shared" si="0"/>
        <v>57.285714285714285</v>
      </c>
      <c r="BV6">
        <f t="shared" si="0"/>
        <v>60.142857142857146</v>
      </c>
      <c r="BW6">
        <f t="shared" si="0"/>
        <v>58.428571428571431</v>
      </c>
      <c r="BX6">
        <f t="shared" si="0"/>
        <v>59.428571428571431</v>
      </c>
      <c r="BY6">
        <f t="shared" si="0"/>
        <v>61.857142857142854</v>
      </c>
      <c r="BZ6">
        <f t="shared" si="0"/>
        <v>68</v>
      </c>
      <c r="CA6">
        <f t="shared" si="0"/>
        <v>71.142857142857139</v>
      </c>
      <c r="CB6">
        <f t="shared" si="0"/>
        <v>74.5</v>
      </c>
      <c r="CC6">
        <f t="shared" si="0"/>
        <v>74.666666666666671</v>
      </c>
      <c r="CD6">
        <f t="shared" si="0"/>
        <v>78.222222222222229</v>
      </c>
      <c r="CE6">
        <f t="shared" si="0"/>
        <v>81.3</v>
      </c>
      <c r="CF6">
        <f t="shared" ref="CF6:CF16" si="4">AVERAGE(X6:AG6)</f>
        <v>84.8</v>
      </c>
      <c r="CG6">
        <f t="shared" ref="CG6:CG16" si="5">AVERAGE(Y6:AH6)</f>
        <v>87.4</v>
      </c>
      <c r="CH6">
        <f t="shared" ref="CH6:CH16" si="6">AVERAGE(Z6:AI6)</f>
        <v>81.099999999999994</v>
      </c>
      <c r="CI6">
        <f t="shared" ref="CI6:CI16" si="7">AVERAGE(AA6:AJ6)</f>
        <v>81.555555555555557</v>
      </c>
      <c r="CJ6">
        <f t="shared" ref="CJ6:CJ16" si="8">AVERAGE(AB6:AK6)</f>
        <v>76.5</v>
      </c>
      <c r="CK6">
        <f t="shared" ref="CK6:CK16" si="9">AVERAGE(AC6:AL6)</f>
        <v>79.714285714285708</v>
      </c>
      <c r="CL6">
        <f t="shared" ref="CL6:CL16" si="10">AVERAGE(AD6:AM6)</f>
        <v>76.666666666666671</v>
      </c>
      <c r="CM6">
        <f t="shared" ref="CM6:CM16" si="11">AVERAGE(AE6:AN6)</f>
        <v>76.8</v>
      </c>
      <c r="CN6">
        <f t="shared" ref="CN6:CN16" si="12">AVERAGE(AF6:AO6)</f>
        <v>70</v>
      </c>
      <c r="CO6">
        <f t="shared" ref="CO6:CO16" si="13">AVERAGE(AG6:AP6)</f>
        <v>57</v>
      </c>
      <c r="CP6">
        <f t="shared" ref="CP6:CP16" si="14">AVERAGE(AH6:AQ6)</f>
        <v>37</v>
      </c>
      <c r="CQ6">
        <f t="shared" ref="CQ6:CQ16" si="15">AVERAGE(AI6:AR6)</f>
        <v>3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72</v>
      </c>
      <c r="C7" s="16">
        <v>46</v>
      </c>
      <c r="D7" s="16">
        <v>19</v>
      </c>
      <c r="E7" s="16">
        <v>21</v>
      </c>
      <c r="F7" s="16">
        <v>124</v>
      </c>
      <c r="G7" s="16">
        <v>59</v>
      </c>
      <c r="H7" s="16">
        <v>62</v>
      </c>
      <c r="I7" s="16">
        <v>78</v>
      </c>
      <c r="J7" s="16">
        <v>16</v>
      </c>
      <c r="K7" s="16">
        <v>57</v>
      </c>
      <c r="L7" s="16">
        <v>48</v>
      </c>
      <c r="M7" s="16">
        <v>64</v>
      </c>
      <c r="N7" s="16">
        <v>66</v>
      </c>
      <c r="O7" s="16">
        <v>21</v>
      </c>
      <c r="P7" s="16">
        <v>60</v>
      </c>
      <c r="Q7" s="16">
        <v>69</v>
      </c>
      <c r="R7" s="16">
        <v>34</v>
      </c>
      <c r="S7" s="16"/>
      <c r="T7" s="16"/>
      <c r="U7" s="17">
        <v>64</v>
      </c>
      <c r="V7" s="17"/>
      <c r="W7" s="17">
        <v>55</v>
      </c>
      <c r="X7" s="17">
        <v>94</v>
      </c>
      <c r="Y7" s="17">
        <v>71</v>
      </c>
      <c r="Z7" s="17">
        <v>78</v>
      </c>
      <c r="AA7" s="17">
        <v>135</v>
      </c>
      <c r="AB7" s="17">
        <v>7</v>
      </c>
      <c r="AC7" s="17">
        <v>69</v>
      </c>
      <c r="AD7" s="17">
        <v>104</v>
      </c>
      <c r="AE7" s="10">
        <v>122</v>
      </c>
      <c r="AF7" s="10">
        <v>141</v>
      </c>
      <c r="AG7" s="10">
        <f>44+32+3</f>
        <v>79</v>
      </c>
      <c r="AH7" s="10">
        <f>2+32+53+18</f>
        <v>105</v>
      </c>
      <c r="AI7" s="10">
        <v>7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55.4</v>
      </c>
      <c r="BK7">
        <f t="shared" si="0"/>
        <v>53</v>
      </c>
      <c r="BL7">
        <f t="shared" si="2"/>
        <v>54.8</v>
      </c>
      <c r="BM7">
        <f t="shared" si="0"/>
        <v>59.5</v>
      </c>
      <c r="BN7">
        <f t="shared" si="0"/>
        <v>59.5</v>
      </c>
      <c r="BO7">
        <f t="shared" si="0"/>
        <v>53.1</v>
      </c>
      <c r="BP7">
        <f t="shared" si="0"/>
        <v>54.1</v>
      </c>
      <c r="BQ7">
        <f t="shared" si="0"/>
        <v>51.3</v>
      </c>
      <c r="BR7">
        <f t="shared" si="3"/>
        <v>48.333333333333336</v>
      </c>
      <c r="BS7">
        <f t="shared" si="3"/>
        <v>52.375</v>
      </c>
      <c r="BT7">
        <f t="shared" si="0"/>
        <v>53.25</v>
      </c>
      <c r="BU7">
        <f t="shared" si="0"/>
        <v>54</v>
      </c>
      <c r="BV7">
        <f t="shared" si="0"/>
        <v>52.714285714285715</v>
      </c>
      <c r="BW7">
        <f t="shared" si="0"/>
        <v>56.714285714285715</v>
      </c>
      <c r="BX7">
        <f>AVERAGE(P7:Y7)</f>
        <v>63.857142857142854</v>
      </c>
      <c r="BY7">
        <f t="shared" si="0"/>
        <v>66.428571428571431</v>
      </c>
      <c r="BZ7">
        <f t="shared" si="0"/>
        <v>75.857142857142861</v>
      </c>
      <c r="CA7">
        <f t="shared" si="0"/>
        <v>72</v>
      </c>
      <c r="CB7">
        <f t="shared" si="0"/>
        <v>71.625</v>
      </c>
      <c r="CC7">
        <f t="shared" si="0"/>
        <v>75.222222222222229</v>
      </c>
      <c r="CD7">
        <f t="shared" si="0"/>
        <v>81.666666666666671</v>
      </c>
      <c r="CE7">
        <f>AVERAGE(W7:AF7)</f>
        <v>87.6</v>
      </c>
      <c r="CF7">
        <f t="shared" si="4"/>
        <v>90</v>
      </c>
      <c r="CG7">
        <f t="shared" si="5"/>
        <v>91.1</v>
      </c>
      <c r="CH7">
        <f t="shared" si="6"/>
        <v>84.7</v>
      </c>
      <c r="CI7">
        <f t="shared" si="7"/>
        <v>85.444444444444443</v>
      </c>
      <c r="CJ7">
        <f t="shared" si="8"/>
        <v>79.25</v>
      </c>
      <c r="CK7">
        <f t="shared" si="9"/>
        <v>89.571428571428569</v>
      </c>
      <c r="CL7">
        <f t="shared" si="10"/>
        <v>93</v>
      </c>
      <c r="CM7">
        <f t="shared" si="11"/>
        <v>90.8</v>
      </c>
      <c r="CN7">
        <f t="shared" si="12"/>
        <v>83</v>
      </c>
      <c r="CO7">
        <f t="shared" si="13"/>
        <v>63.666666666666664</v>
      </c>
      <c r="CP7">
        <f t="shared" si="14"/>
        <v>56</v>
      </c>
      <c r="CQ7">
        <f t="shared" si="15"/>
        <v>7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71</v>
      </c>
      <c r="C8" s="14">
        <v>46</v>
      </c>
      <c r="D8" s="14">
        <v>33</v>
      </c>
      <c r="E8" s="14">
        <v>61</v>
      </c>
      <c r="F8" s="14">
        <v>109</v>
      </c>
      <c r="G8" s="14">
        <v>63</v>
      </c>
      <c r="H8" s="14">
        <v>76</v>
      </c>
      <c r="I8" s="14">
        <v>55</v>
      </c>
      <c r="J8" s="14">
        <v>60</v>
      </c>
      <c r="K8" s="14">
        <v>73</v>
      </c>
      <c r="L8" s="14">
        <v>63</v>
      </c>
      <c r="M8" s="14">
        <v>74</v>
      </c>
      <c r="N8" s="14">
        <v>72</v>
      </c>
      <c r="O8" s="14">
        <v>72</v>
      </c>
      <c r="P8" s="14">
        <v>70</v>
      </c>
      <c r="Q8" s="14">
        <v>56</v>
      </c>
      <c r="R8" s="14">
        <v>65</v>
      </c>
      <c r="S8" s="14"/>
      <c r="T8" s="14"/>
      <c r="U8" s="15">
        <v>71</v>
      </c>
      <c r="V8" s="15"/>
      <c r="W8" s="15">
        <v>29</v>
      </c>
      <c r="X8" s="15">
        <v>42</v>
      </c>
      <c r="Y8" s="15">
        <v>20</v>
      </c>
      <c r="Z8" s="15">
        <v>58</v>
      </c>
      <c r="AA8" s="15">
        <v>94</v>
      </c>
      <c r="AB8" s="15">
        <v>51</v>
      </c>
      <c r="AC8" s="15">
        <v>78</v>
      </c>
      <c r="AD8" s="15">
        <v>48</v>
      </c>
      <c r="AE8" s="124">
        <v>45</v>
      </c>
      <c r="AF8" s="124">
        <v>98</v>
      </c>
      <c r="AG8" s="124">
        <f>36+30</f>
        <v>66</v>
      </c>
      <c r="AH8" s="124">
        <f>22+26+33+3</f>
        <v>84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64.7</v>
      </c>
      <c r="BK8">
        <f t="shared" si="0"/>
        <v>63.9</v>
      </c>
      <c r="BL8">
        <f t="shared" si="2"/>
        <v>66.7</v>
      </c>
      <c r="BM8">
        <f t="shared" si="0"/>
        <v>70.599999999999994</v>
      </c>
      <c r="BN8">
        <f t="shared" si="0"/>
        <v>71.7</v>
      </c>
      <c r="BO8">
        <f t="shared" si="0"/>
        <v>67.8</v>
      </c>
      <c r="BP8">
        <f t="shared" si="0"/>
        <v>67.099999999999994</v>
      </c>
      <c r="BQ8">
        <f t="shared" si="0"/>
        <v>66</v>
      </c>
      <c r="BR8">
        <f t="shared" si="3"/>
        <v>67.222222222222229</v>
      </c>
      <c r="BS8">
        <f t="shared" si="3"/>
        <v>68.125</v>
      </c>
      <c r="BT8">
        <f>AVERAGE(L8:U8)</f>
        <v>67.875</v>
      </c>
      <c r="BU8">
        <f t="shared" si="0"/>
        <v>68.571428571428569</v>
      </c>
      <c r="BV8">
        <f t="shared" si="0"/>
        <v>62.142857142857146</v>
      </c>
      <c r="BW8">
        <f t="shared" si="0"/>
        <v>57.857142857142854</v>
      </c>
      <c r="BX8">
        <f t="shared" si="0"/>
        <v>50.428571428571431</v>
      </c>
      <c r="BY8">
        <f t="shared" si="0"/>
        <v>48.714285714285715</v>
      </c>
      <c r="BZ8">
        <f t="shared" si="0"/>
        <v>54.142857142857146</v>
      </c>
      <c r="CA8">
        <f t="shared" si="0"/>
        <v>52.142857142857146</v>
      </c>
      <c r="CB8">
        <f t="shared" si="0"/>
        <v>55.375</v>
      </c>
      <c r="CC8">
        <f t="shared" si="0"/>
        <v>54.555555555555557</v>
      </c>
      <c r="CD8">
        <f t="shared" si="0"/>
        <v>51.666666666666664</v>
      </c>
      <c r="CE8">
        <f t="shared" si="0"/>
        <v>56.3</v>
      </c>
      <c r="CF8">
        <f t="shared" si="4"/>
        <v>60</v>
      </c>
      <c r="CG8">
        <f t="shared" si="5"/>
        <v>64.2</v>
      </c>
      <c r="CH8">
        <f t="shared" si="6"/>
        <v>69.111111111111114</v>
      </c>
      <c r="CI8">
        <f t="shared" si="7"/>
        <v>70.5</v>
      </c>
      <c r="CJ8">
        <f t="shared" si="8"/>
        <v>67.142857142857139</v>
      </c>
      <c r="CK8">
        <f t="shared" si="9"/>
        <v>69.833333333333329</v>
      </c>
      <c r="CL8">
        <f t="shared" si="10"/>
        <v>68.2</v>
      </c>
      <c r="CM8">
        <f t="shared" si="11"/>
        <v>73.25</v>
      </c>
      <c r="CN8">
        <f t="shared" si="12"/>
        <v>82.666666666666671</v>
      </c>
      <c r="CO8">
        <f t="shared" si="13"/>
        <v>75</v>
      </c>
      <c r="CP8">
        <f t="shared" si="14"/>
        <v>84</v>
      </c>
      <c r="CQ8" t="e">
        <f t="shared" si="15"/>
        <v>#DIV/0!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107</v>
      </c>
      <c r="C9" s="16">
        <v>198</v>
      </c>
      <c r="D9" s="16">
        <v>236</v>
      </c>
      <c r="E9" s="16">
        <v>112</v>
      </c>
      <c r="F9" s="16">
        <v>199</v>
      </c>
      <c r="G9" s="16">
        <v>157</v>
      </c>
      <c r="H9" s="16">
        <v>81</v>
      </c>
      <c r="I9" s="16">
        <v>102</v>
      </c>
      <c r="J9" s="16">
        <v>157</v>
      </c>
      <c r="K9" s="16">
        <v>85</v>
      </c>
      <c r="L9" s="16">
        <v>52</v>
      </c>
      <c r="M9" s="16">
        <v>180</v>
      </c>
      <c r="N9" s="16">
        <v>106</v>
      </c>
      <c r="O9" s="16">
        <v>92</v>
      </c>
      <c r="P9" s="16">
        <v>90</v>
      </c>
      <c r="Q9" s="16">
        <v>127</v>
      </c>
      <c r="R9" s="16">
        <v>96</v>
      </c>
      <c r="S9" s="16"/>
      <c r="T9" s="16"/>
      <c r="U9" s="17">
        <v>94</v>
      </c>
      <c r="V9" s="17"/>
      <c r="W9" s="17">
        <v>36</v>
      </c>
      <c r="X9" s="17">
        <v>98</v>
      </c>
      <c r="Y9" s="17">
        <v>155</v>
      </c>
      <c r="Z9" s="17">
        <v>94</v>
      </c>
      <c r="AA9" s="17">
        <v>121</v>
      </c>
      <c r="AB9" s="17">
        <v>63</v>
      </c>
      <c r="AC9" s="17">
        <v>66</v>
      </c>
      <c r="AD9" s="17">
        <v>67</v>
      </c>
      <c r="AE9" s="10">
        <v>157</v>
      </c>
      <c r="AF9" s="10">
        <v>148</v>
      </c>
      <c r="AG9" s="10">
        <f>13+41+44+10</f>
        <v>108</v>
      </c>
      <c r="AH9" s="10">
        <f>45+42+39+20</f>
        <v>146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143.4</v>
      </c>
      <c r="BK9">
        <f t="shared" si="0"/>
        <v>137.9</v>
      </c>
      <c r="BL9">
        <f t="shared" si="2"/>
        <v>136.1</v>
      </c>
      <c r="BM9">
        <f t="shared" si="0"/>
        <v>123.1</v>
      </c>
      <c r="BN9">
        <f t="shared" si="0"/>
        <v>121.1</v>
      </c>
      <c r="BO9">
        <f t="shared" si="0"/>
        <v>110.2</v>
      </c>
      <c r="BP9">
        <f t="shared" si="0"/>
        <v>107.2</v>
      </c>
      <c r="BQ9">
        <f t="shared" si="0"/>
        <v>108.7</v>
      </c>
      <c r="BR9">
        <f t="shared" si="3"/>
        <v>109.44444444444444</v>
      </c>
      <c r="BS9">
        <f t="shared" si="3"/>
        <v>103.5</v>
      </c>
      <c r="BT9">
        <f t="shared" si="0"/>
        <v>104.625</v>
      </c>
      <c r="BU9">
        <f t="shared" si="0"/>
        <v>112.14285714285714</v>
      </c>
      <c r="BV9">
        <f t="shared" si="0"/>
        <v>91.571428571428569</v>
      </c>
      <c r="BW9">
        <f t="shared" si="0"/>
        <v>90.428571428571431</v>
      </c>
      <c r="BX9">
        <f t="shared" si="0"/>
        <v>99.428571428571431</v>
      </c>
      <c r="BY9">
        <f t="shared" si="0"/>
        <v>100</v>
      </c>
      <c r="BZ9">
        <f t="shared" si="0"/>
        <v>99.142857142857139</v>
      </c>
      <c r="CA9">
        <f t="shared" si="0"/>
        <v>94.428571428571431</v>
      </c>
      <c r="CB9">
        <f t="shared" si="0"/>
        <v>90.875</v>
      </c>
      <c r="CC9">
        <f t="shared" si="0"/>
        <v>88.222222222222229</v>
      </c>
      <c r="CD9">
        <f t="shared" si="0"/>
        <v>95.222222222222229</v>
      </c>
      <c r="CE9">
        <f t="shared" si="0"/>
        <v>100.5</v>
      </c>
      <c r="CF9">
        <f t="shared" si="4"/>
        <v>107.7</v>
      </c>
      <c r="CG9">
        <f t="shared" si="5"/>
        <v>112.5</v>
      </c>
      <c r="CH9">
        <f t="shared" si="6"/>
        <v>107.77777777777777</v>
      </c>
      <c r="CI9">
        <f t="shared" si="7"/>
        <v>109.5</v>
      </c>
      <c r="CJ9">
        <f t="shared" si="8"/>
        <v>107.85714285714286</v>
      </c>
      <c r="CK9">
        <f t="shared" si="9"/>
        <v>115.33333333333333</v>
      </c>
      <c r="CL9">
        <f t="shared" si="10"/>
        <v>125.2</v>
      </c>
      <c r="CM9">
        <f t="shared" si="11"/>
        <v>139.75</v>
      </c>
      <c r="CN9">
        <f t="shared" si="12"/>
        <v>134</v>
      </c>
      <c r="CO9">
        <f t="shared" si="13"/>
        <v>127</v>
      </c>
      <c r="CP9">
        <f t="shared" si="14"/>
        <v>146</v>
      </c>
      <c r="CQ9" t="e">
        <f t="shared" si="15"/>
        <v>#DIV/0!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95</v>
      </c>
      <c r="C10" s="14">
        <v>107</v>
      </c>
      <c r="D10" s="14">
        <v>55</v>
      </c>
      <c r="E10" s="14">
        <v>111</v>
      </c>
      <c r="F10" s="14">
        <v>100</v>
      </c>
      <c r="G10" s="14">
        <v>96</v>
      </c>
      <c r="H10" s="14">
        <v>86</v>
      </c>
      <c r="I10" s="14">
        <v>125</v>
      </c>
      <c r="J10" s="14">
        <v>62</v>
      </c>
      <c r="K10" s="14">
        <v>115</v>
      </c>
      <c r="L10" s="14">
        <v>86</v>
      </c>
      <c r="M10" s="14">
        <v>141</v>
      </c>
      <c r="N10" s="14">
        <v>82</v>
      </c>
      <c r="O10" s="14">
        <v>73</v>
      </c>
      <c r="P10" s="14">
        <v>75</v>
      </c>
      <c r="Q10" s="14">
        <v>79</v>
      </c>
      <c r="R10" s="14">
        <v>69</v>
      </c>
      <c r="S10" s="14"/>
      <c r="T10" s="14"/>
      <c r="U10" s="15">
        <v>49</v>
      </c>
      <c r="V10" s="15"/>
      <c r="W10" s="15">
        <v>51</v>
      </c>
      <c r="X10" s="15">
        <v>56</v>
      </c>
      <c r="Y10" s="15">
        <v>120</v>
      </c>
      <c r="Z10" s="15">
        <v>71</v>
      </c>
      <c r="AA10" s="15">
        <v>42</v>
      </c>
      <c r="AB10" s="15">
        <v>57</v>
      </c>
      <c r="AC10" s="15">
        <v>64</v>
      </c>
      <c r="AD10" s="15">
        <v>94</v>
      </c>
      <c r="AE10" s="124">
        <v>126</v>
      </c>
      <c r="AF10" s="124">
        <v>83</v>
      </c>
      <c r="AG10" s="124">
        <f>25+24</f>
        <v>49</v>
      </c>
      <c r="AH10" s="124">
        <f>10+47+9+25</f>
        <v>91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95.2</v>
      </c>
      <c r="BK10">
        <f t="shared" si="0"/>
        <v>94.3</v>
      </c>
      <c r="BL10">
        <f t="shared" si="2"/>
        <v>97.7</v>
      </c>
      <c r="BM10">
        <f t="shared" si="0"/>
        <v>100.4</v>
      </c>
      <c r="BN10">
        <f t="shared" si="0"/>
        <v>96.6</v>
      </c>
      <c r="BO10">
        <f t="shared" si="0"/>
        <v>94.1</v>
      </c>
      <c r="BP10">
        <f t="shared" si="0"/>
        <v>92.4</v>
      </c>
      <c r="BQ10">
        <f t="shared" si="0"/>
        <v>90.7</v>
      </c>
      <c r="BR10">
        <f t="shared" si="3"/>
        <v>86.888888888888886</v>
      </c>
      <c r="BS10">
        <f t="shared" si="3"/>
        <v>90</v>
      </c>
      <c r="BT10">
        <f t="shared" si="0"/>
        <v>81.75</v>
      </c>
      <c r="BU10">
        <f t="shared" si="0"/>
        <v>81.142857142857139</v>
      </c>
      <c r="BV10">
        <f t="shared" si="0"/>
        <v>68.285714285714292</v>
      </c>
      <c r="BW10">
        <f t="shared" si="0"/>
        <v>64.571428571428569</v>
      </c>
      <c r="BX10">
        <f t="shared" si="0"/>
        <v>71.285714285714292</v>
      </c>
      <c r="BY10">
        <f t="shared" si="0"/>
        <v>70.714285714285708</v>
      </c>
      <c r="BZ10">
        <f t="shared" si="0"/>
        <v>65.428571428571431</v>
      </c>
      <c r="CA10">
        <f t="shared" si="0"/>
        <v>63.714285714285715</v>
      </c>
      <c r="CB10">
        <f t="shared" si="0"/>
        <v>63.75</v>
      </c>
      <c r="CC10">
        <f t="shared" si="0"/>
        <v>67.111111111111114</v>
      </c>
      <c r="CD10">
        <f t="shared" si="0"/>
        <v>75.666666666666671</v>
      </c>
      <c r="CE10">
        <f t="shared" si="0"/>
        <v>76.400000000000006</v>
      </c>
      <c r="CF10">
        <f t="shared" si="4"/>
        <v>76.2</v>
      </c>
      <c r="CG10">
        <f t="shared" si="5"/>
        <v>79.7</v>
      </c>
      <c r="CH10">
        <f t="shared" si="6"/>
        <v>75.222222222222229</v>
      </c>
      <c r="CI10">
        <f t="shared" si="7"/>
        <v>75.75</v>
      </c>
      <c r="CJ10">
        <f t="shared" si="8"/>
        <v>80.571428571428569</v>
      </c>
      <c r="CK10">
        <f t="shared" si="9"/>
        <v>84.5</v>
      </c>
      <c r="CL10">
        <f t="shared" si="10"/>
        <v>88.6</v>
      </c>
      <c r="CM10">
        <f t="shared" si="11"/>
        <v>87.25</v>
      </c>
      <c r="CN10">
        <f t="shared" si="12"/>
        <v>74.333333333333329</v>
      </c>
      <c r="CO10">
        <f t="shared" si="13"/>
        <v>70</v>
      </c>
      <c r="CP10">
        <f t="shared" si="14"/>
        <v>91</v>
      </c>
      <c r="CQ10" t="e">
        <f t="shared" si="15"/>
        <v>#DIV/0!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108</v>
      </c>
      <c r="C11" s="16">
        <v>139</v>
      </c>
      <c r="D11" s="16">
        <v>166</v>
      </c>
      <c r="E11" s="16">
        <v>266</v>
      </c>
      <c r="F11" s="16">
        <v>145</v>
      </c>
      <c r="G11" s="16">
        <v>127</v>
      </c>
      <c r="H11" s="16">
        <v>211</v>
      </c>
      <c r="I11" s="16">
        <v>105</v>
      </c>
      <c r="J11" s="16">
        <v>142</v>
      </c>
      <c r="K11" s="16">
        <v>197</v>
      </c>
      <c r="L11" s="16">
        <v>90</v>
      </c>
      <c r="M11" s="16">
        <v>164</v>
      </c>
      <c r="N11" s="16">
        <v>108</v>
      </c>
      <c r="O11" s="16">
        <v>157</v>
      </c>
      <c r="P11" s="16">
        <v>124</v>
      </c>
      <c r="Q11" s="16">
        <v>134</v>
      </c>
      <c r="R11" s="16">
        <v>64</v>
      </c>
      <c r="S11" s="16"/>
      <c r="T11" s="16"/>
      <c r="U11" s="17">
        <v>96</v>
      </c>
      <c r="V11" s="17"/>
      <c r="W11" s="17">
        <v>61</v>
      </c>
      <c r="X11" s="17">
        <v>54</v>
      </c>
      <c r="Y11" s="17">
        <v>66</v>
      </c>
      <c r="Z11" s="17">
        <v>54</v>
      </c>
      <c r="AA11" s="17">
        <v>105</v>
      </c>
      <c r="AB11" s="17">
        <v>110</v>
      </c>
      <c r="AC11" s="17">
        <v>79</v>
      </c>
      <c r="AD11" s="17">
        <v>100</v>
      </c>
      <c r="AE11" s="10">
        <v>163</v>
      </c>
      <c r="AF11" s="10">
        <v>115</v>
      </c>
      <c r="AG11" s="10">
        <f>10+42+36</f>
        <v>88</v>
      </c>
      <c r="AH11" s="10">
        <f>14+35+30+24</f>
        <v>103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160.6</v>
      </c>
      <c r="BK11">
        <f t="shared" si="0"/>
        <v>158.80000000000001</v>
      </c>
      <c r="BL11">
        <f t="shared" si="2"/>
        <v>161.30000000000001</v>
      </c>
      <c r="BM11">
        <f t="shared" si="0"/>
        <v>155.5</v>
      </c>
      <c r="BN11">
        <f t="shared" si="0"/>
        <v>144.6</v>
      </c>
      <c r="BO11">
        <f t="shared" si="0"/>
        <v>142.5</v>
      </c>
      <c r="BP11">
        <f t="shared" si="0"/>
        <v>143.19999999999999</v>
      </c>
      <c r="BQ11">
        <f t="shared" si="0"/>
        <v>128.5</v>
      </c>
      <c r="BR11">
        <f t="shared" si="3"/>
        <v>131.11111111111111</v>
      </c>
      <c r="BS11">
        <f t="shared" si="3"/>
        <v>129.75</v>
      </c>
      <c r="BT11">
        <f t="shared" si="0"/>
        <v>117.125</v>
      </c>
      <c r="BU11">
        <f t="shared" si="0"/>
        <v>121</v>
      </c>
      <c r="BV11">
        <f t="shared" si="0"/>
        <v>106.28571428571429</v>
      </c>
      <c r="BW11">
        <f t="shared" si="0"/>
        <v>98.571428571428569</v>
      </c>
      <c r="BX11">
        <f t="shared" si="0"/>
        <v>85.571428571428569</v>
      </c>
      <c r="BY11">
        <f t="shared" si="0"/>
        <v>75.571428571428569</v>
      </c>
      <c r="BZ11">
        <f t="shared" si="0"/>
        <v>71.428571428571431</v>
      </c>
      <c r="CA11">
        <f t="shared" si="0"/>
        <v>78</v>
      </c>
      <c r="CB11">
        <f t="shared" si="0"/>
        <v>78.125</v>
      </c>
      <c r="CC11">
        <f t="shared" si="0"/>
        <v>80.555555555555557</v>
      </c>
      <c r="CD11">
        <f t="shared" si="0"/>
        <v>88</v>
      </c>
      <c r="CE11">
        <f t="shared" si="0"/>
        <v>90.7</v>
      </c>
      <c r="CF11">
        <f t="shared" si="4"/>
        <v>93.4</v>
      </c>
      <c r="CG11">
        <f>AVERAGE(Y11:AH11)</f>
        <v>98.3</v>
      </c>
      <c r="CH11">
        <f>AVERAGE(Z11:AH11)</f>
        <v>101.88888888888889</v>
      </c>
      <c r="CI11">
        <f t="shared" si="7"/>
        <v>107.875</v>
      </c>
      <c r="CJ11">
        <f t="shared" si="8"/>
        <v>108.28571428571429</v>
      </c>
      <c r="CK11">
        <f t="shared" si="9"/>
        <v>108</v>
      </c>
      <c r="CL11">
        <f t="shared" si="10"/>
        <v>113.8</v>
      </c>
      <c r="CM11">
        <f t="shared" si="11"/>
        <v>117.25</v>
      </c>
      <c r="CN11">
        <f t="shared" si="12"/>
        <v>102</v>
      </c>
      <c r="CO11">
        <f t="shared" si="13"/>
        <v>95.5</v>
      </c>
      <c r="CP11">
        <f>AVERAGE(AH11:AQ11)</f>
        <v>103</v>
      </c>
      <c r="CQ11">
        <f>AVERAGE(AH11:AR11)</f>
        <v>103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114</v>
      </c>
      <c r="C12" s="14">
        <v>179</v>
      </c>
      <c r="D12" s="14">
        <v>197</v>
      </c>
      <c r="E12" s="14">
        <v>189</v>
      </c>
      <c r="F12" s="14">
        <v>172</v>
      </c>
      <c r="G12" s="14">
        <v>143</v>
      </c>
      <c r="H12" s="14">
        <v>202</v>
      </c>
      <c r="I12" s="14">
        <v>182</v>
      </c>
      <c r="J12" s="14">
        <v>114</v>
      </c>
      <c r="K12" s="14">
        <v>132</v>
      </c>
      <c r="L12" s="14">
        <v>241</v>
      </c>
      <c r="M12" s="14">
        <v>166</v>
      </c>
      <c r="N12" s="14">
        <v>160</v>
      </c>
      <c r="O12" s="14">
        <v>115</v>
      </c>
      <c r="P12" s="14">
        <v>134</v>
      </c>
      <c r="Q12" s="14">
        <v>130</v>
      </c>
      <c r="R12" s="14">
        <v>96</v>
      </c>
      <c r="S12" s="14"/>
      <c r="T12" s="14"/>
      <c r="U12" s="15">
        <v>78</v>
      </c>
      <c r="V12" s="15"/>
      <c r="W12" s="15">
        <v>91</v>
      </c>
      <c r="X12" s="15">
        <v>66</v>
      </c>
      <c r="Y12" s="15">
        <v>98</v>
      </c>
      <c r="Z12" s="15">
        <v>145</v>
      </c>
      <c r="AA12" s="15">
        <v>86</v>
      </c>
      <c r="AB12" s="15">
        <v>138</v>
      </c>
      <c r="AC12" s="15">
        <v>63</v>
      </c>
      <c r="AD12" s="15">
        <v>91</v>
      </c>
      <c r="AE12" s="124">
        <v>124</v>
      </c>
      <c r="AF12" s="124">
        <v>63</v>
      </c>
      <c r="AG12" s="124">
        <f>17+33+36+2</f>
        <v>88</v>
      </c>
      <c r="AH12" s="124">
        <f>22+94</f>
        <v>116</v>
      </c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162.4</v>
      </c>
      <c r="BK12">
        <f t="shared" si="0"/>
        <v>175.1</v>
      </c>
      <c r="BL12">
        <f t="shared" si="2"/>
        <v>173.8</v>
      </c>
      <c r="BM12">
        <f t="shared" si="0"/>
        <v>170.1</v>
      </c>
      <c r="BN12">
        <f t="shared" si="0"/>
        <v>162.69999999999999</v>
      </c>
      <c r="BO12">
        <f t="shared" si="0"/>
        <v>158.9</v>
      </c>
      <c r="BP12">
        <f t="shared" si="0"/>
        <v>157.6</v>
      </c>
      <c r="BQ12">
        <f t="shared" si="0"/>
        <v>147</v>
      </c>
      <c r="BR12">
        <f t="shared" si="3"/>
        <v>143.11111111111111</v>
      </c>
      <c r="BS12">
        <f t="shared" si="3"/>
        <v>146.75</v>
      </c>
      <c r="BT12">
        <f t="shared" si="0"/>
        <v>140</v>
      </c>
      <c r="BU12">
        <f t="shared" si="0"/>
        <v>125.57142857142857</v>
      </c>
      <c r="BV12">
        <f t="shared" si="0"/>
        <v>114.85714285714286</v>
      </c>
      <c r="BW12">
        <f t="shared" si="0"/>
        <v>101.42857142857143</v>
      </c>
      <c r="BX12">
        <f t="shared" si="0"/>
        <v>99</v>
      </c>
      <c r="BY12">
        <f t="shared" si="0"/>
        <v>100.57142857142857</v>
      </c>
      <c r="BZ12">
        <f t="shared" si="0"/>
        <v>94.285714285714292</v>
      </c>
      <c r="CA12">
        <f t="shared" si="0"/>
        <v>100.28571428571429</v>
      </c>
      <c r="CB12">
        <f t="shared" si="0"/>
        <v>95.625</v>
      </c>
      <c r="CC12">
        <f t="shared" si="0"/>
        <v>95.111111111111114</v>
      </c>
      <c r="CD12">
        <f t="shared" si="0"/>
        <v>100.22222222222223</v>
      </c>
      <c r="CE12">
        <f t="shared" si="0"/>
        <v>96.5</v>
      </c>
      <c r="CF12">
        <f t="shared" si="4"/>
        <v>96.2</v>
      </c>
      <c r="CG12">
        <f t="shared" si="5"/>
        <v>101.2</v>
      </c>
      <c r="CH12">
        <f t="shared" si="6"/>
        <v>101.55555555555556</v>
      </c>
      <c r="CI12">
        <f t="shared" si="7"/>
        <v>96.125</v>
      </c>
      <c r="CJ12">
        <f t="shared" si="8"/>
        <v>97.571428571428569</v>
      </c>
      <c r="CK12">
        <f t="shared" si="9"/>
        <v>90.833333333333329</v>
      </c>
      <c r="CL12">
        <f t="shared" si="10"/>
        <v>96.4</v>
      </c>
      <c r="CM12">
        <f t="shared" si="11"/>
        <v>97.75</v>
      </c>
      <c r="CN12">
        <f t="shared" si="12"/>
        <v>89</v>
      </c>
      <c r="CO12">
        <f t="shared" si="13"/>
        <v>102</v>
      </c>
      <c r="CP12">
        <f t="shared" si="14"/>
        <v>116</v>
      </c>
      <c r="CQ12" t="e">
        <f t="shared" si="15"/>
        <v>#DIV/0!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142</v>
      </c>
      <c r="C13" s="16">
        <v>164</v>
      </c>
      <c r="D13" s="16">
        <v>108</v>
      </c>
      <c r="E13" s="16">
        <v>215</v>
      </c>
      <c r="F13" s="16">
        <v>199</v>
      </c>
      <c r="G13" s="16">
        <v>121</v>
      </c>
      <c r="H13" s="16">
        <v>110</v>
      </c>
      <c r="I13" s="16">
        <v>130</v>
      </c>
      <c r="J13" s="16">
        <v>158</v>
      </c>
      <c r="K13" s="16">
        <v>156</v>
      </c>
      <c r="L13" s="16">
        <v>105</v>
      </c>
      <c r="M13" s="16">
        <v>102</v>
      </c>
      <c r="N13" s="16">
        <v>66</v>
      </c>
      <c r="O13" s="16">
        <v>88</v>
      </c>
      <c r="P13" s="16">
        <v>109</v>
      </c>
      <c r="Q13" s="16">
        <v>137</v>
      </c>
      <c r="R13" s="16">
        <v>114</v>
      </c>
      <c r="S13" s="16"/>
      <c r="T13" s="16"/>
      <c r="U13" s="17">
        <v>70</v>
      </c>
      <c r="V13" s="17"/>
      <c r="W13" s="17">
        <v>76</v>
      </c>
      <c r="X13" s="17">
        <v>69</v>
      </c>
      <c r="Y13" s="17">
        <v>66</v>
      </c>
      <c r="Z13" s="17">
        <v>72</v>
      </c>
      <c r="AA13" s="17">
        <v>89</v>
      </c>
      <c r="AB13" s="17">
        <v>69</v>
      </c>
      <c r="AC13" s="17">
        <v>64</v>
      </c>
      <c r="AD13" s="17">
        <v>90</v>
      </c>
      <c r="AE13" s="10">
        <v>167</v>
      </c>
      <c r="AF13" s="10">
        <v>71</v>
      </c>
      <c r="AG13" s="10">
        <f>30+37+6</f>
        <v>73</v>
      </c>
      <c r="AH13" s="10">
        <f>11+26+32+33+17</f>
        <v>119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150.30000000000001</v>
      </c>
      <c r="BK13">
        <f t="shared" si="0"/>
        <v>146.6</v>
      </c>
      <c r="BL13">
        <f t="shared" si="2"/>
        <v>140.4</v>
      </c>
      <c r="BM13">
        <f t="shared" si="0"/>
        <v>136.19999999999999</v>
      </c>
      <c r="BN13">
        <f t="shared" si="0"/>
        <v>123.5</v>
      </c>
      <c r="BO13">
        <f t="shared" si="0"/>
        <v>114.5</v>
      </c>
      <c r="BP13">
        <f t="shared" si="0"/>
        <v>116.1</v>
      </c>
      <c r="BQ13">
        <f t="shared" si="0"/>
        <v>116.5</v>
      </c>
      <c r="BR13">
        <f t="shared" si="3"/>
        <v>115</v>
      </c>
      <c r="BS13">
        <f t="shared" si="3"/>
        <v>109.625</v>
      </c>
      <c r="BT13">
        <f t="shared" si="0"/>
        <v>98.875</v>
      </c>
      <c r="BU13">
        <f t="shared" si="0"/>
        <v>98</v>
      </c>
      <c r="BV13">
        <f t="shared" si="0"/>
        <v>94.285714285714292</v>
      </c>
      <c r="BW13">
        <f t="shared" si="0"/>
        <v>94.714285714285708</v>
      </c>
      <c r="BX13">
        <f t="shared" si="0"/>
        <v>91.571428571428569</v>
      </c>
      <c r="BY13">
        <f t="shared" si="0"/>
        <v>86.285714285714292</v>
      </c>
      <c r="BZ13">
        <f t="shared" si="0"/>
        <v>79.428571428571431</v>
      </c>
      <c r="CA13">
        <f t="shared" si="0"/>
        <v>73</v>
      </c>
      <c r="CB13">
        <f t="shared" si="0"/>
        <v>71.875</v>
      </c>
      <c r="CC13">
        <f t="shared" si="0"/>
        <v>73.888888888888886</v>
      </c>
      <c r="CD13">
        <f t="shared" si="0"/>
        <v>84.666666666666671</v>
      </c>
      <c r="CE13">
        <f t="shared" si="0"/>
        <v>83.3</v>
      </c>
      <c r="CF13">
        <f t="shared" si="4"/>
        <v>83</v>
      </c>
      <c r="CG13">
        <f t="shared" si="5"/>
        <v>88</v>
      </c>
      <c r="CH13">
        <f t="shared" si="6"/>
        <v>90.444444444444443</v>
      </c>
      <c r="CI13">
        <f t="shared" si="7"/>
        <v>92.75</v>
      </c>
      <c r="CJ13">
        <f t="shared" si="8"/>
        <v>93.285714285714292</v>
      </c>
      <c r="CK13">
        <f t="shared" si="9"/>
        <v>97.333333333333329</v>
      </c>
      <c r="CL13">
        <f t="shared" si="10"/>
        <v>104</v>
      </c>
      <c r="CM13">
        <f t="shared" si="11"/>
        <v>107.5</v>
      </c>
      <c r="CN13">
        <f t="shared" si="12"/>
        <v>87.666666666666671</v>
      </c>
      <c r="CO13">
        <f t="shared" si="13"/>
        <v>96</v>
      </c>
      <c r="CP13">
        <f t="shared" si="14"/>
        <v>119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231</v>
      </c>
      <c r="C14" s="14">
        <v>132</v>
      </c>
      <c r="D14" s="14">
        <v>182</v>
      </c>
      <c r="E14" s="14">
        <v>256</v>
      </c>
      <c r="F14" s="14">
        <v>214</v>
      </c>
      <c r="G14" s="14">
        <v>155</v>
      </c>
      <c r="H14" s="14">
        <v>220</v>
      </c>
      <c r="I14" s="14">
        <v>196</v>
      </c>
      <c r="J14" s="14">
        <v>228</v>
      </c>
      <c r="K14" s="14">
        <v>170</v>
      </c>
      <c r="L14" s="14">
        <v>396</v>
      </c>
      <c r="M14" s="14">
        <v>126</v>
      </c>
      <c r="N14" s="14">
        <v>115</v>
      </c>
      <c r="O14" s="14">
        <v>104</v>
      </c>
      <c r="P14" s="14">
        <v>80</v>
      </c>
      <c r="Q14" s="14">
        <v>192</v>
      </c>
      <c r="R14" s="14">
        <v>81</v>
      </c>
      <c r="S14" s="14"/>
      <c r="T14" s="14"/>
      <c r="U14" s="15">
        <v>111</v>
      </c>
      <c r="V14" s="15"/>
      <c r="W14" s="15">
        <v>68</v>
      </c>
      <c r="X14" s="15">
        <v>84</v>
      </c>
      <c r="Y14" s="15">
        <v>96</v>
      </c>
      <c r="Z14" s="15">
        <v>89</v>
      </c>
      <c r="AA14" s="15">
        <v>86</v>
      </c>
      <c r="AB14" s="15">
        <v>96</v>
      </c>
      <c r="AC14" s="15">
        <v>49</v>
      </c>
      <c r="AD14" s="15">
        <v>130</v>
      </c>
      <c r="AE14" s="124">
        <v>170</v>
      </c>
      <c r="AF14" s="124">
        <v>77</v>
      </c>
      <c r="AG14" s="124">
        <f>38+46+42+17</f>
        <v>143</v>
      </c>
      <c r="AH14" s="124">
        <f>12+9+50+23+25</f>
        <v>119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198.4</v>
      </c>
      <c r="BK14">
        <f t="shared" si="0"/>
        <v>214.9</v>
      </c>
      <c r="BL14">
        <f t="shared" si="2"/>
        <v>214.3</v>
      </c>
      <c r="BM14">
        <f t="shared" si="0"/>
        <v>207.6</v>
      </c>
      <c r="BN14">
        <f t="shared" si="0"/>
        <v>192.4</v>
      </c>
      <c r="BO14">
        <f t="shared" si="0"/>
        <v>179</v>
      </c>
      <c r="BP14">
        <f t="shared" si="0"/>
        <v>182.7</v>
      </c>
      <c r="BQ14">
        <f t="shared" si="0"/>
        <v>168.8</v>
      </c>
      <c r="BR14">
        <f t="shared" si="3"/>
        <v>165.77777777777777</v>
      </c>
      <c r="BS14">
        <f t="shared" si="3"/>
        <v>158</v>
      </c>
      <c r="BT14">
        <f t="shared" si="0"/>
        <v>150.625</v>
      </c>
      <c r="BU14">
        <f t="shared" si="0"/>
        <v>115.57142857142857</v>
      </c>
      <c r="BV14">
        <f t="shared" si="0"/>
        <v>107.28571428571429</v>
      </c>
      <c r="BW14">
        <f t="shared" si="0"/>
        <v>102.85714285714286</v>
      </c>
      <c r="BX14">
        <f t="shared" si="0"/>
        <v>101.71428571428571</v>
      </c>
      <c r="BY14">
        <f t="shared" si="0"/>
        <v>103</v>
      </c>
      <c r="BZ14">
        <f t="shared" si="0"/>
        <v>87.857142857142861</v>
      </c>
      <c r="CA14">
        <f t="shared" si="0"/>
        <v>90</v>
      </c>
      <c r="CB14">
        <f t="shared" si="0"/>
        <v>84.875</v>
      </c>
      <c r="CC14">
        <f t="shared" si="0"/>
        <v>89.888888888888886</v>
      </c>
      <c r="CD14">
        <f t="shared" si="0"/>
        <v>96.444444444444443</v>
      </c>
      <c r="CE14">
        <f t="shared" si="0"/>
        <v>94.5</v>
      </c>
      <c r="CF14">
        <f t="shared" si="4"/>
        <v>102</v>
      </c>
      <c r="CG14">
        <f t="shared" si="5"/>
        <v>105.5</v>
      </c>
      <c r="CH14">
        <f t="shared" si="6"/>
        <v>106.55555555555556</v>
      </c>
      <c r="CI14">
        <f t="shared" si="7"/>
        <v>108.75</v>
      </c>
      <c r="CJ14">
        <f t="shared" si="8"/>
        <v>112</v>
      </c>
      <c r="CK14">
        <f t="shared" si="9"/>
        <v>114.66666666666667</v>
      </c>
      <c r="CL14">
        <f t="shared" si="10"/>
        <v>127.8</v>
      </c>
      <c r="CM14">
        <f t="shared" si="11"/>
        <v>127.25</v>
      </c>
      <c r="CN14">
        <f t="shared" si="12"/>
        <v>113</v>
      </c>
      <c r="CO14">
        <f t="shared" si="13"/>
        <v>131</v>
      </c>
      <c r="CP14">
        <f t="shared" si="14"/>
        <v>119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93</v>
      </c>
      <c r="C15" s="16">
        <v>78</v>
      </c>
      <c r="D15" s="16">
        <v>100</v>
      </c>
      <c r="E15" s="16">
        <v>121</v>
      </c>
      <c r="F15" s="16">
        <v>103</v>
      </c>
      <c r="G15" s="16">
        <v>79</v>
      </c>
      <c r="H15" s="16">
        <v>73</v>
      </c>
      <c r="I15" s="16">
        <v>78</v>
      </c>
      <c r="J15" s="16">
        <v>84</v>
      </c>
      <c r="K15" s="16">
        <v>64</v>
      </c>
      <c r="L15" s="16">
        <v>69</v>
      </c>
      <c r="M15" s="16">
        <v>119</v>
      </c>
      <c r="N15" s="16">
        <v>114</v>
      </c>
      <c r="O15" s="16">
        <v>53</v>
      </c>
      <c r="P15" s="16">
        <v>75</v>
      </c>
      <c r="Q15" s="16">
        <v>61</v>
      </c>
      <c r="R15" s="16">
        <v>66</v>
      </c>
      <c r="S15" s="16"/>
      <c r="T15" s="16"/>
      <c r="U15" s="17">
        <v>72</v>
      </c>
      <c r="V15" s="17"/>
      <c r="W15" s="17">
        <v>23</v>
      </c>
      <c r="X15" s="17">
        <v>39</v>
      </c>
      <c r="Y15" s="17">
        <v>60</v>
      </c>
      <c r="Z15" s="17">
        <v>89</v>
      </c>
      <c r="AA15" s="17">
        <v>75</v>
      </c>
      <c r="AB15" s="17">
        <v>48</v>
      </c>
      <c r="AC15" s="17">
        <v>37</v>
      </c>
      <c r="AD15" s="17">
        <v>90</v>
      </c>
      <c r="AE15" s="10">
        <v>101</v>
      </c>
      <c r="AF15" s="10">
        <v>80</v>
      </c>
      <c r="AG15" s="10">
        <f>25+40+12</f>
        <v>77</v>
      </c>
      <c r="AH15" s="10">
        <f>3+15+42+42</f>
        <v>102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87.3</v>
      </c>
      <c r="BK15">
        <f t="shared" si="0"/>
        <v>84.9</v>
      </c>
      <c r="BL15">
        <f t="shared" si="2"/>
        <v>89</v>
      </c>
      <c r="BM15">
        <f t="shared" si="0"/>
        <v>90.4</v>
      </c>
      <c r="BN15">
        <f t="shared" si="0"/>
        <v>83.6</v>
      </c>
      <c r="BO15">
        <f t="shared" si="0"/>
        <v>80.8</v>
      </c>
      <c r="BP15">
        <f t="shared" si="0"/>
        <v>79</v>
      </c>
      <c r="BQ15">
        <f t="shared" si="0"/>
        <v>78.3</v>
      </c>
      <c r="BR15">
        <f t="shared" si="3"/>
        <v>78.333333333333329</v>
      </c>
      <c r="BS15">
        <f t="shared" si="3"/>
        <v>77.625</v>
      </c>
      <c r="BT15">
        <f t="shared" si="0"/>
        <v>78.625</v>
      </c>
      <c r="BU15">
        <f t="shared" si="0"/>
        <v>80</v>
      </c>
      <c r="BV15">
        <f t="shared" si="0"/>
        <v>66.285714285714292</v>
      </c>
      <c r="BW15">
        <f t="shared" si="0"/>
        <v>55.571428571428569</v>
      </c>
      <c r="BX15">
        <f t="shared" si="0"/>
        <v>56.571428571428569</v>
      </c>
      <c r="BY15">
        <f t="shared" si="0"/>
        <v>58.571428571428569</v>
      </c>
      <c r="BZ15">
        <f t="shared" si="0"/>
        <v>60.571428571428569</v>
      </c>
      <c r="CA15">
        <f t="shared" si="0"/>
        <v>58</v>
      </c>
      <c r="CB15">
        <f t="shared" si="0"/>
        <v>55.375</v>
      </c>
      <c r="CC15">
        <f t="shared" si="0"/>
        <v>59.222222222222221</v>
      </c>
      <c r="CD15">
        <f t="shared" si="0"/>
        <v>62.444444444444443</v>
      </c>
      <c r="CE15">
        <f t="shared" si="0"/>
        <v>64.2</v>
      </c>
      <c r="CF15">
        <f t="shared" si="4"/>
        <v>69.599999999999994</v>
      </c>
      <c r="CG15">
        <f t="shared" si="5"/>
        <v>75.900000000000006</v>
      </c>
      <c r="CH15">
        <f t="shared" si="6"/>
        <v>77.666666666666671</v>
      </c>
      <c r="CI15">
        <f t="shared" si="7"/>
        <v>76.25</v>
      </c>
      <c r="CJ15">
        <f t="shared" si="8"/>
        <v>76.428571428571431</v>
      </c>
      <c r="CK15">
        <f t="shared" si="9"/>
        <v>81.166666666666671</v>
      </c>
      <c r="CL15">
        <f t="shared" si="10"/>
        <v>90</v>
      </c>
      <c r="CM15">
        <f t="shared" si="11"/>
        <v>90</v>
      </c>
      <c r="CN15">
        <f t="shared" si="12"/>
        <v>86.333333333333329</v>
      </c>
      <c r="CO15">
        <f t="shared" si="13"/>
        <v>89.5</v>
      </c>
      <c r="CP15">
        <f t="shared" si="14"/>
        <v>102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67</v>
      </c>
      <c r="C16" s="14">
        <v>42</v>
      </c>
      <c r="D16" s="14">
        <v>40</v>
      </c>
      <c r="E16" s="14">
        <v>112</v>
      </c>
      <c r="F16" s="14">
        <v>48</v>
      </c>
      <c r="G16" s="14">
        <v>43</v>
      </c>
      <c r="H16" s="14">
        <v>88</v>
      </c>
      <c r="I16" s="14">
        <v>78</v>
      </c>
      <c r="J16" s="14">
        <v>2</v>
      </c>
      <c r="K16" s="14">
        <v>34</v>
      </c>
      <c r="L16" s="14">
        <v>15</v>
      </c>
      <c r="M16" s="14">
        <v>42</v>
      </c>
      <c r="N16" s="14">
        <v>85</v>
      </c>
      <c r="O16" s="14">
        <v>41</v>
      </c>
      <c r="P16" s="14">
        <v>35</v>
      </c>
      <c r="Q16" s="14">
        <v>70</v>
      </c>
      <c r="R16" s="14">
        <v>61</v>
      </c>
      <c r="S16" s="14"/>
      <c r="T16" s="14"/>
      <c r="U16" s="15">
        <v>74</v>
      </c>
      <c r="V16" s="15"/>
      <c r="W16" s="15">
        <v>58</v>
      </c>
      <c r="X16" s="15">
        <v>55</v>
      </c>
      <c r="Y16" s="15">
        <v>71</v>
      </c>
      <c r="Z16" s="15">
        <v>63</v>
      </c>
      <c r="AA16" s="15">
        <v>57</v>
      </c>
      <c r="AB16" s="15">
        <v>30</v>
      </c>
      <c r="AC16" s="15">
        <v>120</v>
      </c>
      <c r="AD16" s="15">
        <v>89</v>
      </c>
      <c r="AE16" s="124">
        <v>28</v>
      </c>
      <c r="AF16" s="124">
        <v>65</v>
      </c>
      <c r="AG16" s="124">
        <f>19+36+5</f>
        <v>60</v>
      </c>
      <c r="AH16" s="124">
        <f>8+1+34+9+34+11</f>
        <v>97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55.4</v>
      </c>
      <c r="BK16">
        <f t="shared" si="0"/>
        <v>50.2</v>
      </c>
      <c r="BL16">
        <f t="shared" si="2"/>
        <v>50.2</v>
      </c>
      <c r="BM16">
        <f t="shared" si="0"/>
        <v>54.7</v>
      </c>
      <c r="BN16">
        <f t="shared" si="0"/>
        <v>47.6</v>
      </c>
      <c r="BO16">
        <f t="shared" si="0"/>
        <v>46.3</v>
      </c>
      <c r="BP16">
        <f t="shared" si="0"/>
        <v>49</v>
      </c>
      <c r="BQ16">
        <f t="shared" si="0"/>
        <v>46.3</v>
      </c>
      <c r="BR16">
        <f t="shared" si="3"/>
        <v>42.777777777777779</v>
      </c>
      <c r="BS16">
        <f t="shared" si="3"/>
        <v>47.875</v>
      </c>
      <c r="BT16">
        <f t="shared" si="0"/>
        <v>52.875</v>
      </c>
      <c r="BU16">
        <f t="shared" si="0"/>
        <v>58.285714285714285</v>
      </c>
      <c r="BV16">
        <f t="shared" si="0"/>
        <v>60.571428571428569</v>
      </c>
      <c r="BW16">
        <f t="shared" si="0"/>
        <v>56.285714285714285</v>
      </c>
      <c r="BX16">
        <f t="shared" si="0"/>
        <v>60.571428571428569</v>
      </c>
      <c r="BY16">
        <f t="shared" si="0"/>
        <v>64.571428571428569</v>
      </c>
      <c r="BZ16">
        <f t="shared" si="0"/>
        <v>62.714285714285715</v>
      </c>
      <c r="CA16">
        <f t="shared" si="0"/>
        <v>58.285714285714285</v>
      </c>
      <c r="CB16">
        <f t="shared" si="0"/>
        <v>66</v>
      </c>
      <c r="CC16">
        <f t="shared" si="0"/>
        <v>68.555555555555557</v>
      </c>
      <c r="CD16">
        <f t="shared" si="0"/>
        <v>63.444444444444443</v>
      </c>
      <c r="CE16">
        <f t="shared" si="0"/>
        <v>63.6</v>
      </c>
      <c r="CF16">
        <f t="shared" si="4"/>
        <v>63.8</v>
      </c>
      <c r="CG16">
        <f t="shared" si="5"/>
        <v>68</v>
      </c>
      <c r="CH16">
        <f t="shared" si="6"/>
        <v>67.666666666666671</v>
      </c>
      <c r="CI16">
        <f t="shared" si="7"/>
        <v>68.25</v>
      </c>
      <c r="CJ16">
        <f t="shared" si="8"/>
        <v>69.857142857142861</v>
      </c>
      <c r="CK16">
        <f t="shared" si="9"/>
        <v>76.5</v>
      </c>
      <c r="CL16">
        <f t="shared" si="10"/>
        <v>67.8</v>
      </c>
      <c r="CM16">
        <f t="shared" si="11"/>
        <v>62.5</v>
      </c>
      <c r="CN16">
        <f t="shared" si="12"/>
        <v>74</v>
      </c>
      <c r="CO16">
        <f t="shared" si="13"/>
        <v>78.5</v>
      </c>
      <c r="CP16">
        <f t="shared" si="14"/>
        <v>97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1233</v>
      </c>
      <c r="C18" s="22">
        <f t="shared" ref="C18:AZ18" si="29">SUM(C5:C16)</f>
        <v>1271</v>
      </c>
      <c r="D18" s="22">
        <f t="shared" si="29"/>
        <v>1260</v>
      </c>
      <c r="E18" s="22">
        <f t="shared" si="29"/>
        <v>1582</v>
      </c>
      <c r="F18" s="22">
        <f t="shared" si="29"/>
        <v>1608</v>
      </c>
      <c r="G18" s="22">
        <f t="shared" si="29"/>
        <v>1111</v>
      </c>
      <c r="H18" s="22">
        <f t="shared" si="29"/>
        <v>1329</v>
      </c>
      <c r="I18" s="22">
        <f t="shared" si="29"/>
        <v>1310</v>
      </c>
      <c r="J18" s="22">
        <f t="shared" si="29"/>
        <v>1128</v>
      </c>
      <c r="K18" s="22">
        <f t="shared" si="29"/>
        <v>1266</v>
      </c>
      <c r="L18" s="22">
        <f t="shared" si="29"/>
        <v>1258</v>
      </c>
      <c r="M18" s="22">
        <f t="shared" si="29"/>
        <v>1285</v>
      </c>
      <c r="N18" s="22">
        <f t="shared" si="29"/>
        <v>1063</v>
      </c>
      <c r="O18" s="22">
        <f t="shared" si="29"/>
        <v>911</v>
      </c>
      <c r="P18" s="22">
        <f t="shared" si="29"/>
        <v>952</v>
      </c>
      <c r="Q18" s="22">
        <f t="shared" si="29"/>
        <v>1249</v>
      </c>
      <c r="R18" s="22">
        <f t="shared" si="29"/>
        <v>849</v>
      </c>
      <c r="S18" s="22">
        <f t="shared" si="29"/>
        <v>0</v>
      </c>
      <c r="T18" s="22">
        <f t="shared" si="29"/>
        <v>0</v>
      </c>
      <c r="U18" s="22">
        <f t="shared" si="29"/>
        <v>879</v>
      </c>
      <c r="V18" s="22">
        <f t="shared" si="29"/>
        <v>0</v>
      </c>
      <c r="W18" s="22">
        <f t="shared" si="29"/>
        <v>675</v>
      </c>
      <c r="X18" s="22">
        <f t="shared" si="29"/>
        <v>783</v>
      </c>
      <c r="Y18" s="22">
        <f t="shared" si="29"/>
        <v>988</v>
      </c>
      <c r="Z18" s="22">
        <f t="shared" si="29"/>
        <v>985</v>
      </c>
      <c r="AA18" s="22">
        <f t="shared" si="29"/>
        <v>1166</v>
      </c>
      <c r="AB18" s="22">
        <f t="shared" si="29"/>
        <v>835</v>
      </c>
      <c r="AC18" s="22">
        <f t="shared" si="29"/>
        <v>907</v>
      </c>
      <c r="AD18" s="22">
        <f t="shared" si="29"/>
        <v>1026</v>
      </c>
      <c r="AE18" s="22">
        <f t="shared" si="29"/>
        <v>1388</v>
      </c>
      <c r="AF18" s="22">
        <f t="shared" si="29"/>
        <v>1266</v>
      </c>
      <c r="AG18" s="22">
        <f t="shared" si="29"/>
        <v>994</v>
      </c>
      <c r="AH18" s="22">
        <f t="shared" si="29"/>
        <v>1244</v>
      </c>
      <c r="AI18" s="22">
        <f t="shared" si="29"/>
        <v>30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 t="shared" ref="BX18:CC18" si="30">AVERAGE(P18:Y18)</f>
        <v>637.5</v>
      </c>
      <c r="BY18" s="25">
        <f t="shared" si="30"/>
        <v>640.79999999999995</v>
      </c>
      <c r="BZ18" s="25">
        <f t="shared" si="30"/>
        <v>632.5</v>
      </c>
      <c r="CA18" s="25">
        <f t="shared" si="30"/>
        <v>631.1</v>
      </c>
      <c r="CB18" s="25">
        <f t="shared" si="30"/>
        <v>721.8</v>
      </c>
      <c r="CC18" s="25">
        <f t="shared" si="30"/>
        <v>824.4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12">
    <tabColor theme="8" tint="-0.249977111117893"/>
  </sheetPr>
  <dimension ref="A1:DE192"/>
  <sheetViews>
    <sheetView defaultGridColor="0" colorId="22" zoomScale="70" zoomScaleNormal="70" workbookViewId="0">
      <pane xSplit="1" topLeftCell="S1" activePane="topRight" state="frozen"/>
      <selection activeCell="AT39" sqref="AT39"/>
      <selection pane="topRight" activeCell="V25" sqref="V25"/>
    </sheetView>
  </sheetViews>
  <sheetFormatPr baseColWidth="10" defaultColWidth="9.42578125" defaultRowHeight="20" customHeight="1" x14ac:dyDescent="0.2"/>
  <cols>
    <col min="1" max="1" width="56.42578125" style="5" customWidth="1"/>
    <col min="2" max="16" width="5.7109375" style="5" hidden="1" customWidth="1"/>
    <col min="17" max="17" width="6.28515625" style="5" hidden="1" customWidth="1"/>
    <col min="18" max="18" width="5.7109375" style="5" hidden="1" customWidth="1"/>
    <col min="19" max="19" width="13.28515625" style="5" customWidth="1"/>
    <col min="20" max="20" width="9.7109375" style="5" customWidth="1"/>
    <col min="21" max="21" width="8.140625" style="5" customWidth="1"/>
    <col min="22" max="22" width="10.7109375" style="5" customWidth="1"/>
    <col min="23" max="23" width="5.7109375" style="5" customWidth="1"/>
    <col min="24" max="24" width="6.7109375" style="5" customWidth="1"/>
    <col min="25" max="28" width="5.7109375" style="5" customWidth="1"/>
    <col min="29" max="29" width="6" style="5" customWidth="1"/>
    <col min="30" max="30" width="6.140625" style="5" customWidth="1"/>
    <col min="31" max="31" width="5.42578125" customWidth="1"/>
    <col min="32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7" width="21.28515625" style="5" customWidth="1"/>
    <col min="78" max="78" width="16" style="5" customWidth="1"/>
    <col min="79" max="79" width="16.7109375" style="5" customWidth="1"/>
    <col min="80" max="80" width="16.85546875" style="5" customWidth="1"/>
    <col min="81" max="81" width="9.425781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36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103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 t="s">
        <v>73</v>
      </c>
      <c r="BY3" s="77" t="s">
        <v>81</v>
      </c>
      <c r="BZ3" s="77" t="s">
        <v>85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26</v>
      </c>
      <c r="I5" s="16">
        <v>2</v>
      </c>
      <c r="J5" s="16">
        <v>28</v>
      </c>
      <c r="K5" s="16">
        <v>15</v>
      </c>
      <c r="L5" s="16">
        <v>0</v>
      </c>
      <c r="M5" s="16">
        <v>1</v>
      </c>
      <c r="N5" s="16">
        <v>1</v>
      </c>
      <c r="O5" s="16">
        <v>3</v>
      </c>
      <c r="P5" s="16">
        <v>0</v>
      </c>
      <c r="Q5" s="16">
        <v>0</v>
      </c>
      <c r="R5" s="16">
        <v>0</v>
      </c>
      <c r="S5" s="16"/>
      <c r="T5" s="16"/>
      <c r="U5" s="17">
        <v>150</v>
      </c>
      <c r="V5" s="17"/>
      <c r="W5" s="17"/>
      <c r="X5" s="17">
        <v>0</v>
      </c>
      <c r="Y5" s="17">
        <v>0</v>
      </c>
      <c r="Z5" s="17">
        <v>2</v>
      </c>
      <c r="AA5" s="17">
        <v>1</v>
      </c>
      <c r="AB5" s="17">
        <v>4</v>
      </c>
      <c r="AC5" s="17">
        <v>0</v>
      </c>
      <c r="AD5" s="112">
        <v>0</v>
      </c>
      <c r="AE5" s="10">
        <v>6</v>
      </c>
      <c r="AF5" s="10">
        <v>3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7.1</v>
      </c>
      <c r="BK5">
        <f t="shared" ref="BK5:DD16" si="0">AVERAGE(C5:L5)</f>
        <v>7.1</v>
      </c>
      <c r="BL5">
        <f>AVERAGE(D5:M5)</f>
        <v>7.2</v>
      </c>
      <c r="BM5">
        <f t="shared" si="0"/>
        <v>7.3</v>
      </c>
      <c r="BN5">
        <f t="shared" si="0"/>
        <v>7.6</v>
      </c>
      <c r="BO5">
        <f t="shared" si="0"/>
        <v>7.6</v>
      </c>
      <c r="BP5">
        <f t="shared" si="0"/>
        <v>7.6</v>
      </c>
      <c r="BQ5">
        <f t="shared" si="0"/>
        <v>5</v>
      </c>
      <c r="BR5">
        <f t="shared" si="0"/>
        <v>5.333333333333333</v>
      </c>
      <c r="BS5">
        <f t="shared" si="0"/>
        <v>2.5</v>
      </c>
      <c r="BT5">
        <f t="shared" si="0"/>
        <v>19.375</v>
      </c>
      <c r="BU5">
        <f t="shared" si="0"/>
        <v>22.142857142857142</v>
      </c>
      <c r="BV5">
        <f t="shared" si="0"/>
        <v>25.666666666666668</v>
      </c>
      <c r="BW5">
        <f t="shared" si="0"/>
        <v>25.5</v>
      </c>
      <c r="BX5">
        <f t="shared" si="0"/>
        <v>25</v>
      </c>
      <c r="BY5">
        <f t="shared" si="0"/>
        <v>25.333333333333332</v>
      </c>
      <c r="BZ5">
        <f t="shared" si="0"/>
        <v>25.5</v>
      </c>
      <c r="CA5">
        <f t="shared" si="0"/>
        <v>26.166666666666668</v>
      </c>
      <c r="CB5">
        <f t="shared" si="0"/>
        <v>22.428571428571427</v>
      </c>
      <c r="CC5">
        <f t="shared" si="0"/>
        <v>19.625</v>
      </c>
      <c r="CD5">
        <f t="shared" si="0"/>
        <v>1.625</v>
      </c>
      <c r="CE5">
        <f t="shared" si="0"/>
        <v>1.7777777777777777</v>
      </c>
      <c r="CF5">
        <f t="shared" si="0"/>
        <v>1.7777777777777777</v>
      </c>
      <c r="CG5">
        <f t="shared" si="0"/>
        <v>2</v>
      </c>
      <c r="CH5">
        <f t="shared" si="0"/>
        <v>2.2857142857142856</v>
      </c>
      <c r="CI5">
        <f t="shared" si="0"/>
        <v>2.3333333333333335</v>
      </c>
      <c r="CJ5">
        <f t="shared" si="0"/>
        <v>2.6</v>
      </c>
      <c r="CK5">
        <f t="shared" si="0"/>
        <v>2.25</v>
      </c>
      <c r="CL5">
        <f t="shared" si="0"/>
        <v>3</v>
      </c>
      <c r="CM5">
        <f t="shared" si="0"/>
        <v>4.5</v>
      </c>
      <c r="CN5">
        <f t="shared" si="0"/>
        <v>3</v>
      </c>
      <c r="CO5" t="e">
        <f t="shared" si="0"/>
        <v>#DIV/0!</v>
      </c>
      <c r="CP5" t="e">
        <f t="shared" si="0"/>
        <v>#DIV/0!</v>
      </c>
      <c r="CQ5" t="e">
        <f t="shared" si="0"/>
        <v>#DIV/0!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68</v>
      </c>
      <c r="K6" s="14">
        <v>35</v>
      </c>
      <c r="L6" s="14">
        <v>0</v>
      </c>
      <c r="M6" s="14">
        <v>1</v>
      </c>
      <c r="N6" s="14">
        <v>0</v>
      </c>
      <c r="O6" s="14">
        <v>0</v>
      </c>
      <c r="P6" s="14">
        <v>0</v>
      </c>
      <c r="Q6" s="14">
        <v>1</v>
      </c>
      <c r="R6" s="14">
        <v>0</v>
      </c>
      <c r="S6" s="14"/>
      <c r="T6" s="14"/>
      <c r="U6" s="15">
        <v>135</v>
      </c>
      <c r="V6" s="15"/>
      <c r="W6" s="15"/>
      <c r="X6" s="15">
        <v>0</v>
      </c>
      <c r="Y6" s="15">
        <v>0</v>
      </c>
      <c r="Z6" s="15">
        <v>0</v>
      </c>
      <c r="AA6" s="15">
        <v>9</v>
      </c>
      <c r="AB6" s="15">
        <v>0</v>
      </c>
      <c r="AC6" s="15">
        <v>0</v>
      </c>
      <c r="AD6" s="111">
        <v>0</v>
      </c>
      <c r="AE6" s="124">
        <v>2</v>
      </c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10.3</v>
      </c>
      <c r="BK6">
        <f t="shared" si="0"/>
        <v>10.3</v>
      </c>
      <c r="BL6">
        <f t="shared" ref="BL6:BL16" si="2">AVERAGE(D6:M6)</f>
        <v>10.4</v>
      </c>
      <c r="BM6">
        <f t="shared" si="0"/>
        <v>10.4</v>
      </c>
      <c r="BN6">
        <f t="shared" si="0"/>
        <v>10.4</v>
      </c>
      <c r="BO6">
        <f t="shared" si="0"/>
        <v>10.4</v>
      </c>
      <c r="BP6">
        <f t="shared" si="0"/>
        <v>10.5</v>
      </c>
      <c r="BQ6">
        <f t="shared" si="0"/>
        <v>10.5</v>
      </c>
      <c r="BR6">
        <f t="shared" ref="BR6:BS16" si="3">AVERAGE(J6:S6)</f>
        <v>11.666666666666666</v>
      </c>
      <c r="BS6">
        <f t="shared" si="3"/>
        <v>4.625</v>
      </c>
      <c r="BT6">
        <f t="shared" si="0"/>
        <v>17.125</v>
      </c>
      <c r="BU6">
        <f t="shared" si="0"/>
        <v>19.571428571428573</v>
      </c>
      <c r="BV6">
        <f t="shared" si="0"/>
        <v>22.666666666666668</v>
      </c>
      <c r="BW6">
        <f t="shared" si="0"/>
        <v>22.666666666666668</v>
      </c>
      <c r="BX6">
        <f t="shared" si="0"/>
        <v>22.666666666666668</v>
      </c>
      <c r="BY6">
        <f t="shared" si="0"/>
        <v>22.666666666666668</v>
      </c>
      <c r="BZ6">
        <f t="shared" si="0"/>
        <v>24</v>
      </c>
      <c r="CA6">
        <f t="shared" si="0"/>
        <v>24</v>
      </c>
      <c r="CB6">
        <f t="shared" si="0"/>
        <v>20.571428571428573</v>
      </c>
      <c r="CC6">
        <f t="shared" si="0"/>
        <v>18</v>
      </c>
      <c r="CD6">
        <f t="shared" si="0"/>
        <v>1.375</v>
      </c>
      <c r="CE6">
        <f t="shared" si="0"/>
        <v>1.375</v>
      </c>
      <c r="CF6">
        <f t="shared" ref="CF6:CF16" si="4">AVERAGE(X6:AG6)</f>
        <v>1.375</v>
      </c>
      <c r="CG6">
        <f t="shared" ref="CG6:CG16" si="5">AVERAGE(Y6:AH6)</f>
        <v>1.5714285714285714</v>
      </c>
      <c r="CH6">
        <f t="shared" ref="CH6:CH16" si="6">AVERAGE(Z6:AI6)</f>
        <v>1.8333333333333333</v>
      </c>
      <c r="CI6">
        <f t="shared" ref="CI6:CI16" si="7">AVERAGE(AA6:AJ6)</f>
        <v>2.2000000000000002</v>
      </c>
      <c r="CJ6">
        <f t="shared" ref="CJ6:CJ16" si="8">AVERAGE(AB6:AK6)</f>
        <v>0.5</v>
      </c>
      <c r="CK6">
        <f t="shared" ref="CK6:CK16" si="9">AVERAGE(AC6:AL6)</f>
        <v>0.66666666666666663</v>
      </c>
      <c r="CL6">
        <f t="shared" ref="CL6:CL16" si="10">AVERAGE(AD6:AM6)</f>
        <v>1</v>
      </c>
      <c r="CM6">
        <f t="shared" ref="CM6:CM16" si="11">AVERAGE(AE6:AN6)</f>
        <v>2</v>
      </c>
      <c r="CN6" t="e">
        <f t="shared" ref="CN6:CN16" si="12">AVERAGE(AF6:AO6)</f>
        <v>#DIV/0!</v>
      </c>
      <c r="CO6" t="e">
        <f t="shared" ref="CO6:CO16" si="13">AVERAGE(AG6:AP6)</f>
        <v>#DIV/0!</v>
      </c>
      <c r="CP6" t="e">
        <f t="shared" ref="CP6:CP16" si="14">AVERAGE(AH6:AQ6)</f>
        <v>#DIV/0!</v>
      </c>
      <c r="CQ6" t="e">
        <f t="shared" ref="CQ6:CQ16" si="15">AVERAGE(AI6:AR6)</f>
        <v>#DIV/0!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0</v>
      </c>
      <c r="C7" s="16">
        <v>0</v>
      </c>
      <c r="D7" s="16">
        <v>0</v>
      </c>
      <c r="E7" s="16">
        <v>22</v>
      </c>
      <c r="F7" s="16">
        <v>0</v>
      </c>
      <c r="G7" s="16">
        <v>3</v>
      </c>
      <c r="H7" s="16">
        <v>0</v>
      </c>
      <c r="I7" s="16">
        <v>0</v>
      </c>
      <c r="J7" s="16">
        <v>35</v>
      </c>
      <c r="K7" s="16">
        <v>25</v>
      </c>
      <c r="L7" s="16">
        <v>0</v>
      </c>
      <c r="M7" s="16">
        <v>4</v>
      </c>
      <c r="N7" s="16">
        <v>2</v>
      </c>
      <c r="O7" s="16">
        <v>5</v>
      </c>
      <c r="P7" s="16">
        <v>0</v>
      </c>
      <c r="Q7" s="16">
        <v>1</v>
      </c>
      <c r="R7" s="16">
        <v>0</v>
      </c>
      <c r="S7" s="16"/>
      <c r="T7" s="16"/>
      <c r="U7" s="17">
        <v>298</v>
      </c>
      <c r="V7" s="17"/>
      <c r="W7" s="17"/>
      <c r="X7" s="17">
        <v>0</v>
      </c>
      <c r="Y7" s="17">
        <v>0</v>
      </c>
      <c r="Z7" s="17">
        <v>0</v>
      </c>
      <c r="AA7" s="17">
        <v>6</v>
      </c>
      <c r="AB7" s="17">
        <v>3</v>
      </c>
      <c r="AC7" s="17">
        <v>0</v>
      </c>
      <c r="AD7" s="112">
        <v>0</v>
      </c>
      <c r="AE7" s="10">
        <v>1</v>
      </c>
      <c r="AF7" s="10">
        <v>2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8.5</v>
      </c>
      <c r="BK7">
        <f t="shared" si="0"/>
        <v>8.5</v>
      </c>
      <c r="BL7">
        <f t="shared" si="2"/>
        <v>8.9</v>
      </c>
      <c r="BM7">
        <f t="shared" si="0"/>
        <v>9.1</v>
      </c>
      <c r="BN7">
        <f t="shared" si="0"/>
        <v>7.4</v>
      </c>
      <c r="BO7">
        <f t="shared" si="0"/>
        <v>7.4</v>
      </c>
      <c r="BP7">
        <f t="shared" si="0"/>
        <v>7.2</v>
      </c>
      <c r="BQ7">
        <f t="shared" si="0"/>
        <v>7.2</v>
      </c>
      <c r="BR7">
        <f t="shared" si="3"/>
        <v>8</v>
      </c>
      <c r="BS7">
        <f t="shared" si="3"/>
        <v>4.625</v>
      </c>
      <c r="BT7">
        <f t="shared" si="0"/>
        <v>38.75</v>
      </c>
      <c r="BU7">
        <f t="shared" si="0"/>
        <v>44.285714285714285</v>
      </c>
      <c r="BV7">
        <f t="shared" si="0"/>
        <v>51</v>
      </c>
      <c r="BW7">
        <f t="shared" si="0"/>
        <v>50.666666666666664</v>
      </c>
      <c r="BX7">
        <f>AVERAGE(P7:Y7)</f>
        <v>49.833333333333336</v>
      </c>
      <c r="BY7">
        <f t="shared" si="0"/>
        <v>49.833333333333336</v>
      </c>
      <c r="BZ7">
        <f t="shared" si="0"/>
        <v>50.666666666666664</v>
      </c>
      <c r="CA7">
        <f t="shared" si="0"/>
        <v>51.166666666666664</v>
      </c>
      <c r="CB7">
        <f t="shared" si="0"/>
        <v>43.857142857142854</v>
      </c>
      <c r="CC7">
        <f t="shared" si="0"/>
        <v>38.375</v>
      </c>
      <c r="CD7">
        <f t="shared" si="0"/>
        <v>1.25</v>
      </c>
      <c r="CE7">
        <f>AVERAGE(W7:AF7)</f>
        <v>1.3333333333333333</v>
      </c>
      <c r="CF7">
        <f t="shared" si="4"/>
        <v>1.3333333333333333</v>
      </c>
      <c r="CG7">
        <f t="shared" si="5"/>
        <v>1.5</v>
      </c>
      <c r="CH7">
        <f t="shared" si="6"/>
        <v>1.7142857142857142</v>
      </c>
      <c r="CI7">
        <f t="shared" si="7"/>
        <v>2</v>
      </c>
      <c r="CJ7">
        <f t="shared" si="8"/>
        <v>1.2</v>
      </c>
      <c r="CK7">
        <f t="shared" si="9"/>
        <v>0.75</v>
      </c>
      <c r="CL7">
        <f t="shared" si="10"/>
        <v>1</v>
      </c>
      <c r="CM7">
        <f t="shared" si="11"/>
        <v>1.5</v>
      </c>
      <c r="CN7">
        <f t="shared" si="12"/>
        <v>2</v>
      </c>
      <c r="CO7" t="e">
        <f t="shared" si="13"/>
        <v>#DIV/0!</v>
      </c>
      <c r="CP7" t="e">
        <f t="shared" si="14"/>
        <v>#DIV/0!</v>
      </c>
      <c r="CQ7" t="e">
        <f t="shared" si="15"/>
        <v>#DIV/0!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5</v>
      </c>
      <c r="C8" s="14">
        <v>5</v>
      </c>
      <c r="D8" s="14">
        <v>5</v>
      </c>
      <c r="E8" s="14">
        <v>9</v>
      </c>
      <c r="F8" s="14">
        <v>5</v>
      </c>
      <c r="G8" s="14">
        <v>2</v>
      </c>
      <c r="H8" s="14">
        <v>3</v>
      </c>
      <c r="I8" s="14">
        <v>3</v>
      </c>
      <c r="J8" s="14">
        <v>43</v>
      </c>
      <c r="K8" s="14">
        <v>43</v>
      </c>
      <c r="L8" s="14">
        <v>1</v>
      </c>
      <c r="M8" s="14">
        <v>0</v>
      </c>
      <c r="N8" s="14">
        <v>2</v>
      </c>
      <c r="O8" s="14">
        <v>0</v>
      </c>
      <c r="P8" s="14">
        <v>0</v>
      </c>
      <c r="Q8" s="14">
        <v>7</v>
      </c>
      <c r="R8" s="14">
        <v>0</v>
      </c>
      <c r="S8" s="14"/>
      <c r="T8" s="14"/>
      <c r="U8" s="15">
        <v>731</v>
      </c>
      <c r="V8" s="15"/>
      <c r="W8" s="15"/>
      <c r="X8" s="15">
        <v>0</v>
      </c>
      <c r="Y8" s="15">
        <v>6</v>
      </c>
      <c r="Z8" s="15">
        <v>1</v>
      </c>
      <c r="AA8" s="15">
        <v>5</v>
      </c>
      <c r="AB8" s="15">
        <v>10</v>
      </c>
      <c r="AC8" s="15">
        <v>0</v>
      </c>
      <c r="AD8" s="111">
        <v>4</v>
      </c>
      <c r="AE8" s="124">
        <v>0</v>
      </c>
      <c r="AF8" s="124">
        <v>5</v>
      </c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12.3</v>
      </c>
      <c r="BK8">
        <f t="shared" si="0"/>
        <v>11.9</v>
      </c>
      <c r="BL8">
        <f t="shared" si="2"/>
        <v>11.4</v>
      </c>
      <c r="BM8">
        <f t="shared" si="0"/>
        <v>11.1</v>
      </c>
      <c r="BN8">
        <f t="shared" si="0"/>
        <v>10.199999999999999</v>
      </c>
      <c r="BO8">
        <f t="shared" si="0"/>
        <v>9.6999999999999993</v>
      </c>
      <c r="BP8">
        <f t="shared" si="0"/>
        <v>10.199999999999999</v>
      </c>
      <c r="BQ8">
        <f t="shared" si="0"/>
        <v>9.9</v>
      </c>
      <c r="BR8">
        <f t="shared" si="3"/>
        <v>10.666666666666666</v>
      </c>
      <c r="BS8">
        <f t="shared" si="3"/>
        <v>6.625</v>
      </c>
      <c r="BT8">
        <f>AVERAGE(L8:U8)</f>
        <v>92.625</v>
      </c>
      <c r="BU8">
        <f t="shared" si="0"/>
        <v>105.71428571428571</v>
      </c>
      <c r="BV8">
        <f t="shared" si="0"/>
        <v>123.33333333333333</v>
      </c>
      <c r="BW8">
        <f t="shared" si="0"/>
        <v>123</v>
      </c>
      <c r="BX8">
        <f t="shared" si="0"/>
        <v>124</v>
      </c>
      <c r="BY8">
        <f t="shared" si="0"/>
        <v>124.16666666666667</v>
      </c>
      <c r="BZ8">
        <f t="shared" si="0"/>
        <v>123.83333333333333</v>
      </c>
      <c r="CA8">
        <f t="shared" si="0"/>
        <v>125.5</v>
      </c>
      <c r="CB8">
        <f t="shared" si="0"/>
        <v>107.57142857142857</v>
      </c>
      <c r="CC8">
        <f t="shared" si="0"/>
        <v>94.625</v>
      </c>
      <c r="CD8">
        <f t="shared" si="0"/>
        <v>3.25</v>
      </c>
      <c r="CE8">
        <f t="shared" si="0"/>
        <v>3.4444444444444446</v>
      </c>
      <c r="CF8">
        <f t="shared" si="4"/>
        <v>3.4444444444444446</v>
      </c>
      <c r="CG8">
        <f t="shared" si="5"/>
        <v>3.875</v>
      </c>
      <c r="CH8">
        <f t="shared" si="6"/>
        <v>3.5714285714285716</v>
      </c>
      <c r="CI8">
        <f t="shared" si="7"/>
        <v>4</v>
      </c>
      <c r="CJ8">
        <f t="shared" si="8"/>
        <v>3.8</v>
      </c>
      <c r="CK8">
        <f t="shared" si="9"/>
        <v>2.25</v>
      </c>
      <c r="CL8">
        <f t="shared" si="10"/>
        <v>3</v>
      </c>
      <c r="CM8">
        <f t="shared" si="11"/>
        <v>2.5</v>
      </c>
      <c r="CN8">
        <f t="shared" si="12"/>
        <v>5</v>
      </c>
      <c r="CO8" t="e">
        <f t="shared" si="13"/>
        <v>#DIV/0!</v>
      </c>
      <c r="CP8" t="e">
        <f t="shared" si="14"/>
        <v>#DIV/0!</v>
      </c>
      <c r="CQ8" t="e">
        <f t="shared" si="15"/>
        <v>#DIV/0!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40</v>
      </c>
      <c r="C9" s="16">
        <v>40</v>
      </c>
      <c r="D9" s="16">
        <v>50</v>
      </c>
      <c r="E9" s="16">
        <v>23</v>
      </c>
      <c r="F9" s="16">
        <v>25</v>
      </c>
      <c r="G9" s="16">
        <v>36</v>
      </c>
      <c r="H9" s="16">
        <v>21</v>
      </c>
      <c r="I9" s="16">
        <v>25</v>
      </c>
      <c r="J9" s="16">
        <v>23</v>
      </c>
      <c r="K9" s="16">
        <v>18</v>
      </c>
      <c r="L9" s="16">
        <v>50</v>
      </c>
      <c r="M9" s="16">
        <v>45</v>
      </c>
      <c r="N9" s="16">
        <v>51</v>
      </c>
      <c r="O9" s="16">
        <v>50</v>
      </c>
      <c r="P9" s="16">
        <v>60</v>
      </c>
      <c r="Q9" s="16">
        <v>2</v>
      </c>
      <c r="R9" s="16">
        <v>30</v>
      </c>
      <c r="S9" s="16"/>
      <c r="T9" s="16"/>
      <c r="U9" s="17">
        <v>763</v>
      </c>
      <c r="V9" s="17"/>
      <c r="W9" s="17"/>
      <c r="X9" s="17">
        <v>15</v>
      </c>
      <c r="Y9" s="17">
        <v>35</v>
      </c>
      <c r="Z9" s="17">
        <v>22</v>
      </c>
      <c r="AA9" s="17">
        <v>5</v>
      </c>
      <c r="AB9" s="17">
        <v>8</v>
      </c>
      <c r="AC9" s="17">
        <v>30</v>
      </c>
      <c r="AD9" s="112">
        <v>3</v>
      </c>
      <c r="AE9" s="10">
        <v>3</v>
      </c>
      <c r="AF9" s="10">
        <v>23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30.1</v>
      </c>
      <c r="BK9">
        <f t="shared" si="0"/>
        <v>31.1</v>
      </c>
      <c r="BL9">
        <f t="shared" si="2"/>
        <v>31.6</v>
      </c>
      <c r="BM9">
        <f t="shared" si="0"/>
        <v>31.7</v>
      </c>
      <c r="BN9">
        <f t="shared" si="0"/>
        <v>34.4</v>
      </c>
      <c r="BO9">
        <f t="shared" si="0"/>
        <v>37.9</v>
      </c>
      <c r="BP9">
        <f t="shared" si="0"/>
        <v>34.5</v>
      </c>
      <c r="BQ9">
        <f t="shared" si="0"/>
        <v>35.4</v>
      </c>
      <c r="BR9">
        <f t="shared" si="3"/>
        <v>36.555555555555557</v>
      </c>
      <c r="BS9">
        <f t="shared" si="3"/>
        <v>38.25</v>
      </c>
      <c r="BT9">
        <f t="shared" si="0"/>
        <v>131.375</v>
      </c>
      <c r="BU9">
        <f t="shared" si="0"/>
        <v>143</v>
      </c>
      <c r="BV9">
        <f t="shared" si="0"/>
        <v>159.33333333333334</v>
      </c>
      <c r="BW9">
        <f t="shared" si="0"/>
        <v>153.33333333333334</v>
      </c>
      <c r="BX9">
        <f t="shared" si="0"/>
        <v>150.83333333333334</v>
      </c>
      <c r="BY9">
        <f t="shared" si="0"/>
        <v>144.5</v>
      </c>
      <c r="BZ9">
        <f t="shared" si="0"/>
        <v>145</v>
      </c>
      <c r="CA9">
        <f t="shared" si="0"/>
        <v>141.33333333333334</v>
      </c>
      <c r="CB9">
        <f t="shared" si="0"/>
        <v>125.42857142857143</v>
      </c>
      <c r="CC9">
        <f t="shared" si="0"/>
        <v>110.125</v>
      </c>
      <c r="CD9">
        <f t="shared" si="0"/>
        <v>15.125</v>
      </c>
      <c r="CE9">
        <f t="shared" si="0"/>
        <v>16</v>
      </c>
      <c r="CF9">
        <f t="shared" si="4"/>
        <v>16</v>
      </c>
      <c r="CG9">
        <f t="shared" si="5"/>
        <v>16.125</v>
      </c>
      <c r="CH9">
        <f t="shared" si="6"/>
        <v>13.428571428571429</v>
      </c>
      <c r="CI9">
        <f t="shared" si="7"/>
        <v>12</v>
      </c>
      <c r="CJ9">
        <f t="shared" si="8"/>
        <v>13.4</v>
      </c>
      <c r="CK9">
        <f t="shared" si="9"/>
        <v>14.75</v>
      </c>
      <c r="CL9">
        <f t="shared" si="10"/>
        <v>9.6666666666666661</v>
      </c>
      <c r="CM9">
        <f t="shared" si="11"/>
        <v>13</v>
      </c>
      <c r="CN9">
        <f t="shared" si="12"/>
        <v>23</v>
      </c>
      <c r="CO9" t="e">
        <f t="shared" si="13"/>
        <v>#DIV/0!</v>
      </c>
      <c r="CP9" t="e">
        <f t="shared" si="14"/>
        <v>#DIV/0!</v>
      </c>
      <c r="CQ9" t="e">
        <f t="shared" si="15"/>
        <v>#DIV/0!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30</v>
      </c>
      <c r="C10" s="14">
        <v>30</v>
      </c>
      <c r="D10" s="14">
        <v>30</v>
      </c>
      <c r="E10" s="14">
        <v>35</v>
      </c>
      <c r="F10" s="14">
        <v>30</v>
      </c>
      <c r="G10" s="14">
        <v>36</v>
      </c>
      <c r="H10" s="14">
        <v>21</v>
      </c>
      <c r="I10" s="14">
        <v>25</v>
      </c>
      <c r="J10" s="14">
        <v>14</v>
      </c>
      <c r="K10" s="14">
        <v>13</v>
      </c>
      <c r="L10" s="14">
        <v>38</v>
      </c>
      <c r="M10" s="14">
        <v>53</v>
      </c>
      <c r="N10" s="14">
        <v>75</v>
      </c>
      <c r="O10" s="14">
        <v>57</v>
      </c>
      <c r="P10" s="14">
        <v>32</v>
      </c>
      <c r="Q10" s="14">
        <v>5</v>
      </c>
      <c r="R10" s="14">
        <v>28</v>
      </c>
      <c r="S10" s="14"/>
      <c r="T10" s="14"/>
      <c r="U10" s="15">
        <v>915</v>
      </c>
      <c r="V10" s="15"/>
      <c r="W10" s="15"/>
      <c r="X10" s="15">
        <v>27</v>
      </c>
      <c r="Y10" s="15">
        <v>38</v>
      </c>
      <c r="Z10" s="15">
        <v>20</v>
      </c>
      <c r="AA10" s="15">
        <v>42</v>
      </c>
      <c r="AB10" s="15">
        <v>40</v>
      </c>
      <c r="AC10" s="15">
        <v>45</v>
      </c>
      <c r="AD10" s="111">
        <v>12</v>
      </c>
      <c r="AE10" s="124">
        <v>15</v>
      </c>
      <c r="AF10" s="124">
        <v>17</v>
      </c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26.4</v>
      </c>
      <c r="BK10">
        <f t="shared" si="0"/>
        <v>27.2</v>
      </c>
      <c r="BL10">
        <f t="shared" si="2"/>
        <v>29.5</v>
      </c>
      <c r="BM10">
        <f t="shared" si="0"/>
        <v>34</v>
      </c>
      <c r="BN10">
        <f t="shared" si="0"/>
        <v>36.200000000000003</v>
      </c>
      <c r="BO10">
        <f t="shared" si="0"/>
        <v>36.4</v>
      </c>
      <c r="BP10">
        <f t="shared" si="0"/>
        <v>33.299999999999997</v>
      </c>
      <c r="BQ10">
        <f t="shared" si="0"/>
        <v>34</v>
      </c>
      <c r="BR10">
        <f t="shared" si="3"/>
        <v>35</v>
      </c>
      <c r="BS10">
        <f t="shared" si="3"/>
        <v>37.625</v>
      </c>
      <c r="BT10">
        <f t="shared" si="0"/>
        <v>150.375</v>
      </c>
      <c r="BU10">
        <f t="shared" si="0"/>
        <v>166.42857142857142</v>
      </c>
      <c r="BV10">
        <f t="shared" si="0"/>
        <v>185.33333333333334</v>
      </c>
      <c r="BW10">
        <f t="shared" si="0"/>
        <v>177.33333333333334</v>
      </c>
      <c r="BX10">
        <f t="shared" si="0"/>
        <v>174.16666666666666</v>
      </c>
      <c r="BY10">
        <f t="shared" si="0"/>
        <v>172.16666666666666</v>
      </c>
      <c r="BZ10">
        <f t="shared" si="0"/>
        <v>178.33333333333334</v>
      </c>
      <c r="CA10">
        <f t="shared" si="0"/>
        <v>180.33333333333334</v>
      </c>
      <c r="CB10">
        <f t="shared" si="0"/>
        <v>161</v>
      </c>
      <c r="CC10">
        <f t="shared" si="0"/>
        <v>142.375</v>
      </c>
      <c r="CD10">
        <f t="shared" si="0"/>
        <v>29.875</v>
      </c>
      <c r="CE10">
        <f t="shared" si="0"/>
        <v>28.444444444444443</v>
      </c>
      <c r="CF10">
        <f t="shared" si="4"/>
        <v>28.444444444444443</v>
      </c>
      <c r="CG10">
        <f t="shared" si="5"/>
        <v>28.625</v>
      </c>
      <c r="CH10">
        <f t="shared" si="6"/>
        <v>27.285714285714285</v>
      </c>
      <c r="CI10">
        <f t="shared" si="7"/>
        <v>28.5</v>
      </c>
      <c r="CJ10">
        <f t="shared" si="8"/>
        <v>25.8</v>
      </c>
      <c r="CK10">
        <f t="shared" si="9"/>
        <v>22.25</v>
      </c>
      <c r="CL10">
        <f t="shared" si="10"/>
        <v>14.666666666666666</v>
      </c>
      <c r="CM10">
        <f t="shared" si="11"/>
        <v>16</v>
      </c>
      <c r="CN10">
        <f t="shared" si="12"/>
        <v>17</v>
      </c>
      <c r="CO10" t="e">
        <f t="shared" si="13"/>
        <v>#DIV/0!</v>
      </c>
      <c r="CP10" t="e">
        <f t="shared" si="14"/>
        <v>#DIV/0!</v>
      </c>
      <c r="CQ10" t="e">
        <f t="shared" si="15"/>
        <v>#DIV/0!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40</v>
      </c>
      <c r="C11" s="16">
        <v>40</v>
      </c>
      <c r="D11" s="16">
        <v>50</v>
      </c>
      <c r="E11" s="16">
        <v>57</v>
      </c>
      <c r="F11" s="16">
        <v>40</v>
      </c>
      <c r="G11" s="16">
        <v>50</v>
      </c>
      <c r="H11" s="16">
        <v>66</v>
      </c>
      <c r="I11" s="16">
        <v>55</v>
      </c>
      <c r="J11" s="16">
        <v>38</v>
      </c>
      <c r="K11" s="16">
        <v>45</v>
      </c>
      <c r="L11" s="16">
        <v>155</v>
      </c>
      <c r="M11" s="16">
        <v>123</v>
      </c>
      <c r="N11" s="16">
        <v>128</v>
      </c>
      <c r="O11" s="16">
        <v>95</v>
      </c>
      <c r="P11" s="16">
        <v>55</v>
      </c>
      <c r="Q11" s="16">
        <v>44</v>
      </c>
      <c r="R11" s="16">
        <v>50</v>
      </c>
      <c r="S11" s="16"/>
      <c r="T11" s="16"/>
      <c r="U11" s="17">
        <v>833</v>
      </c>
      <c r="V11" s="17"/>
      <c r="W11" s="17">
        <v>36</v>
      </c>
      <c r="X11" s="17">
        <v>45</v>
      </c>
      <c r="Y11" s="17">
        <v>18</v>
      </c>
      <c r="Z11" s="17">
        <v>63</v>
      </c>
      <c r="AA11" s="17">
        <v>35</v>
      </c>
      <c r="AB11" s="17">
        <v>44</v>
      </c>
      <c r="AC11" s="17">
        <v>45</v>
      </c>
      <c r="AD11" s="112">
        <v>67</v>
      </c>
      <c r="AE11" s="10">
        <v>35</v>
      </c>
      <c r="AF11" s="10">
        <v>28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48.1</v>
      </c>
      <c r="BK11">
        <f t="shared" si="0"/>
        <v>59.6</v>
      </c>
      <c r="BL11">
        <f t="shared" si="2"/>
        <v>67.900000000000006</v>
      </c>
      <c r="BM11">
        <f t="shared" si="0"/>
        <v>75.7</v>
      </c>
      <c r="BN11">
        <f t="shared" si="0"/>
        <v>79.5</v>
      </c>
      <c r="BO11">
        <f t="shared" si="0"/>
        <v>81</v>
      </c>
      <c r="BP11">
        <f t="shared" si="0"/>
        <v>80.400000000000006</v>
      </c>
      <c r="BQ11">
        <f t="shared" si="0"/>
        <v>78.8</v>
      </c>
      <c r="BR11">
        <f t="shared" si="3"/>
        <v>81.444444444444443</v>
      </c>
      <c r="BS11">
        <f t="shared" si="3"/>
        <v>86.875</v>
      </c>
      <c r="BT11">
        <f t="shared" si="0"/>
        <v>185.375</v>
      </c>
      <c r="BU11">
        <f t="shared" si="0"/>
        <v>189.71428571428572</v>
      </c>
      <c r="BV11">
        <f t="shared" si="0"/>
        <v>177.28571428571428</v>
      </c>
      <c r="BW11">
        <f t="shared" si="0"/>
        <v>165.42857142857142</v>
      </c>
      <c r="BX11">
        <f t="shared" si="0"/>
        <v>154.42857142857142</v>
      </c>
      <c r="BY11">
        <f t="shared" si="0"/>
        <v>155.57142857142858</v>
      </c>
      <c r="BZ11">
        <f t="shared" si="0"/>
        <v>154.28571428571428</v>
      </c>
      <c r="CA11">
        <f t="shared" si="0"/>
        <v>153.42857142857142</v>
      </c>
      <c r="CB11">
        <f t="shared" si="0"/>
        <v>139.875</v>
      </c>
      <c r="CC11">
        <f t="shared" si="0"/>
        <v>131.77777777777777</v>
      </c>
      <c r="CD11">
        <f t="shared" si="0"/>
        <v>43.111111111111114</v>
      </c>
      <c r="CE11">
        <f t="shared" si="0"/>
        <v>41.6</v>
      </c>
      <c r="CF11">
        <f t="shared" si="4"/>
        <v>42.222222222222221</v>
      </c>
      <c r="CG11">
        <f t="shared" si="5"/>
        <v>41.875</v>
      </c>
      <c r="CH11">
        <f t="shared" si="6"/>
        <v>45.285714285714285</v>
      </c>
      <c r="CI11">
        <f t="shared" si="7"/>
        <v>42.333333333333336</v>
      </c>
      <c r="CJ11">
        <f t="shared" si="8"/>
        <v>43.8</v>
      </c>
      <c r="CK11">
        <f t="shared" si="9"/>
        <v>43.75</v>
      </c>
      <c r="CL11">
        <f t="shared" si="10"/>
        <v>43.333333333333336</v>
      </c>
      <c r="CM11">
        <f t="shared" si="11"/>
        <v>31.5</v>
      </c>
      <c r="CN11">
        <f t="shared" si="12"/>
        <v>28</v>
      </c>
      <c r="CO11" t="e">
        <f t="shared" si="13"/>
        <v>#DIV/0!</v>
      </c>
      <c r="CP11" t="e">
        <f t="shared" si="14"/>
        <v>#DIV/0!</v>
      </c>
      <c r="CQ11" t="e">
        <f t="shared" si="15"/>
        <v>#DIV/0!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40</v>
      </c>
      <c r="C12" s="14">
        <v>40</v>
      </c>
      <c r="D12" s="14">
        <v>75</v>
      </c>
      <c r="E12" s="14">
        <v>68</v>
      </c>
      <c r="F12" s="14">
        <v>50</v>
      </c>
      <c r="G12" s="14">
        <v>59</v>
      </c>
      <c r="H12" s="14">
        <v>170</v>
      </c>
      <c r="I12" s="14">
        <v>60</v>
      </c>
      <c r="J12" s="14">
        <v>33</v>
      </c>
      <c r="K12" s="14">
        <v>130</v>
      </c>
      <c r="L12" s="14">
        <v>102</v>
      </c>
      <c r="M12" s="14">
        <v>138</v>
      </c>
      <c r="N12" s="14">
        <v>71</v>
      </c>
      <c r="O12" s="14">
        <v>48</v>
      </c>
      <c r="P12" s="14">
        <v>67</v>
      </c>
      <c r="Q12" s="14">
        <v>85</v>
      </c>
      <c r="R12" s="14">
        <v>78</v>
      </c>
      <c r="S12" s="14"/>
      <c r="T12" s="14"/>
      <c r="U12" s="15">
        <v>996</v>
      </c>
      <c r="V12" s="15"/>
      <c r="W12" s="15">
        <v>50</v>
      </c>
      <c r="X12" s="15">
        <v>69</v>
      </c>
      <c r="Y12" s="15">
        <v>55</v>
      </c>
      <c r="Z12" s="15">
        <v>79</v>
      </c>
      <c r="AA12" s="15">
        <v>27</v>
      </c>
      <c r="AB12" s="15">
        <v>58</v>
      </c>
      <c r="AC12" s="15">
        <v>42</v>
      </c>
      <c r="AD12" s="111">
        <v>25</v>
      </c>
      <c r="AE12" s="124">
        <v>47</v>
      </c>
      <c r="AF12" s="124">
        <v>6</v>
      </c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72.5</v>
      </c>
      <c r="BK12">
        <f t="shared" si="0"/>
        <v>78.7</v>
      </c>
      <c r="BL12">
        <f t="shared" si="2"/>
        <v>88.5</v>
      </c>
      <c r="BM12">
        <f t="shared" si="0"/>
        <v>88.1</v>
      </c>
      <c r="BN12">
        <f t="shared" si="0"/>
        <v>86.1</v>
      </c>
      <c r="BO12">
        <f t="shared" si="0"/>
        <v>87.8</v>
      </c>
      <c r="BP12">
        <f t="shared" si="0"/>
        <v>90.4</v>
      </c>
      <c r="BQ12">
        <f t="shared" si="0"/>
        <v>81.2</v>
      </c>
      <c r="BR12">
        <f t="shared" si="3"/>
        <v>83.555555555555557</v>
      </c>
      <c r="BS12">
        <f t="shared" si="3"/>
        <v>89.875</v>
      </c>
      <c r="BT12">
        <f t="shared" si="0"/>
        <v>198.125</v>
      </c>
      <c r="BU12">
        <f t="shared" si="0"/>
        <v>211.85714285714286</v>
      </c>
      <c r="BV12">
        <f t="shared" si="0"/>
        <v>199.28571428571428</v>
      </c>
      <c r="BW12">
        <f t="shared" si="0"/>
        <v>199</v>
      </c>
      <c r="BX12">
        <f t="shared" si="0"/>
        <v>200</v>
      </c>
      <c r="BY12">
        <f t="shared" si="0"/>
        <v>201.71428571428572</v>
      </c>
      <c r="BZ12">
        <f t="shared" si="0"/>
        <v>193.42857142857142</v>
      </c>
      <c r="CA12">
        <f t="shared" si="0"/>
        <v>190.57142857142858</v>
      </c>
      <c r="CB12">
        <f t="shared" si="0"/>
        <v>172</v>
      </c>
      <c r="CC12">
        <f t="shared" si="0"/>
        <v>155.66666666666666</v>
      </c>
      <c r="CD12">
        <f t="shared" si="0"/>
        <v>50.222222222222221</v>
      </c>
      <c r="CE12">
        <f t="shared" si="0"/>
        <v>45.8</v>
      </c>
      <c r="CF12">
        <f t="shared" si="4"/>
        <v>45.333333333333336</v>
      </c>
      <c r="CG12">
        <f t="shared" si="5"/>
        <v>42.375</v>
      </c>
      <c r="CH12">
        <f t="shared" si="6"/>
        <v>40.571428571428569</v>
      </c>
      <c r="CI12">
        <f t="shared" si="7"/>
        <v>34.166666666666664</v>
      </c>
      <c r="CJ12">
        <f t="shared" si="8"/>
        <v>35.6</v>
      </c>
      <c r="CK12">
        <f t="shared" si="9"/>
        <v>30</v>
      </c>
      <c r="CL12">
        <f t="shared" si="10"/>
        <v>26</v>
      </c>
      <c r="CM12">
        <f t="shared" si="11"/>
        <v>26.5</v>
      </c>
      <c r="CN12">
        <f t="shared" si="12"/>
        <v>6</v>
      </c>
      <c r="CO12" t="e">
        <f t="shared" si="13"/>
        <v>#DIV/0!</v>
      </c>
      <c r="CP12" t="e">
        <f t="shared" si="14"/>
        <v>#DIV/0!</v>
      </c>
      <c r="CQ12" t="e">
        <f t="shared" si="15"/>
        <v>#DIV/0!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25</v>
      </c>
      <c r="C13" s="16">
        <v>25</v>
      </c>
      <c r="D13" s="16">
        <v>25</v>
      </c>
      <c r="E13" s="16">
        <v>0</v>
      </c>
      <c r="F13" s="16">
        <v>25</v>
      </c>
      <c r="G13" s="16">
        <v>19</v>
      </c>
      <c r="H13" s="16">
        <v>39</v>
      </c>
      <c r="I13" s="16">
        <v>79</v>
      </c>
      <c r="J13" s="16">
        <v>116</v>
      </c>
      <c r="K13" s="16">
        <v>94</v>
      </c>
      <c r="L13" s="16">
        <v>64</v>
      </c>
      <c r="M13" s="16">
        <v>47</v>
      </c>
      <c r="N13" s="16">
        <v>59</v>
      </c>
      <c r="O13" s="16">
        <v>74</v>
      </c>
      <c r="P13" s="16">
        <v>43</v>
      </c>
      <c r="Q13" s="16">
        <v>36</v>
      </c>
      <c r="R13" s="16">
        <v>39</v>
      </c>
      <c r="S13" s="16"/>
      <c r="T13" s="16"/>
      <c r="U13" s="17">
        <v>1083</v>
      </c>
      <c r="V13" s="17"/>
      <c r="W13" s="17">
        <v>54</v>
      </c>
      <c r="X13" s="17">
        <v>35</v>
      </c>
      <c r="Y13" s="17">
        <v>23</v>
      </c>
      <c r="Z13" s="17">
        <v>58</v>
      </c>
      <c r="AA13" s="17">
        <v>53</v>
      </c>
      <c r="AB13" s="17">
        <v>43</v>
      </c>
      <c r="AC13" s="17">
        <v>46</v>
      </c>
      <c r="AD13" s="112">
        <v>38</v>
      </c>
      <c r="AE13" s="10">
        <v>75</v>
      </c>
      <c r="AF13" s="10">
        <v>31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44.7</v>
      </c>
      <c r="BK13">
        <f t="shared" si="0"/>
        <v>48.6</v>
      </c>
      <c r="BL13">
        <f t="shared" si="2"/>
        <v>50.8</v>
      </c>
      <c r="BM13">
        <f t="shared" si="0"/>
        <v>54.2</v>
      </c>
      <c r="BN13">
        <f t="shared" si="0"/>
        <v>61.6</v>
      </c>
      <c r="BO13">
        <f t="shared" si="0"/>
        <v>63.4</v>
      </c>
      <c r="BP13">
        <f t="shared" si="0"/>
        <v>65.099999999999994</v>
      </c>
      <c r="BQ13">
        <f t="shared" si="0"/>
        <v>65.099999999999994</v>
      </c>
      <c r="BR13">
        <f t="shared" si="3"/>
        <v>63.555555555555557</v>
      </c>
      <c r="BS13">
        <f t="shared" si="3"/>
        <v>57</v>
      </c>
      <c r="BT13">
        <f t="shared" si="0"/>
        <v>180.625</v>
      </c>
      <c r="BU13">
        <f t="shared" si="0"/>
        <v>197.28571428571428</v>
      </c>
      <c r="BV13">
        <f t="shared" si="0"/>
        <v>198.28571428571428</v>
      </c>
      <c r="BW13">
        <f t="shared" si="0"/>
        <v>194.85714285714286</v>
      </c>
      <c r="BX13">
        <f t="shared" si="0"/>
        <v>187.57142857142858</v>
      </c>
      <c r="BY13">
        <f t="shared" si="0"/>
        <v>189.71428571428572</v>
      </c>
      <c r="BZ13">
        <f t="shared" si="0"/>
        <v>192.14285714285714</v>
      </c>
      <c r="CA13">
        <f t="shared" si="0"/>
        <v>192.71428571428572</v>
      </c>
      <c r="CB13">
        <f t="shared" si="0"/>
        <v>174.375</v>
      </c>
      <c r="CC13">
        <f t="shared" si="0"/>
        <v>159.22222222222223</v>
      </c>
      <c r="CD13">
        <f t="shared" si="0"/>
        <v>47.222222222222221</v>
      </c>
      <c r="CE13">
        <f t="shared" si="0"/>
        <v>45.6</v>
      </c>
      <c r="CF13">
        <f t="shared" si="4"/>
        <v>44.666666666666664</v>
      </c>
      <c r="CG13">
        <f t="shared" si="5"/>
        <v>45.875</v>
      </c>
      <c r="CH13">
        <f t="shared" si="6"/>
        <v>49.142857142857146</v>
      </c>
      <c r="CI13">
        <f t="shared" si="7"/>
        <v>47.666666666666664</v>
      </c>
      <c r="CJ13">
        <f t="shared" si="8"/>
        <v>46.6</v>
      </c>
      <c r="CK13">
        <f t="shared" si="9"/>
        <v>47.5</v>
      </c>
      <c r="CL13">
        <f t="shared" si="10"/>
        <v>48</v>
      </c>
      <c r="CM13">
        <f t="shared" si="11"/>
        <v>53</v>
      </c>
      <c r="CN13">
        <f t="shared" si="12"/>
        <v>31</v>
      </c>
      <c r="CO13" t="e">
        <f t="shared" si="13"/>
        <v>#DIV/0!</v>
      </c>
      <c r="CP13" t="e">
        <f t="shared" si="14"/>
        <v>#DIV/0!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25</v>
      </c>
      <c r="C14" s="14">
        <v>25</v>
      </c>
      <c r="D14" s="14">
        <v>30</v>
      </c>
      <c r="E14" s="14">
        <v>0</v>
      </c>
      <c r="F14" s="14">
        <v>15</v>
      </c>
      <c r="G14" s="14">
        <v>33</v>
      </c>
      <c r="H14" s="14">
        <v>47</v>
      </c>
      <c r="I14" s="14">
        <v>68</v>
      </c>
      <c r="J14" s="14">
        <v>35</v>
      </c>
      <c r="K14" s="14">
        <v>38</v>
      </c>
      <c r="L14" s="14">
        <v>29</v>
      </c>
      <c r="M14" s="14">
        <v>23</v>
      </c>
      <c r="N14" s="14">
        <v>30</v>
      </c>
      <c r="O14" s="14">
        <v>26</v>
      </c>
      <c r="P14" s="14">
        <v>5</v>
      </c>
      <c r="Q14" s="14">
        <v>42</v>
      </c>
      <c r="R14" s="14">
        <v>26</v>
      </c>
      <c r="S14" s="14"/>
      <c r="T14" s="14"/>
      <c r="U14" s="15">
        <v>1357</v>
      </c>
      <c r="V14" s="15"/>
      <c r="W14" s="15">
        <v>16</v>
      </c>
      <c r="X14" s="15">
        <v>42</v>
      </c>
      <c r="Y14" s="15">
        <v>8</v>
      </c>
      <c r="Z14" s="15">
        <v>23</v>
      </c>
      <c r="AA14" s="15">
        <v>16</v>
      </c>
      <c r="AB14" s="15">
        <v>7</v>
      </c>
      <c r="AC14" s="15">
        <v>15</v>
      </c>
      <c r="AD14" s="111">
        <v>17</v>
      </c>
      <c r="AE14" s="124">
        <v>34</v>
      </c>
      <c r="AF14" s="124">
        <v>27</v>
      </c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31.6</v>
      </c>
      <c r="BK14">
        <f t="shared" si="0"/>
        <v>32</v>
      </c>
      <c r="BL14">
        <f t="shared" si="2"/>
        <v>31.8</v>
      </c>
      <c r="BM14">
        <f t="shared" si="0"/>
        <v>31.8</v>
      </c>
      <c r="BN14">
        <f t="shared" si="0"/>
        <v>34.4</v>
      </c>
      <c r="BO14">
        <f t="shared" si="0"/>
        <v>33.4</v>
      </c>
      <c r="BP14">
        <f t="shared" si="0"/>
        <v>34.299999999999997</v>
      </c>
      <c r="BQ14">
        <f t="shared" si="0"/>
        <v>32.200000000000003</v>
      </c>
      <c r="BR14">
        <f t="shared" si="3"/>
        <v>28.222222222222221</v>
      </c>
      <c r="BS14">
        <f t="shared" si="3"/>
        <v>27.375</v>
      </c>
      <c r="BT14">
        <f t="shared" si="0"/>
        <v>192.25</v>
      </c>
      <c r="BU14">
        <f t="shared" si="0"/>
        <v>215.57142857142858</v>
      </c>
      <c r="BV14">
        <f t="shared" si="0"/>
        <v>214.57142857142858</v>
      </c>
      <c r="BW14">
        <f t="shared" si="0"/>
        <v>216.28571428571428</v>
      </c>
      <c r="BX14">
        <f t="shared" si="0"/>
        <v>213.71428571428572</v>
      </c>
      <c r="BY14">
        <f t="shared" si="0"/>
        <v>216.28571428571428</v>
      </c>
      <c r="BZ14">
        <f t="shared" si="0"/>
        <v>212.57142857142858</v>
      </c>
      <c r="CA14">
        <f t="shared" si="0"/>
        <v>209.85714285714286</v>
      </c>
      <c r="CB14">
        <f t="shared" si="0"/>
        <v>185.5</v>
      </c>
      <c r="CC14">
        <f t="shared" si="0"/>
        <v>166.77777777777777</v>
      </c>
      <c r="CD14">
        <f t="shared" si="0"/>
        <v>19.777777777777779</v>
      </c>
      <c r="CE14">
        <f t="shared" si="0"/>
        <v>20.5</v>
      </c>
      <c r="CF14">
        <f t="shared" si="4"/>
        <v>21</v>
      </c>
      <c r="CG14">
        <f t="shared" si="5"/>
        <v>18.375</v>
      </c>
      <c r="CH14">
        <f t="shared" si="6"/>
        <v>19.857142857142858</v>
      </c>
      <c r="CI14">
        <f t="shared" si="7"/>
        <v>19.333333333333332</v>
      </c>
      <c r="CJ14">
        <f t="shared" si="8"/>
        <v>20</v>
      </c>
      <c r="CK14">
        <f t="shared" si="9"/>
        <v>23.25</v>
      </c>
      <c r="CL14">
        <f t="shared" si="10"/>
        <v>26</v>
      </c>
      <c r="CM14">
        <f t="shared" si="11"/>
        <v>30.5</v>
      </c>
      <c r="CN14">
        <f t="shared" si="12"/>
        <v>27</v>
      </c>
      <c r="CO14" t="e">
        <f t="shared" si="13"/>
        <v>#DIV/0!</v>
      </c>
      <c r="CP14" t="e">
        <f t="shared" si="14"/>
        <v>#DIV/0!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20</v>
      </c>
      <c r="C15" s="16">
        <v>20</v>
      </c>
      <c r="D15" s="16">
        <v>38</v>
      </c>
      <c r="E15" s="16">
        <v>0</v>
      </c>
      <c r="F15" s="16">
        <v>10</v>
      </c>
      <c r="G15" s="16">
        <v>12</v>
      </c>
      <c r="H15" s="16">
        <v>10</v>
      </c>
      <c r="I15" s="16">
        <v>36</v>
      </c>
      <c r="J15" s="16">
        <v>17</v>
      </c>
      <c r="K15" s="16">
        <v>4</v>
      </c>
      <c r="L15" s="16">
        <v>4</v>
      </c>
      <c r="M15" s="16">
        <v>4</v>
      </c>
      <c r="N15" s="16">
        <v>12</v>
      </c>
      <c r="O15" s="16">
        <v>13</v>
      </c>
      <c r="P15" s="16">
        <v>10</v>
      </c>
      <c r="Q15" s="16">
        <v>17</v>
      </c>
      <c r="R15" s="16">
        <v>15</v>
      </c>
      <c r="S15" s="16"/>
      <c r="T15" s="16"/>
      <c r="U15" s="17">
        <v>491</v>
      </c>
      <c r="V15" s="17"/>
      <c r="W15" s="17">
        <v>10</v>
      </c>
      <c r="X15" s="17">
        <v>0</v>
      </c>
      <c r="Y15" s="17">
        <v>8</v>
      </c>
      <c r="Z15" s="17">
        <v>9</v>
      </c>
      <c r="AA15" s="17">
        <v>1</v>
      </c>
      <c r="AB15" s="17">
        <v>0</v>
      </c>
      <c r="AC15" s="17">
        <v>0</v>
      </c>
      <c r="AD15" s="112">
        <v>6</v>
      </c>
      <c r="AE15" s="10">
        <v>7</v>
      </c>
      <c r="AF15" s="10">
        <v>1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16.7</v>
      </c>
      <c r="BK15">
        <f t="shared" si="0"/>
        <v>15.1</v>
      </c>
      <c r="BL15">
        <f t="shared" si="2"/>
        <v>13.5</v>
      </c>
      <c r="BM15">
        <f t="shared" si="0"/>
        <v>10.9</v>
      </c>
      <c r="BN15">
        <f t="shared" si="0"/>
        <v>12.2</v>
      </c>
      <c r="BO15">
        <f t="shared" si="0"/>
        <v>12.2</v>
      </c>
      <c r="BP15">
        <f t="shared" si="0"/>
        <v>12.7</v>
      </c>
      <c r="BQ15">
        <f t="shared" si="0"/>
        <v>13.2</v>
      </c>
      <c r="BR15">
        <f t="shared" si="3"/>
        <v>10.666666666666666</v>
      </c>
      <c r="BS15">
        <f t="shared" si="3"/>
        <v>9.875</v>
      </c>
      <c r="BT15">
        <f t="shared" si="0"/>
        <v>70.75</v>
      </c>
      <c r="BU15">
        <f t="shared" si="0"/>
        <v>80.285714285714292</v>
      </c>
      <c r="BV15">
        <f t="shared" si="0"/>
        <v>81.142857142857139</v>
      </c>
      <c r="BW15">
        <f t="shared" si="0"/>
        <v>79.428571428571431</v>
      </c>
      <c r="BX15">
        <f t="shared" si="0"/>
        <v>78.714285714285708</v>
      </c>
      <c r="BY15">
        <f t="shared" si="0"/>
        <v>78.571428571428569</v>
      </c>
      <c r="BZ15">
        <f t="shared" si="0"/>
        <v>76.285714285714292</v>
      </c>
      <c r="CA15">
        <f t="shared" si="0"/>
        <v>74.142857142857139</v>
      </c>
      <c r="CB15">
        <f t="shared" si="0"/>
        <v>64.875</v>
      </c>
      <c r="CC15">
        <f t="shared" si="0"/>
        <v>58.333333333333336</v>
      </c>
      <c r="CD15">
        <f t="shared" si="0"/>
        <v>4.5555555555555554</v>
      </c>
      <c r="CE15">
        <f t="shared" si="0"/>
        <v>4.2</v>
      </c>
      <c r="CF15">
        <f t="shared" si="4"/>
        <v>3.5555555555555554</v>
      </c>
      <c r="CG15">
        <f t="shared" si="5"/>
        <v>4</v>
      </c>
      <c r="CH15">
        <f t="shared" si="6"/>
        <v>3.4285714285714284</v>
      </c>
      <c r="CI15">
        <f t="shared" si="7"/>
        <v>2.5</v>
      </c>
      <c r="CJ15">
        <f t="shared" si="8"/>
        <v>2.8</v>
      </c>
      <c r="CK15">
        <f t="shared" si="9"/>
        <v>3.5</v>
      </c>
      <c r="CL15">
        <f t="shared" si="10"/>
        <v>4.666666666666667</v>
      </c>
      <c r="CM15">
        <f t="shared" si="11"/>
        <v>4</v>
      </c>
      <c r="CN15">
        <f t="shared" si="12"/>
        <v>1</v>
      </c>
      <c r="CO15" t="e">
        <f t="shared" si="13"/>
        <v>#DIV/0!</v>
      </c>
      <c r="CP15" t="e">
        <f t="shared" si="14"/>
        <v>#DIV/0!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2</v>
      </c>
      <c r="C16" s="14">
        <v>2</v>
      </c>
      <c r="D16" s="14">
        <v>2</v>
      </c>
      <c r="E16" s="14">
        <v>0</v>
      </c>
      <c r="F16" s="14">
        <v>0</v>
      </c>
      <c r="G16" s="14">
        <v>6</v>
      </c>
      <c r="H16" s="14">
        <v>2</v>
      </c>
      <c r="I16" s="14">
        <v>3</v>
      </c>
      <c r="J16" s="14">
        <v>7</v>
      </c>
      <c r="K16" s="14">
        <v>3</v>
      </c>
      <c r="L16" s="14">
        <v>7</v>
      </c>
      <c r="M16" s="14">
        <v>10</v>
      </c>
      <c r="N16" s="14">
        <v>0</v>
      </c>
      <c r="O16" s="14">
        <v>6</v>
      </c>
      <c r="P16" s="14">
        <v>0</v>
      </c>
      <c r="Q16" s="14">
        <v>12</v>
      </c>
      <c r="R16" s="14">
        <v>0</v>
      </c>
      <c r="S16" s="14"/>
      <c r="T16" s="14"/>
      <c r="U16" s="15">
        <v>185</v>
      </c>
      <c r="V16" s="15"/>
      <c r="W16" s="15">
        <v>4</v>
      </c>
      <c r="X16" s="15">
        <v>0</v>
      </c>
      <c r="Y16" s="15">
        <v>6</v>
      </c>
      <c r="Z16" s="15">
        <v>0</v>
      </c>
      <c r="AA16" s="15">
        <v>1</v>
      </c>
      <c r="AB16" s="15">
        <v>6</v>
      </c>
      <c r="AC16" s="15">
        <v>9</v>
      </c>
      <c r="AD16" s="111"/>
      <c r="AE16" s="124">
        <v>0</v>
      </c>
      <c r="AF16" s="124">
        <v>2</v>
      </c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2.7</v>
      </c>
      <c r="BK16">
        <f t="shared" si="0"/>
        <v>3.2</v>
      </c>
      <c r="BL16">
        <f t="shared" si="2"/>
        <v>4</v>
      </c>
      <c r="BM16">
        <f t="shared" si="0"/>
        <v>3.8</v>
      </c>
      <c r="BN16">
        <f t="shared" si="0"/>
        <v>4.4000000000000004</v>
      </c>
      <c r="BO16">
        <f t="shared" si="0"/>
        <v>4.4000000000000004</v>
      </c>
      <c r="BP16">
        <f t="shared" si="0"/>
        <v>5</v>
      </c>
      <c r="BQ16">
        <f t="shared" si="0"/>
        <v>4.8</v>
      </c>
      <c r="BR16">
        <f t="shared" si="3"/>
        <v>5</v>
      </c>
      <c r="BS16">
        <f t="shared" si="3"/>
        <v>4.75</v>
      </c>
      <c r="BT16">
        <f t="shared" si="0"/>
        <v>27.5</v>
      </c>
      <c r="BU16">
        <f t="shared" si="0"/>
        <v>30.428571428571427</v>
      </c>
      <c r="BV16">
        <f t="shared" si="0"/>
        <v>29.571428571428573</v>
      </c>
      <c r="BW16">
        <f t="shared" si="0"/>
        <v>29.571428571428573</v>
      </c>
      <c r="BX16">
        <f t="shared" si="0"/>
        <v>29.571428571428573</v>
      </c>
      <c r="BY16">
        <f t="shared" si="0"/>
        <v>29.571428571428573</v>
      </c>
      <c r="BZ16">
        <f t="shared" si="0"/>
        <v>28</v>
      </c>
      <c r="CA16">
        <f t="shared" si="0"/>
        <v>28.857142857142858</v>
      </c>
      <c r="CB16">
        <f t="shared" si="0"/>
        <v>26.375</v>
      </c>
      <c r="CC16">
        <f t="shared" si="0"/>
        <v>26.375</v>
      </c>
      <c r="CD16">
        <f t="shared" si="0"/>
        <v>3.25</v>
      </c>
      <c r="CE16">
        <f t="shared" si="0"/>
        <v>3.1111111111111112</v>
      </c>
      <c r="CF16">
        <f t="shared" si="4"/>
        <v>3</v>
      </c>
      <c r="CG16">
        <f t="shared" si="5"/>
        <v>3.4285714285714284</v>
      </c>
      <c r="CH16">
        <f t="shared" si="6"/>
        <v>3</v>
      </c>
      <c r="CI16">
        <f t="shared" si="7"/>
        <v>3.6</v>
      </c>
      <c r="CJ16">
        <f t="shared" si="8"/>
        <v>4.25</v>
      </c>
      <c r="CK16">
        <f t="shared" si="9"/>
        <v>3.6666666666666665</v>
      </c>
      <c r="CL16">
        <f t="shared" si="10"/>
        <v>1</v>
      </c>
      <c r="CM16">
        <f t="shared" si="11"/>
        <v>1</v>
      </c>
      <c r="CN16">
        <f t="shared" si="12"/>
        <v>2</v>
      </c>
      <c r="CO16" t="e">
        <f t="shared" si="13"/>
        <v>#DIV/0!</v>
      </c>
      <c r="CP16" t="e">
        <f t="shared" si="14"/>
        <v>#DIV/0!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227</v>
      </c>
      <c r="C18" s="22">
        <f t="shared" ref="C18:AZ18" si="29">SUM(C5:C16)</f>
        <v>227</v>
      </c>
      <c r="D18" s="22">
        <f t="shared" si="29"/>
        <v>305</v>
      </c>
      <c r="E18" s="22">
        <f t="shared" si="29"/>
        <v>214</v>
      </c>
      <c r="F18" s="22">
        <f t="shared" si="29"/>
        <v>200</v>
      </c>
      <c r="G18" s="22">
        <f t="shared" si="29"/>
        <v>256</v>
      </c>
      <c r="H18" s="22">
        <f t="shared" si="29"/>
        <v>405</v>
      </c>
      <c r="I18" s="22">
        <f t="shared" si="29"/>
        <v>356</v>
      </c>
      <c r="J18" s="22">
        <f t="shared" si="29"/>
        <v>457</v>
      </c>
      <c r="K18" s="22">
        <f t="shared" si="29"/>
        <v>463</v>
      </c>
      <c r="L18" s="22">
        <f t="shared" si="29"/>
        <v>450</v>
      </c>
      <c r="M18" s="22">
        <f t="shared" si="29"/>
        <v>449</v>
      </c>
      <c r="N18" s="22">
        <f t="shared" si="29"/>
        <v>431</v>
      </c>
      <c r="O18" s="22">
        <f t="shared" si="29"/>
        <v>377</v>
      </c>
      <c r="P18" s="22">
        <f t="shared" si="29"/>
        <v>272</v>
      </c>
      <c r="Q18" s="22">
        <f t="shared" si="29"/>
        <v>252</v>
      </c>
      <c r="R18" s="22">
        <f t="shared" si="29"/>
        <v>266</v>
      </c>
      <c r="S18" s="22">
        <f t="shared" si="29"/>
        <v>0</v>
      </c>
      <c r="T18" s="22">
        <f t="shared" si="29"/>
        <v>0</v>
      </c>
      <c r="U18" s="22">
        <f t="shared" si="29"/>
        <v>7937</v>
      </c>
      <c r="V18" s="22">
        <f t="shared" si="29"/>
        <v>0</v>
      </c>
      <c r="W18" s="22">
        <f t="shared" si="29"/>
        <v>170</v>
      </c>
      <c r="X18" s="22">
        <f t="shared" si="29"/>
        <v>233</v>
      </c>
      <c r="Y18" s="22">
        <f t="shared" si="29"/>
        <v>197</v>
      </c>
      <c r="Z18" s="22">
        <f t="shared" si="29"/>
        <v>277</v>
      </c>
      <c r="AA18" s="22">
        <f t="shared" si="29"/>
        <v>201</v>
      </c>
      <c r="AB18" s="22">
        <f t="shared" si="29"/>
        <v>223</v>
      </c>
      <c r="AC18" s="22">
        <f t="shared" si="29"/>
        <v>232</v>
      </c>
      <c r="AD18" s="22">
        <f t="shared" si="29"/>
        <v>172</v>
      </c>
      <c r="AE18" s="22">
        <f t="shared" si="29"/>
        <v>225</v>
      </c>
      <c r="AF18" s="22">
        <f t="shared" si="29"/>
        <v>145</v>
      </c>
      <c r="AG18" s="22">
        <f t="shared" si="29"/>
        <v>0</v>
      </c>
      <c r="AH18" s="22">
        <f t="shared" si="29"/>
        <v>0</v>
      </c>
      <c r="AI18" s="22">
        <f t="shared" si="29"/>
        <v>0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>AVERAGE(P18:Y18)</f>
        <v>932.7</v>
      </c>
      <c r="BY18" s="25">
        <f>AVERAGE(Q18:Z18)</f>
        <v>933.2</v>
      </c>
      <c r="BZ18" s="25">
        <f>AVERAGE(R18:AA18)</f>
        <v>928.1</v>
      </c>
      <c r="CA18" s="25">
        <f>AVERAGE(S18:AB18)</f>
        <v>923.8</v>
      </c>
      <c r="CB18" s="25">
        <f>AVERAGE(T18:AC18)</f>
        <v>947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13">
    <tabColor theme="8" tint="-0.249977111117893"/>
  </sheetPr>
  <dimension ref="A1:DE192"/>
  <sheetViews>
    <sheetView defaultGridColor="0" colorId="22" zoomScale="70" zoomScaleNormal="70" workbookViewId="0">
      <pane xSplit="1" topLeftCell="W1" activePane="topRight" state="frozen"/>
      <selection activeCell="AT39" sqref="AT39"/>
      <selection pane="topRight" activeCell="AI14" sqref="AI14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8" width="5.7109375" style="5" customWidth="1"/>
    <col min="29" max="30" width="9.42578125" style="5" customWidth="1"/>
    <col min="31" max="31" width="6.85546875" customWidth="1"/>
    <col min="32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8" width="9.42578125" style="5" customWidth="1"/>
    <col min="79" max="79" width="16.28515625" style="5" customWidth="1"/>
    <col min="80" max="81" width="17.1406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36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37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26</v>
      </c>
      <c r="C5" s="16">
        <v>24</v>
      </c>
      <c r="D5" s="16">
        <v>35</v>
      </c>
      <c r="E5" s="16">
        <v>20</v>
      </c>
      <c r="F5" s="16">
        <v>40</v>
      </c>
      <c r="G5" s="16">
        <v>13</v>
      </c>
      <c r="H5" s="16">
        <v>23</v>
      </c>
      <c r="I5" s="16">
        <v>54</v>
      </c>
      <c r="J5" s="16">
        <v>51</v>
      </c>
      <c r="K5" s="16">
        <v>34</v>
      </c>
      <c r="L5" s="16">
        <v>67</v>
      </c>
      <c r="M5" s="16">
        <v>72</v>
      </c>
      <c r="N5" s="16">
        <v>39</v>
      </c>
      <c r="O5" s="16">
        <v>55</v>
      </c>
      <c r="P5" s="16">
        <v>38</v>
      </c>
      <c r="Q5" s="16">
        <v>61</v>
      </c>
      <c r="R5" s="16">
        <v>49</v>
      </c>
      <c r="S5" s="16"/>
      <c r="T5" s="16"/>
      <c r="U5" s="17">
        <v>69</v>
      </c>
      <c r="V5" s="17"/>
      <c r="W5" s="17">
        <v>101</v>
      </c>
      <c r="X5" s="17">
        <v>46</v>
      </c>
      <c r="Y5" s="17">
        <v>82</v>
      </c>
      <c r="Z5" s="17">
        <v>179</v>
      </c>
      <c r="AA5" s="17">
        <v>168</v>
      </c>
      <c r="AB5" s="17">
        <v>0</v>
      </c>
      <c r="AC5" s="17">
        <v>72</v>
      </c>
      <c r="AD5" s="17">
        <v>149</v>
      </c>
      <c r="AE5" s="10">
        <v>228</v>
      </c>
      <c r="AF5" s="10">
        <v>388</v>
      </c>
      <c r="AG5" s="10">
        <f>49+25+41+33</f>
        <v>148</v>
      </c>
      <c r="AH5" s="10">
        <f>25+34+55+34+39+41</f>
        <v>228</v>
      </c>
      <c r="AI5" s="10">
        <f>10+38+31+39</f>
        <v>118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32</v>
      </c>
      <c r="BK5">
        <f t="shared" ref="BK5:DD16" si="0">AVERAGE(C5:L5)</f>
        <v>36.1</v>
      </c>
      <c r="BL5">
        <f>AVERAGE(D5:M5)</f>
        <v>40.9</v>
      </c>
      <c r="BM5">
        <f t="shared" si="0"/>
        <v>41.3</v>
      </c>
      <c r="BN5">
        <f t="shared" si="0"/>
        <v>44.8</v>
      </c>
      <c r="BO5">
        <f t="shared" si="0"/>
        <v>44.6</v>
      </c>
      <c r="BP5">
        <f t="shared" si="0"/>
        <v>49.4</v>
      </c>
      <c r="BQ5">
        <f t="shared" si="0"/>
        <v>52</v>
      </c>
      <c r="BR5">
        <f t="shared" si="0"/>
        <v>51.777777777777779</v>
      </c>
      <c r="BS5">
        <f t="shared" si="0"/>
        <v>51.875</v>
      </c>
      <c r="BT5">
        <f t="shared" si="0"/>
        <v>56.25</v>
      </c>
      <c r="BU5">
        <f t="shared" si="0"/>
        <v>54.714285714285715</v>
      </c>
      <c r="BV5">
        <f t="shared" si="0"/>
        <v>58.857142857142854</v>
      </c>
      <c r="BW5">
        <f t="shared" si="0"/>
        <v>59.857142857142854</v>
      </c>
      <c r="BX5">
        <f t="shared" si="0"/>
        <v>63.714285714285715</v>
      </c>
      <c r="BY5">
        <f t="shared" si="0"/>
        <v>83.857142857142861</v>
      </c>
      <c r="BZ5">
        <f t="shared" si="0"/>
        <v>99.142857142857139</v>
      </c>
      <c r="CA5">
        <f t="shared" si="0"/>
        <v>92.142857142857139</v>
      </c>
      <c r="CB5">
        <f t="shared" si="0"/>
        <v>89.625</v>
      </c>
      <c r="CC5">
        <f t="shared" si="0"/>
        <v>96.222222222222229</v>
      </c>
      <c r="CD5">
        <f t="shared" si="0"/>
        <v>113.88888888888889</v>
      </c>
      <c r="CE5">
        <f t="shared" si="0"/>
        <v>141.30000000000001</v>
      </c>
      <c r="CF5">
        <f t="shared" si="0"/>
        <v>146</v>
      </c>
      <c r="CG5">
        <f t="shared" si="0"/>
        <v>164.2</v>
      </c>
      <c r="CH5">
        <f t="shared" si="0"/>
        <v>167.8</v>
      </c>
      <c r="CI5">
        <f t="shared" si="0"/>
        <v>166.55555555555554</v>
      </c>
      <c r="CJ5">
        <f t="shared" si="0"/>
        <v>166.375</v>
      </c>
      <c r="CK5">
        <f t="shared" si="0"/>
        <v>190.14285714285714</v>
      </c>
      <c r="CL5">
        <f t="shared" si="0"/>
        <v>209.83333333333334</v>
      </c>
      <c r="CM5">
        <f t="shared" si="0"/>
        <v>222</v>
      </c>
      <c r="CN5">
        <f t="shared" si="0"/>
        <v>220.5</v>
      </c>
      <c r="CO5">
        <f t="shared" si="0"/>
        <v>164.66666666666666</v>
      </c>
      <c r="CP5">
        <f t="shared" si="0"/>
        <v>173</v>
      </c>
      <c r="CQ5">
        <f t="shared" si="0"/>
        <v>118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21</v>
      </c>
      <c r="C6" s="14">
        <v>47</v>
      </c>
      <c r="D6" s="14">
        <v>17</v>
      </c>
      <c r="E6" s="14">
        <v>12</v>
      </c>
      <c r="F6" s="14">
        <v>43</v>
      </c>
      <c r="G6" s="14">
        <v>23</v>
      </c>
      <c r="H6" s="14">
        <v>27</v>
      </c>
      <c r="I6" s="14">
        <v>40</v>
      </c>
      <c r="J6" s="14">
        <v>70</v>
      </c>
      <c r="K6" s="14">
        <v>47</v>
      </c>
      <c r="L6" s="14">
        <v>37</v>
      </c>
      <c r="M6" s="14">
        <v>45</v>
      </c>
      <c r="N6" s="14">
        <v>35</v>
      </c>
      <c r="O6" s="14">
        <v>57</v>
      </c>
      <c r="P6" s="14">
        <v>48</v>
      </c>
      <c r="Q6" s="14">
        <v>52</v>
      </c>
      <c r="R6" s="14">
        <v>79</v>
      </c>
      <c r="S6" s="14"/>
      <c r="T6" s="14"/>
      <c r="U6" s="15">
        <v>70</v>
      </c>
      <c r="V6" s="15"/>
      <c r="W6" s="15">
        <v>102</v>
      </c>
      <c r="X6" s="15">
        <v>104</v>
      </c>
      <c r="Y6" s="15">
        <v>107</v>
      </c>
      <c r="Z6" s="15">
        <v>78</v>
      </c>
      <c r="AA6" s="15">
        <v>187</v>
      </c>
      <c r="AB6" s="15">
        <v>0</v>
      </c>
      <c r="AC6" s="15">
        <v>124</v>
      </c>
      <c r="AD6" s="15">
        <v>154</v>
      </c>
      <c r="AE6" s="124">
        <v>195</v>
      </c>
      <c r="AF6" s="124">
        <v>187</v>
      </c>
      <c r="AG6" s="124">
        <f>4+44+42+47+49+12</f>
        <v>198</v>
      </c>
      <c r="AH6" s="124">
        <f>22+39+33+45+40+10</f>
        <v>189</v>
      </c>
      <c r="AI6" s="124">
        <f>22+51+37+31+20+28</f>
        <v>189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34.700000000000003</v>
      </c>
      <c r="BK6">
        <f t="shared" si="0"/>
        <v>36.299999999999997</v>
      </c>
      <c r="BL6">
        <f t="shared" ref="BL6:BL16" si="2">AVERAGE(D6:M6)</f>
        <v>36.1</v>
      </c>
      <c r="BM6">
        <f t="shared" si="0"/>
        <v>37.9</v>
      </c>
      <c r="BN6">
        <f t="shared" si="0"/>
        <v>42.4</v>
      </c>
      <c r="BO6">
        <f t="shared" si="0"/>
        <v>42.9</v>
      </c>
      <c r="BP6">
        <f t="shared" si="0"/>
        <v>45.8</v>
      </c>
      <c r="BQ6">
        <f t="shared" si="0"/>
        <v>51</v>
      </c>
      <c r="BR6">
        <f t="shared" ref="BR6:BS16" si="3">AVERAGE(J6:S6)</f>
        <v>52.222222222222221</v>
      </c>
      <c r="BS6">
        <f t="shared" si="3"/>
        <v>50</v>
      </c>
      <c r="BT6">
        <f t="shared" si="0"/>
        <v>52.875</v>
      </c>
      <c r="BU6">
        <f t="shared" si="0"/>
        <v>55.142857142857146</v>
      </c>
      <c r="BV6">
        <f t="shared" si="0"/>
        <v>63.285714285714285</v>
      </c>
      <c r="BW6">
        <f t="shared" si="0"/>
        <v>73.142857142857139</v>
      </c>
      <c r="BX6">
        <f t="shared" si="0"/>
        <v>80.285714285714292</v>
      </c>
      <c r="BY6">
        <f t="shared" si="0"/>
        <v>84.571428571428569</v>
      </c>
      <c r="BZ6">
        <f t="shared" si="0"/>
        <v>103.85714285714286</v>
      </c>
      <c r="CA6">
        <f t="shared" si="0"/>
        <v>92.571428571428569</v>
      </c>
      <c r="CB6">
        <f t="shared" si="0"/>
        <v>96.5</v>
      </c>
      <c r="CC6">
        <f t="shared" si="0"/>
        <v>102.88888888888889</v>
      </c>
      <c r="CD6">
        <f t="shared" si="0"/>
        <v>116.77777777777777</v>
      </c>
      <c r="CE6">
        <f t="shared" si="0"/>
        <v>123.8</v>
      </c>
      <c r="CF6">
        <f t="shared" ref="CF6:CF16" si="4">AVERAGE(X6:AG6)</f>
        <v>133.4</v>
      </c>
      <c r="CG6">
        <f t="shared" ref="CG6:CG16" si="5">AVERAGE(Y6:AH6)</f>
        <v>141.9</v>
      </c>
      <c r="CH6">
        <f t="shared" ref="CH6:CH16" si="6">AVERAGE(Z6:AI6)</f>
        <v>150.1</v>
      </c>
      <c r="CI6">
        <f t="shared" ref="CI6:CI16" si="7">AVERAGE(AA6:AJ6)</f>
        <v>158.11111111111111</v>
      </c>
      <c r="CJ6">
        <f t="shared" ref="CJ6:CJ16" si="8">AVERAGE(AB6:AK6)</f>
        <v>154.5</v>
      </c>
      <c r="CK6">
        <f t="shared" ref="CK6:CK16" si="9">AVERAGE(AC6:AL6)</f>
        <v>176.57142857142858</v>
      </c>
      <c r="CL6">
        <f t="shared" ref="CL6:CL16" si="10">AVERAGE(AD6:AM6)</f>
        <v>185.33333333333334</v>
      </c>
      <c r="CM6">
        <f t="shared" ref="CM6:CM16" si="11">AVERAGE(AE6:AN6)</f>
        <v>191.6</v>
      </c>
      <c r="CN6">
        <f t="shared" ref="CN6:CN16" si="12">AVERAGE(AF6:AO6)</f>
        <v>190.75</v>
      </c>
      <c r="CO6">
        <f t="shared" ref="CO6:CO16" si="13">AVERAGE(AG6:AP6)</f>
        <v>192</v>
      </c>
      <c r="CP6">
        <f t="shared" ref="CP6:CP16" si="14">AVERAGE(AH6:AQ6)</f>
        <v>189</v>
      </c>
      <c r="CQ6">
        <f t="shared" ref="CQ6:CQ16" si="15">AVERAGE(AI6:AR6)</f>
        <v>189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26</v>
      </c>
      <c r="C7" s="16">
        <v>43</v>
      </c>
      <c r="D7" s="16">
        <v>7</v>
      </c>
      <c r="E7" s="16">
        <v>3</v>
      </c>
      <c r="F7" s="16">
        <v>37</v>
      </c>
      <c r="G7" s="16">
        <v>35</v>
      </c>
      <c r="H7" s="16">
        <v>64</v>
      </c>
      <c r="I7" s="16">
        <v>43</v>
      </c>
      <c r="J7" s="16">
        <v>31</v>
      </c>
      <c r="K7" s="16">
        <v>78</v>
      </c>
      <c r="L7" s="16">
        <v>45</v>
      </c>
      <c r="M7" s="16">
        <v>50</v>
      </c>
      <c r="N7" s="16">
        <v>45</v>
      </c>
      <c r="O7" s="16">
        <v>63</v>
      </c>
      <c r="P7" s="16">
        <v>49</v>
      </c>
      <c r="Q7" s="16">
        <v>57</v>
      </c>
      <c r="R7" s="16">
        <v>38</v>
      </c>
      <c r="S7" s="16"/>
      <c r="T7" s="16"/>
      <c r="U7" s="17">
        <v>19</v>
      </c>
      <c r="V7" s="17"/>
      <c r="W7" s="17">
        <v>95</v>
      </c>
      <c r="X7" s="17">
        <v>92</v>
      </c>
      <c r="Y7" s="17">
        <v>65</v>
      </c>
      <c r="Z7" s="17">
        <v>79</v>
      </c>
      <c r="AA7" s="17">
        <v>149</v>
      </c>
      <c r="AB7" s="17">
        <v>88</v>
      </c>
      <c r="AC7" s="17">
        <v>93</v>
      </c>
      <c r="AD7" s="17">
        <v>146</v>
      </c>
      <c r="AE7" s="10">
        <v>253</v>
      </c>
      <c r="AF7" s="99">
        <v>164</v>
      </c>
      <c r="AG7" s="10">
        <f>17+38+40+43+17</f>
        <v>155</v>
      </c>
      <c r="AH7" s="10">
        <f>25+37+43+25</f>
        <v>130</v>
      </c>
      <c r="AI7" s="10">
        <f>12+39+35+3+(1+1+2+2+2+1+11+2+2+1+2+2+1+2+1+1+1+2)+(2+1+1+1+1+1+2+1+1+10+1+1+8+1+2+1+2+1+2)</f>
        <v>166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36.700000000000003</v>
      </c>
      <c r="BK7">
        <f t="shared" si="0"/>
        <v>38.6</v>
      </c>
      <c r="BL7">
        <f t="shared" si="2"/>
        <v>39.299999999999997</v>
      </c>
      <c r="BM7">
        <f t="shared" si="0"/>
        <v>43.1</v>
      </c>
      <c r="BN7">
        <f t="shared" si="0"/>
        <v>49.1</v>
      </c>
      <c r="BO7">
        <f t="shared" si="0"/>
        <v>50.3</v>
      </c>
      <c r="BP7">
        <f t="shared" si="0"/>
        <v>52.5</v>
      </c>
      <c r="BQ7">
        <f t="shared" si="0"/>
        <v>49.9</v>
      </c>
      <c r="BR7">
        <f t="shared" si="3"/>
        <v>50.666666666666664</v>
      </c>
      <c r="BS7">
        <f t="shared" si="3"/>
        <v>53.125</v>
      </c>
      <c r="BT7">
        <f t="shared" si="0"/>
        <v>45.75</v>
      </c>
      <c r="BU7">
        <f t="shared" si="0"/>
        <v>45.857142857142854</v>
      </c>
      <c r="BV7">
        <f t="shared" si="0"/>
        <v>52.285714285714285</v>
      </c>
      <c r="BW7">
        <f t="shared" si="0"/>
        <v>59</v>
      </c>
      <c r="BX7">
        <f>AVERAGE(P7:Y7)</f>
        <v>59.285714285714285</v>
      </c>
      <c r="BY7">
        <f t="shared" si="0"/>
        <v>63.571428571428569</v>
      </c>
      <c r="BZ7">
        <f t="shared" si="0"/>
        <v>76.714285714285708</v>
      </c>
      <c r="CA7">
        <f t="shared" si="0"/>
        <v>83.857142857142861</v>
      </c>
      <c r="CB7">
        <f t="shared" si="0"/>
        <v>85</v>
      </c>
      <c r="CC7">
        <f t="shared" si="0"/>
        <v>91.777777777777771</v>
      </c>
      <c r="CD7">
        <f t="shared" si="0"/>
        <v>117.77777777777777</v>
      </c>
      <c r="CE7">
        <f>AVERAGE(W7:AF7)</f>
        <v>122.4</v>
      </c>
      <c r="CF7">
        <f t="shared" si="4"/>
        <v>128.4</v>
      </c>
      <c r="CG7">
        <f t="shared" si="5"/>
        <v>132.19999999999999</v>
      </c>
      <c r="CH7">
        <f t="shared" si="6"/>
        <v>142.30000000000001</v>
      </c>
      <c r="CI7">
        <f t="shared" si="7"/>
        <v>149.33333333333334</v>
      </c>
      <c r="CJ7">
        <f t="shared" si="8"/>
        <v>149.375</v>
      </c>
      <c r="CK7">
        <f t="shared" si="9"/>
        <v>158.14285714285714</v>
      </c>
      <c r="CL7">
        <f t="shared" si="10"/>
        <v>169</v>
      </c>
      <c r="CM7">
        <f t="shared" si="11"/>
        <v>173.6</v>
      </c>
      <c r="CN7">
        <f t="shared" si="12"/>
        <v>153.75</v>
      </c>
      <c r="CO7">
        <f t="shared" si="13"/>
        <v>150.33333333333334</v>
      </c>
      <c r="CP7">
        <f t="shared" si="14"/>
        <v>148</v>
      </c>
      <c r="CQ7">
        <f t="shared" si="15"/>
        <v>166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28</v>
      </c>
      <c r="C8" s="14">
        <v>25</v>
      </c>
      <c r="D8" s="14">
        <v>28</v>
      </c>
      <c r="E8" s="14">
        <v>37</v>
      </c>
      <c r="F8" s="14">
        <v>45</v>
      </c>
      <c r="G8" s="14">
        <v>40</v>
      </c>
      <c r="H8" s="14">
        <v>53</v>
      </c>
      <c r="I8" s="14">
        <v>47</v>
      </c>
      <c r="J8" s="14">
        <v>42</v>
      </c>
      <c r="K8" s="14">
        <v>59</v>
      </c>
      <c r="L8" s="14">
        <v>20</v>
      </c>
      <c r="M8" s="14">
        <v>45</v>
      </c>
      <c r="N8" s="14">
        <v>40</v>
      </c>
      <c r="O8" s="14">
        <v>48</v>
      </c>
      <c r="P8" s="14">
        <v>29</v>
      </c>
      <c r="Q8" s="14">
        <v>97</v>
      </c>
      <c r="R8" s="14">
        <v>41</v>
      </c>
      <c r="S8" s="14"/>
      <c r="T8" s="14"/>
      <c r="U8" s="15">
        <v>39</v>
      </c>
      <c r="V8" s="15"/>
      <c r="W8" s="15">
        <v>124</v>
      </c>
      <c r="X8" s="15">
        <v>67</v>
      </c>
      <c r="Y8" s="15">
        <v>74</v>
      </c>
      <c r="Z8" s="15">
        <v>80</v>
      </c>
      <c r="AA8" s="15">
        <v>141</v>
      </c>
      <c r="AB8" s="15">
        <v>100</v>
      </c>
      <c r="AC8" s="15">
        <v>53</v>
      </c>
      <c r="AD8" s="15">
        <v>114</v>
      </c>
      <c r="AE8" s="124">
        <v>116</v>
      </c>
      <c r="AF8" s="99">
        <v>94.333333333333329</v>
      </c>
      <c r="AG8" s="124">
        <f>13+32+36+31</f>
        <v>112</v>
      </c>
      <c r="AH8" s="124">
        <f>35+45+23</f>
        <v>103</v>
      </c>
      <c r="AI8" s="124">
        <f>(2+1+1+2+7+1+2+2+2+1+6+2+2+2+6+2+2+1+2+1)+(3+1+3+1+1+2+11+2+1+3+2+3+2+1+1+2+1)+(2+2+3+1+2+1+1+1+2+1)</f>
        <v>103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40.4</v>
      </c>
      <c r="BK8">
        <f t="shared" si="0"/>
        <v>39.6</v>
      </c>
      <c r="BL8">
        <f t="shared" si="2"/>
        <v>41.6</v>
      </c>
      <c r="BM8">
        <f t="shared" si="0"/>
        <v>42.8</v>
      </c>
      <c r="BN8">
        <f t="shared" si="0"/>
        <v>43.9</v>
      </c>
      <c r="BO8">
        <f t="shared" si="0"/>
        <v>42.3</v>
      </c>
      <c r="BP8">
        <f t="shared" si="0"/>
        <v>48</v>
      </c>
      <c r="BQ8">
        <f t="shared" si="0"/>
        <v>46.8</v>
      </c>
      <c r="BR8">
        <f t="shared" si="3"/>
        <v>46.777777777777779</v>
      </c>
      <c r="BS8">
        <f t="shared" si="3"/>
        <v>47.375</v>
      </c>
      <c r="BT8">
        <f>AVERAGE(L8:U8)</f>
        <v>44.875</v>
      </c>
      <c r="BU8">
        <f t="shared" si="0"/>
        <v>48.428571428571431</v>
      </c>
      <c r="BV8">
        <f t="shared" si="0"/>
        <v>59.714285714285715</v>
      </c>
      <c r="BW8">
        <f t="shared" si="0"/>
        <v>63.571428571428569</v>
      </c>
      <c r="BX8">
        <f t="shared" si="0"/>
        <v>67.285714285714292</v>
      </c>
      <c r="BY8">
        <f t="shared" si="0"/>
        <v>74.571428571428569</v>
      </c>
      <c r="BZ8">
        <f t="shared" si="0"/>
        <v>80.857142857142861</v>
      </c>
      <c r="CA8">
        <f t="shared" si="0"/>
        <v>89.285714285714292</v>
      </c>
      <c r="CB8">
        <f t="shared" si="0"/>
        <v>84.75</v>
      </c>
      <c r="CC8">
        <f t="shared" si="0"/>
        <v>88</v>
      </c>
      <c r="CD8">
        <f t="shared" si="0"/>
        <v>96.555555555555557</v>
      </c>
      <c r="CE8">
        <f t="shared" si="0"/>
        <v>96.333333333333343</v>
      </c>
      <c r="CF8">
        <f t="shared" si="4"/>
        <v>95.13333333333334</v>
      </c>
      <c r="CG8">
        <f t="shared" si="5"/>
        <v>98.733333333333334</v>
      </c>
      <c r="CH8">
        <f t="shared" si="6"/>
        <v>101.63333333333334</v>
      </c>
      <c r="CI8">
        <f t="shared" si="7"/>
        <v>104.03703703703704</v>
      </c>
      <c r="CJ8">
        <f t="shared" si="8"/>
        <v>99.416666666666657</v>
      </c>
      <c r="CK8">
        <f t="shared" si="9"/>
        <v>99.333333333333329</v>
      </c>
      <c r="CL8">
        <f t="shared" si="10"/>
        <v>107.05555555555554</v>
      </c>
      <c r="CM8">
        <f t="shared" si="11"/>
        <v>105.66666666666666</v>
      </c>
      <c r="CN8">
        <f t="shared" si="12"/>
        <v>103.08333333333333</v>
      </c>
      <c r="CO8">
        <f t="shared" si="13"/>
        <v>106</v>
      </c>
      <c r="CP8">
        <f t="shared" si="14"/>
        <v>103</v>
      </c>
      <c r="CQ8">
        <f t="shared" si="15"/>
        <v>103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66</v>
      </c>
      <c r="C9" s="16">
        <v>55</v>
      </c>
      <c r="D9" s="16">
        <v>78</v>
      </c>
      <c r="E9" s="16">
        <v>108</v>
      </c>
      <c r="F9" s="16">
        <v>80</v>
      </c>
      <c r="G9" s="16">
        <v>60</v>
      </c>
      <c r="H9" s="16">
        <v>112</v>
      </c>
      <c r="I9" s="16">
        <v>89</v>
      </c>
      <c r="J9" s="16">
        <v>140</v>
      </c>
      <c r="K9" s="16">
        <v>89</v>
      </c>
      <c r="L9" s="16">
        <v>82</v>
      </c>
      <c r="M9" s="16">
        <v>102</v>
      </c>
      <c r="N9" s="16">
        <v>78</v>
      </c>
      <c r="O9" s="16">
        <v>91</v>
      </c>
      <c r="P9" s="16">
        <v>120</v>
      </c>
      <c r="Q9" s="16">
        <v>77</v>
      </c>
      <c r="R9" s="16">
        <v>125</v>
      </c>
      <c r="S9" s="16"/>
      <c r="T9" s="16"/>
      <c r="U9" s="17">
        <v>150</v>
      </c>
      <c r="V9" s="17"/>
      <c r="W9" s="17">
        <v>83</v>
      </c>
      <c r="X9" s="17">
        <v>75</v>
      </c>
      <c r="Y9" s="17">
        <v>121</v>
      </c>
      <c r="Z9" s="17">
        <v>113</v>
      </c>
      <c r="AA9" s="17">
        <v>142</v>
      </c>
      <c r="AB9" s="17">
        <v>146</v>
      </c>
      <c r="AC9" s="17">
        <v>115</v>
      </c>
      <c r="AD9" s="17">
        <v>220</v>
      </c>
      <c r="AE9" s="10">
        <v>302</v>
      </c>
      <c r="AF9" s="99">
        <v>212.33333333333334</v>
      </c>
      <c r="AG9" s="10">
        <f>37+45+35+43+35</f>
        <v>195</v>
      </c>
      <c r="AH9" s="10">
        <f>20+53+38+38+48+27</f>
        <v>224</v>
      </c>
      <c r="AI9" s="10">
        <f>(2+2+2+2+1+1+2)+(3+4+5+2+1+2+1+1+1+2+1+2+2+1+1+2+2+2+2+1)+(1+2+1+2+1+2+2+2+2+2+1+1+4+5+4+3+1+3+2+1)+(1+3+2)</f>
        <v>98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87.7</v>
      </c>
      <c r="BK9">
        <f t="shared" si="0"/>
        <v>89.3</v>
      </c>
      <c r="BL9">
        <f t="shared" si="2"/>
        <v>94</v>
      </c>
      <c r="BM9">
        <f t="shared" si="0"/>
        <v>94</v>
      </c>
      <c r="BN9">
        <f t="shared" si="0"/>
        <v>92.3</v>
      </c>
      <c r="BO9">
        <f t="shared" si="0"/>
        <v>96.3</v>
      </c>
      <c r="BP9">
        <f t="shared" si="0"/>
        <v>98</v>
      </c>
      <c r="BQ9">
        <f t="shared" si="0"/>
        <v>99.3</v>
      </c>
      <c r="BR9">
        <f t="shared" si="3"/>
        <v>100.44444444444444</v>
      </c>
      <c r="BS9">
        <f t="shared" si="3"/>
        <v>95.5</v>
      </c>
      <c r="BT9">
        <f t="shared" si="0"/>
        <v>103.125</v>
      </c>
      <c r="BU9">
        <f t="shared" si="0"/>
        <v>106.14285714285714</v>
      </c>
      <c r="BV9">
        <f t="shared" si="0"/>
        <v>103.42857142857143</v>
      </c>
      <c r="BW9">
        <f t="shared" si="0"/>
        <v>103</v>
      </c>
      <c r="BX9">
        <f t="shared" si="0"/>
        <v>107.28571428571429</v>
      </c>
      <c r="BY9">
        <f t="shared" si="0"/>
        <v>106.28571428571429</v>
      </c>
      <c r="BZ9">
        <f t="shared" si="0"/>
        <v>115.57142857142857</v>
      </c>
      <c r="CA9">
        <f t="shared" si="0"/>
        <v>118.57142857142857</v>
      </c>
      <c r="CB9">
        <f t="shared" si="0"/>
        <v>118.125</v>
      </c>
      <c r="CC9">
        <f t="shared" si="0"/>
        <v>129.44444444444446</v>
      </c>
      <c r="CD9">
        <f t="shared" si="0"/>
        <v>146.33333333333334</v>
      </c>
      <c r="CE9">
        <f t="shared" si="0"/>
        <v>152.93333333333334</v>
      </c>
      <c r="CF9">
        <f t="shared" si="4"/>
        <v>164.13333333333333</v>
      </c>
      <c r="CG9">
        <f t="shared" si="5"/>
        <v>179.03333333333333</v>
      </c>
      <c r="CH9">
        <f t="shared" si="6"/>
        <v>176.73333333333332</v>
      </c>
      <c r="CI9">
        <f t="shared" si="7"/>
        <v>183.81481481481481</v>
      </c>
      <c r="CJ9">
        <f t="shared" si="8"/>
        <v>189.04166666666669</v>
      </c>
      <c r="CK9">
        <f t="shared" si="9"/>
        <v>195.1904761904762</v>
      </c>
      <c r="CL9">
        <f t="shared" si="10"/>
        <v>208.55555555555557</v>
      </c>
      <c r="CM9">
        <f t="shared" si="11"/>
        <v>206.26666666666671</v>
      </c>
      <c r="CN9">
        <f t="shared" si="12"/>
        <v>182.33333333333334</v>
      </c>
      <c r="CO9">
        <f t="shared" si="13"/>
        <v>172.33333333333334</v>
      </c>
      <c r="CP9">
        <f t="shared" si="14"/>
        <v>161</v>
      </c>
      <c r="CQ9">
        <f t="shared" si="15"/>
        <v>98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59</v>
      </c>
      <c r="C10" s="14">
        <v>43</v>
      </c>
      <c r="D10" s="14">
        <v>45</v>
      </c>
      <c r="E10" s="14">
        <v>78</v>
      </c>
      <c r="F10" s="14">
        <v>128</v>
      </c>
      <c r="G10" s="14">
        <v>70</v>
      </c>
      <c r="H10" s="14">
        <v>83</v>
      </c>
      <c r="I10" s="14">
        <v>64</v>
      </c>
      <c r="J10" s="14">
        <v>107</v>
      </c>
      <c r="K10" s="14">
        <v>58</v>
      </c>
      <c r="L10" s="14">
        <v>66</v>
      </c>
      <c r="M10" s="14">
        <v>73</v>
      </c>
      <c r="N10" s="14">
        <v>67</v>
      </c>
      <c r="O10" s="14">
        <v>79</v>
      </c>
      <c r="P10" s="14">
        <v>74</v>
      </c>
      <c r="Q10" s="14">
        <v>62</v>
      </c>
      <c r="R10" s="14">
        <v>129</v>
      </c>
      <c r="S10" s="14"/>
      <c r="T10" s="14"/>
      <c r="U10" s="15">
        <v>90</v>
      </c>
      <c r="V10" s="15"/>
      <c r="W10" s="15">
        <v>82</v>
      </c>
      <c r="X10" s="15">
        <v>141</v>
      </c>
      <c r="Y10" s="15">
        <v>155</v>
      </c>
      <c r="Z10" s="15">
        <v>72</v>
      </c>
      <c r="AA10" s="15">
        <v>129</v>
      </c>
      <c r="AB10" s="15">
        <v>112</v>
      </c>
      <c r="AC10" s="15">
        <v>112</v>
      </c>
      <c r="AD10" s="15">
        <v>168</v>
      </c>
      <c r="AE10" s="124">
        <v>248</v>
      </c>
      <c r="AF10" s="99">
        <v>176</v>
      </c>
      <c r="AG10" s="124">
        <f>8+37+26+46+33+1</f>
        <v>151</v>
      </c>
      <c r="AH10" s="124">
        <f>6+38+33</f>
        <v>77</v>
      </c>
      <c r="AI10" s="124">
        <f>(1+1+2+5+1+1+4+2+1+2+1+2+1+2+2+2)+(1+3+2+3+1+1+2+1+1+1+11+1+3+1+2+1+2+1+1+6)+(4+1+1+1+1+2+2+1+3+1+1)</f>
        <v>93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73.5</v>
      </c>
      <c r="BK10">
        <f t="shared" si="0"/>
        <v>74.2</v>
      </c>
      <c r="BL10">
        <f t="shared" si="2"/>
        <v>77.2</v>
      </c>
      <c r="BM10">
        <f t="shared" si="0"/>
        <v>79.400000000000006</v>
      </c>
      <c r="BN10">
        <f t="shared" si="0"/>
        <v>79.5</v>
      </c>
      <c r="BO10">
        <f t="shared" si="0"/>
        <v>74.099999999999994</v>
      </c>
      <c r="BP10">
        <f t="shared" si="0"/>
        <v>73.3</v>
      </c>
      <c r="BQ10">
        <f t="shared" si="0"/>
        <v>77.900000000000006</v>
      </c>
      <c r="BR10">
        <f t="shared" si="3"/>
        <v>79.444444444444443</v>
      </c>
      <c r="BS10">
        <f t="shared" si="3"/>
        <v>76</v>
      </c>
      <c r="BT10">
        <f t="shared" si="0"/>
        <v>80</v>
      </c>
      <c r="BU10">
        <f t="shared" si="0"/>
        <v>82</v>
      </c>
      <c r="BV10">
        <f t="shared" si="0"/>
        <v>83.285714285714292</v>
      </c>
      <c r="BW10">
        <f t="shared" si="0"/>
        <v>93.857142857142861</v>
      </c>
      <c r="BX10">
        <f t="shared" si="0"/>
        <v>104.71428571428571</v>
      </c>
      <c r="BY10">
        <f t="shared" si="0"/>
        <v>104.42857142857143</v>
      </c>
      <c r="BZ10">
        <f t="shared" si="0"/>
        <v>114</v>
      </c>
      <c r="CA10">
        <f t="shared" si="0"/>
        <v>111.57142857142857</v>
      </c>
      <c r="CB10">
        <f t="shared" si="0"/>
        <v>111.625</v>
      </c>
      <c r="CC10">
        <f t="shared" si="0"/>
        <v>117.88888888888889</v>
      </c>
      <c r="CD10">
        <f t="shared" si="0"/>
        <v>135.44444444444446</v>
      </c>
      <c r="CE10">
        <f t="shared" si="0"/>
        <v>139.5</v>
      </c>
      <c r="CF10">
        <f t="shared" si="4"/>
        <v>146.4</v>
      </c>
      <c r="CG10">
        <f t="shared" si="5"/>
        <v>140</v>
      </c>
      <c r="CH10">
        <f t="shared" si="6"/>
        <v>133.80000000000001</v>
      </c>
      <c r="CI10">
        <f t="shared" si="7"/>
        <v>140.66666666666666</v>
      </c>
      <c r="CJ10">
        <f t="shared" si="8"/>
        <v>142.125</v>
      </c>
      <c r="CK10">
        <f t="shared" si="9"/>
        <v>146.42857142857142</v>
      </c>
      <c r="CL10">
        <f t="shared" si="10"/>
        <v>152.16666666666666</v>
      </c>
      <c r="CM10">
        <f t="shared" si="11"/>
        <v>149</v>
      </c>
      <c r="CN10">
        <f t="shared" si="12"/>
        <v>124.25</v>
      </c>
      <c r="CO10">
        <f t="shared" si="13"/>
        <v>107</v>
      </c>
      <c r="CP10">
        <f t="shared" si="14"/>
        <v>85</v>
      </c>
      <c r="CQ10">
        <f t="shared" si="15"/>
        <v>93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73</v>
      </c>
      <c r="C11" s="16">
        <v>88</v>
      </c>
      <c r="D11" s="16">
        <v>103</v>
      </c>
      <c r="E11" s="16">
        <v>114</v>
      </c>
      <c r="F11" s="16">
        <v>193</v>
      </c>
      <c r="G11" s="16">
        <v>131</v>
      </c>
      <c r="H11" s="16">
        <v>132</v>
      </c>
      <c r="I11" s="16">
        <v>80</v>
      </c>
      <c r="J11" s="16">
        <v>98</v>
      </c>
      <c r="K11" s="16">
        <v>90</v>
      </c>
      <c r="L11" s="16">
        <v>141</v>
      </c>
      <c r="M11" s="16">
        <v>142</v>
      </c>
      <c r="N11" s="16">
        <v>113</v>
      </c>
      <c r="O11" s="16">
        <v>121</v>
      </c>
      <c r="P11" s="16">
        <v>135</v>
      </c>
      <c r="Q11" s="16">
        <v>88</v>
      </c>
      <c r="R11" s="16">
        <v>128</v>
      </c>
      <c r="S11" s="16"/>
      <c r="T11" s="16"/>
      <c r="U11" s="17">
        <v>118</v>
      </c>
      <c r="V11" s="17"/>
      <c r="W11" s="17">
        <v>119</v>
      </c>
      <c r="X11" s="17">
        <v>115</v>
      </c>
      <c r="Y11" s="17">
        <v>207</v>
      </c>
      <c r="Z11" s="17">
        <v>147</v>
      </c>
      <c r="AA11" s="17">
        <v>125</v>
      </c>
      <c r="AB11" s="17">
        <v>173</v>
      </c>
      <c r="AC11" s="17">
        <v>137</v>
      </c>
      <c r="AD11" s="17">
        <v>213</v>
      </c>
      <c r="AE11" s="10">
        <v>320</v>
      </c>
      <c r="AF11" s="99">
        <v>223.33333333333334</v>
      </c>
      <c r="AG11" s="10">
        <f>64+43+34+35+32+23</f>
        <v>231</v>
      </c>
      <c r="AH11" s="10">
        <f>5+19+36+32+40+40+10</f>
        <v>182</v>
      </c>
      <c r="AI11" s="10">
        <f>(1+2+1+1+1+2+2)+(1+2+1+1+7+1+3+2+1+2+3+1+2+1+1+2+1+1+7)+(1+2+2+1+1+1+2+1+1+5+1+2+2+2+2+1+2+1+8)+(5+3+2+3+2+1+2+2+2+3+1+2+1+3+2+1+3+2)</f>
        <v>128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110.2</v>
      </c>
      <c r="BK11">
        <f t="shared" si="0"/>
        <v>117</v>
      </c>
      <c r="BL11">
        <f t="shared" si="2"/>
        <v>122.4</v>
      </c>
      <c r="BM11">
        <f t="shared" si="0"/>
        <v>123.4</v>
      </c>
      <c r="BN11">
        <f t="shared" si="0"/>
        <v>124.1</v>
      </c>
      <c r="BO11">
        <f t="shared" si="0"/>
        <v>118.3</v>
      </c>
      <c r="BP11">
        <f t="shared" si="0"/>
        <v>114</v>
      </c>
      <c r="BQ11">
        <f t="shared" si="0"/>
        <v>113.6</v>
      </c>
      <c r="BR11">
        <f t="shared" si="3"/>
        <v>117.33333333333333</v>
      </c>
      <c r="BS11">
        <f t="shared" si="3"/>
        <v>119.75</v>
      </c>
      <c r="BT11">
        <f t="shared" si="0"/>
        <v>123.25</v>
      </c>
      <c r="BU11">
        <f t="shared" si="0"/>
        <v>120.71428571428571</v>
      </c>
      <c r="BV11">
        <f t="shared" si="0"/>
        <v>117.42857142857143</v>
      </c>
      <c r="BW11">
        <f t="shared" si="0"/>
        <v>117.71428571428571</v>
      </c>
      <c r="BX11">
        <f t="shared" si="0"/>
        <v>130</v>
      </c>
      <c r="BY11">
        <f t="shared" si="0"/>
        <v>131.71428571428572</v>
      </c>
      <c r="BZ11">
        <f t="shared" si="0"/>
        <v>137</v>
      </c>
      <c r="CA11">
        <f t="shared" si="0"/>
        <v>143.42857142857142</v>
      </c>
      <c r="CB11">
        <f t="shared" si="0"/>
        <v>142.625</v>
      </c>
      <c r="CC11">
        <f t="shared" si="0"/>
        <v>150.44444444444446</v>
      </c>
      <c r="CD11">
        <f t="shared" si="0"/>
        <v>172.88888888888889</v>
      </c>
      <c r="CE11">
        <f t="shared" si="0"/>
        <v>177.93333333333334</v>
      </c>
      <c r="CF11">
        <f t="shared" si="4"/>
        <v>189.13333333333333</v>
      </c>
      <c r="CG11">
        <f t="shared" si="5"/>
        <v>195.83333333333331</v>
      </c>
      <c r="CH11">
        <f t="shared" si="6"/>
        <v>187.93333333333334</v>
      </c>
      <c r="CI11">
        <f t="shared" si="7"/>
        <v>192.48148148148147</v>
      </c>
      <c r="CJ11">
        <f t="shared" si="8"/>
        <v>200.91666666666666</v>
      </c>
      <c r="CK11">
        <f t="shared" si="9"/>
        <v>204.90476190476193</v>
      </c>
      <c r="CL11">
        <f t="shared" si="10"/>
        <v>216.22222222222226</v>
      </c>
      <c r="CM11">
        <f t="shared" si="11"/>
        <v>216.8666666666667</v>
      </c>
      <c r="CN11">
        <f t="shared" si="12"/>
        <v>191.08333333333334</v>
      </c>
      <c r="CO11">
        <f t="shared" si="13"/>
        <v>180.33333333333334</v>
      </c>
      <c r="CP11">
        <f t="shared" si="14"/>
        <v>155</v>
      </c>
      <c r="CQ11">
        <f t="shared" si="15"/>
        <v>128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79</v>
      </c>
      <c r="C12" s="14">
        <v>73</v>
      </c>
      <c r="D12" s="14">
        <v>89</v>
      </c>
      <c r="E12" s="14">
        <v>87</v>
      </c>
      <c r="F12" s="14">
        <v>78</v>
      </c>
      <c r="G12" s="14">
        <v>93</v>
      </c>
      <c r="H12" s="14">
        <v>107</v>
      </c>
      <c r="I12" s="14">
        <v>110</v>
      </c>
      <c r="J12" s="14">
        <v>88</v>
      </c>
      <c r="K12" s="14">
        <v>70</v>
      </c>
      <c r="L12" s="14">
        <v>71</v>
      </c>
      <c r="M12" s="14">
        <v>104</v>
      </c>
      <c r="N12" s="14">
        <v>95</v>
      </c>
      <c r="O12" s="14">
        <v>113</v>
      </c>
      <c r="P12" s="14">
        <v>181</v>
      </c>
      <c r="Q12" s="14">
        <v>126</v>
      </c>
      <c r="R12" s="14">
        <v>160</v>
      </c>
      <c r="S12" s="14"/>
      <c r="T12" s="14"/>
      <c r="U12" s="15">
        <v>109</v>
      </c>
      <c r="V12" s="15"/>
      <c r="W12" s="15">
        <v>118</v>
      </c>
      <c r="X12" s="15">
        <v>180</v>
      </c>
      <c r="Y12" s="15">
        <v>228</v>
      </c>
      <c r="Z12" s="15">
        <v>205</v>
      </c>
      <c r="AA12" s="15">
        <v>231</v>
      </c>
      <c r="AB12" s="15">
        <v>179</v>
      </c>
      <c r="AC12" s="15">
        <v>241</v>
      </c>
      <c r="AD12" s="15">
        <v>207</v>
      </c>
      <c r="AE12" s="124">
        <v>314</v>
      </c>
      <c r="AF12" s="99">
        <v>254</v>
      </c>
      <c r="AG12" s="124">
        <f>18+39+35+38+17</f>
        <v>147</v>
      </c>
      <c r="AH12" s="124">
        <f>15+44+31+42+29</f>
        <v>161</v>
      </c>
      <c r="AI12" s="124">
        <f>(2)+(2+1+2+2+2+2+1+2+1+1+2+1+2+2+2+1+2+1+2+1)+(2+2+1+1+2+1+2+1+2+2+5+1+2+1+2+1+5+2+3+2)+(2+1+2+1+1+2+3+5+5+2+1+2+1+2+2+2+2+5+1+1)+(1+1+1+2+2+3+1+5+1+1+2+5+2+3+3)</f>
        <v>150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87.4</v>
      </c>
      <c r="BK12">
        <f t="shared" si="0"/>
        <v>86.6</v>
      </c>
      <c r="BL12">
        <f t="shared" si="2"/>
        <v>89.7</v>
      </c>
      <c r="BM12">
        <f t="shared" si="0"/>
        <v>90.3</v>
      </c>
      <c r="BN12">
        <f t="shared" si="0"/>
        <v>92.9</v>
      </c>
      <c r="BO12">
        <f t="shared" si="0"/>
        <v>103.2</v>
      </c>
      <c r="BP12">
        <f t="shared" si="0"/>
        <v>106.5</v>
      </c>
      <c r="BQ12">
        <f t="shared" si="0"/>
        <v>111.8</v>
      </c>
      <c r="BR12">
        <f t="shared" si="3"/>
        <v>112</v>
      </c>
      <c r="BS12">
        <f t="shared" si="3"/>
        <v>115</v>
      </c>
      <c r="BT12">
        <f t="shared" si="0"/>
        <v>119.875</v>
      </c>
      <c r="BU12">
        <f t="shared" si="0"/>
        <v>126.85714285714286</v>
      </c>
      <c r="BV12">
        <f t="shared" si="0"/>
        <v>128.85714285714286</v>
      </c>
      <c r="BW12">
        <f t="shared" si="0"/>
        <v>141</v>
      </c>
      <c r="BX12">
        <f t="shared" si="0"/>
        <v>157.42857142857142</v>
      </c>
      <c r="BY12">
        <f t="shared" si="0"/>
        <v>160.85714285714286</v>
      </c>
      <c r="BZ12">
        <f t="shared" si="0"/>
        <v>175.85714285714286</v>
      </c>
      <c r="CA12">
        <f t="shared" si="0"/>
        <v>178.57142857142858</v>
      </c>
      <c r="CB12">
        <f t="shared" si="0"/>
        <v>186.375</v>
      </c>
      <c r="CC12">
        <f t="shared" si="0"/>
        <v>188.66666666666666</v>
      </c>
      <c r="CD12">
        <f t="shared" si="0"/>
        <v>211.44444444444446</v>
      </c>
      <c r="CE12">
        <f t="shared" si="0"/>
        <v>215.7</v>
      </c>
      <c r="CF12">
        <f t="shared" si="4"/>
        <v>218.6</v>
      </c>
      <c r="CG12">
        <f t="shared" si="5"/>
        <v>216.7</v>
      </c>
      <c r="CH12">
        <f t="shared" si="6"/>
        <v>208.9</v>
      </c>
      <c r="CI12">
        <f t="shared" si="7"/>
        <v>209.33333333333334</v>
      </c>
      <c r="CJ12">
        <f t="shared" si="8"/>
        <v>206.625</v>
      </c>
      <c r="CK12">
        <f t="shared" si="9"/>
        <v>210.57142857142858</v>
      </c>
      <c r="CL12">
        <f t="shared" si="10"/>
        <v>205.5</v>
      </c>
      <c r="CM12">
        <f t="shared" si="11"/>
        <v>205.2</v>
      </c>
      <c r="CN12">
        <f t="shared" si="12"/>
        <v>178</v>
      </c>
      <c r="CO12">
        <f t="shared" si="13"/>
        <v>152.66666666666666</v>
      </c>
      <c r="CP12">
        <f t="shared" si="14"/>
        <v>155.5</v>
      </c>
      <c r="CQ12">
        <f t="shared" si="15"/>
        <v>150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33</v>
      </c>
      <c r="C13" s="16">
        <v>37</v>
      </c>
      <c r="D13" s="16">
        <v>49</v>
      </c>
      <c r="E13" s="16">
        <v>60</v>
      </c>
      <c r="F13" s="16">
        <v>102</v>
      </c>
      <c r="G13" s="16">
        <v>103</v>
      </c>
      <c r="H13" s="16">
        <v>75</v>
      </c>
      <c r="I13" s="16">
        <v>106</v>
      </c>
      <c r="J13" s="16">
        <v>76</v>
      </c>
      <c r="K13" s="16">
        <v>76</v>
      </c>
      <c r="L13" s="16">
        <v>73</v>
      </c>
      <c r="M13" s="16">
        <v>74</v>
      </c>
      <c r="N13" s="16">
        <v>97</v>
      </c>
      <c r="O13" s="16">
        <v>90</v>
      </c>
      <c r="P13" s="16">
        <v>94</v>
      </c>
      <c r="Q13" s="16">
        <v>84</v>
      </c>
      <c r="R13" s="16">
        <v>107</v>
      </c>
      <c r="S13" s="16"/>
      <c r="T13" s="16"/>
      <c r="U13" s="17">
        <v>107</v>
      </c>
      <c r="V13" s="17"/>
      <c r="W13" s="17">
        <v>154</v>
      </c>
      <c r="X13" s="17">
        <v>125</v>
      </c>
      <c r="Y13" s="17">
        <v>135</v>
      </c>
      <c r="Z13" s="17">
        <v>146</v>
      </c>
      <c r="AA13" s="17">
        <v>178</v>
      </c>
      <c r="AB13" s="17">
        <v>182</v>
      </c>
      <c r="AC13" s="17">
        <v>221</v>
      </c>
      <c r="AD13" s="17">
        <v>160</v>
      </c>
      <c r="AE13" s="10">
        <v>386</v>
      </c>
      <c r="AF13" s="99">
        <v>255.66666666666666</v>
      </c>
      <c r="AG13" s="10">
        <f>18+39+42+32+72+20</f>
        <v>223</v>
      </c>
      <c r="AH13" s="10">
        <f>4+42+43</f>
        <v>89</v>
      </c>
      <c r="AI13" s="10">
        <f>(3+2+1+1)+(3+2+1+1+1+2+6+1+2+1+1+2+1+1+2+3+2+2+2+1)+(2+4+2+4+3+2+2+3+1+1+1+2+2+2+2+1+3+2+1+1)+(3+2+1)</f>
        <v>91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71.7</v>
      </c>
      <c r="BK13">
        <f t="shared" si="0"/>
        <v>75.7</v>
      </c>
      <c r="BL13">
        <f t="shared" si="2"/>
        <v>79.400000000000006</v>
      </c>
      <c r="BM13">
        <f t="shared" si="0"/>
        <v>84.2</v>
      </c>
      <c r="BN13">
        <f t="shared" si="0"/>
        <v>87.2</v>
      </c>
      <c r="BO13">
        <f t="shared" si="0"/>
        <v>86.4</v>
      </c>
      <c r="BP13">
        <f t="shared" si="0"/>
        <v>84.5</v>
      </c>
      <c r="BQ13">
        <f t="shared" si="0"/>
        <v>87.7</v>
      </c>
      <c r="BR13">
        <f t="shared" si="3"/>
        <v>85.666666666666671</v>
      </c>
      <c r="BS13">
        <f t="shared" si="3"/>
        <v>86.875</v>
      </c>
      <c r="BT13">
        <f t="shared" si="0"/>
        <v>90.75</v>
      </c>
      <c r="BU13">
        <f t="shared" si="0"/>
        <v>93.285714285714292</v>
      </c>
      <c r="BV13">
        <f t="shared" si="0"/>
        <v>104.71428571428571</v>
      </c>
      <c r="BW13">
        <f t="shared" si="0"/>
        <v>108.71428571428571</v>
      </c>
      <c r="BX13">
        <f t="shared" si="0"/>
        <v>115.14285714285714</v>
      </c>
      <c r="BY13">
        <f t="shared" si="0"/>
        <v>122.57142857142857</v>
      </c>
      <c r="BZ13">
        <f t="shared" si="0"/>
        <v>136</v>
      </c>
      <c r="CA13">
        <f t="shared" si="0"/>
        <v>146.71428571428572</v>
      </c>
      <c r="CB13">
        <f t="shared" si="0"/>
        <v>156</v>
      </c>
      <c r="CC13">
        <f t="shared" si="0"/>
        <v>156.44444444444446</v>
      </c>
      <c r="CD13">
        <f t="shared" si="0"/>
        <v>187.44444444444446</v>
      </c>
      <c r="CE13">
        <f t="shared" si="0"/>
        <v>194.26666666666668</v>
      </c>
      <c r="CF13">
        <f t="shared" si="4"/>
        <v>201.16666666666669</v>
      </c>
      <c r="CG13">
        <f t="shared" si="5"/>
        <v>197.56666666666666</v>
      </c>
      <c r="CH13">
        <f t="shared" si="6"/>
        <v>193.16666666666669</v>
      </c>
      <c r="CI13">
        <f t="shared" si="7"/>
        <v>198.40740740740742</v>
      </c>
      <c r="CJ13">
        <f t="shared" si="8"/>
        <v>200.95833333333334</v>
      </c>
      <c r="CK13">
        <f t="shared" si="9"/>
        <v>203.66666666666666</v>
      </c>
      <c r="CL13">
        <f t="shared" si="10"/>
        <v>200.77777777777774</v>
      </c>
      <c r="CM13">
        <f t="shared" si="11"/>
        <v>208.93333333333331</v>
      </c>
      <c r="CN13">
        <f t="shared" si="12"/>
        <v>164.66666666666666</v>
      </c>
      <c r="CO13">
        <f t="shared" si="13"/>
        <v>134.33333333333334</v>
      </c>
      <c r="CP13">
        <f t="shared" si="14"/>
        <v>90</v>
      </c>
      <c r="CQ13">
        <f t="shared" si="15"/>
        <v>91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60</v>
      </c>
      <c r="C14" s="14">
        <v>71</v>
      </c>
      <c r="D14" s="14">
        <v>74</v>
      </c>
      <c r="E14" s="14">
        <v>84</v>
      </c>
      <c r="F14" s="14">
        <v>78</v>
      </c>
      <c r="G14" s="14">
        <v>99</v>
      </c>
      <c r="H14" s="14">
        <v>131</v>
      </c>
      <c r="I14" s="14">
        <v>97</v>
      </c>
      <c r="J14" s="14">
        <v>90</v>
      </c>
      <c r="K14" s="14">
        <v>84</v>
      </c>
      <c r="L14" s="14">
        <v>114</v>
      </c>
      <c r="M14" s="14">
        <v>120</v>
      </c>
      <c r="N14" s="14">
        <v>119</v>
      </c>
      <c r="O14" s="14">
        <v>80</v>
      </c>
      <c r="P14" s="14">
        <v>46</v>
      </c>
      <c r="Q14" s="14">
        <v>121</v>
      </c>
      <c r="R14" s="14">
        <v>78</v>
      </c>
      <c r="S14" s="14"/>
      <c r="T14" s="14"/>
      <c r="U14" s="15">
        <v>132</v>
      </c>
      <c r="V14" s="15"/>
      <c r="W14" s="15">
        <v>126</v>
      </c>
      <c r="X14" s="15"/>
      <c r="Y14" s="15">
        <v>117</v>
      </c>
      <c r="Z14" s="15">
        <v>145</v>
      </c>
      <c r="AA14" s="15">
        <v>180</v>
      </c>
      <c r="AB14" s="15">
        <v>187</v>
      </c>
      <c r="AC14" s="15">
        <v>129</v>
      </c>
      <c r="AD14" s="15">
        <v>250</v>
      </c>
      <c r="AE14" s="124">
        <v>432</v>
      </c>
      <c r="AF14" s="99">
        <v>270.33333333333331</v>
      </c>
      <c r="AG14" s="124">
        <f>15+53+37+51+35+27</f>
        <v>218</v>
      </c>
      <c r="AH14" s="124">
        <f>6+12+32+25+47+29</f>
        <v>151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86.8</v>
      </c>
      <c r="BK14">
        <f t="shared" si="0"/>
        <v>92.2</v>
      </c>
      <c r="BL14">
        <f t="shared" si="2"/>
        <v>97.1</v>
      </c>
      <c r="BM14">
        <f t="shared" si="0"/>
        <v>101.6</v>
      </c>
      <c r="BN14">
        <f t="shared" si="0"/>
        <v>101.2</v>
      </c>
      <c r="BO14">
        <f t="shared" si="0"/>
        <v>98</v>
      </c>
      <c r="BP14">
        <f t="shared" si="0"/>
        <v>100.2</v>
      </c>
      <c r="BQ14">
        <f t="shared" si="0"/>
        <v>94.9</v>
      </c>
      <c r="BR14">
        <f t="shared" si="3"/>
        <v>94.666666666666671</v>
      </c>
      <c r="BS14">
        <f t="shared" si="3"/>
        <v>95.25</v>
      </c>
      <c r="BT14">
        <f t="shared" si="0"/>
        <v>101.25</v>
      </c>
      <c r="BU14">
        <f t="shared" si="0"/>
        <v>99.428571428571431</v>
      </c>
      <c r="BV14">
        <f t="shared" si="0"/>
        <v>100.28571428571429</v>
      </c>
      <c r="BW14">
        <f t="shared" si="0"/>
        <v>97.166666666666671</v>
      </c>
      <c r="BX14">
        <f t="shared" si="0"/>
        <v>103.33333333333333</v>
      </c>
      <c r="BY14">
        <f t="shared" si="0"/>
        <v>119.83333333333333</v>
      </c>
      <c r="BZ14">
        <f t="shared" si="0"/>
        <v>129.66666666666666</v>
      </c>
      <c r="CA14">
        <f t="shared" si="0"/>
        <v>147.83333333333334</v>
      </c>
      <c r="CB14">
        <f t="shared" si="0"/>
        <v>145.14285714285714</v>
      </c>
      <c r="CC14">
        <f t="shared" si="0"/>
        <v>158.25</v>
      </c>
      <c r="CD14">
        <f t="shared" si="0"/>
        <v>195.75</v>
      </c>
      <c r="CE14">
        <f t="shared" si="0"/>
        <v>204.03703703703704</v>
      </c>
      <c r="CF14">
        <f t="shared" si="4"/>
        <v>214.25925925925924</v>
      </c>
      <c r="CG14">
        <f t="shared" si="5"/>
        <v>207.93333333333331</v>
      </c>
      <c r="CH14">
        <f t="shared" si="6"/>
        <v>218.03703703703704</v>
      </c>
      <c r="CI14">
        <f t="shared" si="7"/>
        <v>227.16666666666666</v>
      </c>
      <c r="CJ14">
        <f t="shared" si="8"/>
        <v>233.9047619047619</v>
      </c>
      <c r="CK14">
        <f t="shared" si="9"/>
        <v>241.7222222222222</v>
      </c>
      <c r="CL14">
        <f t="shared" si="10"/>
        <v>264.26666666666665</v>
      </c>
      <c r="CM14">
        <f t="shared" si="11"/>
        <v>267.83333333333331</v>
      </c>
      <c r="CN14">
        <f t="shared" si="12"/>
        <v>213.11111111111109</v>
      </c>
      <c r="CO14">
        <f t="shared" si="13"/>
        <v>184.5</v>
      </c>
      <c r="CP14">
        <f t="shared" si="14"/>
        <v>151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21</v>
      </c>
      <c r="C15" s="16">
        <v>18</v>
      </c>
      <c r="D15" s="16">
        <v>36</v>
      </c>
      <c r="E15" s="16">
        <v>52</v>
      </c>
      <c r="F15" s="16">
        <v>18</v>
      </c>
      <c r="G15" s="16">
        <v>50</v>
      </c>
      <c r="H15" s="16">
        <v>36</v>
      </c>
      <c r="I15" s="16">
        <v>66</v>
      </c>
      <c r="J15" s="16">
        <v>51</v>
      </c>
      <c r="K15" s="16">
        <v>50</v>
      </c>
      <c r="L15" s="16">
        <v>73</v>
      </c>
      <c r="M15" s="16">
        <v>61</v>
      </c>
      <c r="N15" s="16">
        <v>72</v>
      </c>
      <c r="O15" s="16">
        <v>50</v>
      </c>
      <c r="P15" s="16">
        <v>88</v>
      </c>
      <c r="Q15" s="16">
        <v>91</v>
      </c>
      <c r="R15" s="16">
        <v>83</v>
      </c>
      <c r="S15" s="16"/>
      <c r="T15" s="16"/>
      <c r="U15" s="17">
        <v>72</v>
      </c>
      <c r="V15" s="17"/>
      <c r="W15" s="17">
        <v>78</v>
      </c>
      <c r="X15" s="17">
        <v>54</v>
      </c>
      <c r="Y15" s="17">
        <v>90</v>
      </c>
      <c r="Z15" s="17">
        <v>148</v>
      </c>
      <c r="AA15" s="17">
        <v>141</v>
      </c>
      <c r="AB15" s="17">
        <v>102</v>
      </c>
      <c r="AC15" s="17">
        <v>78</v>
      </c>
      <c r="AD15" s="17">
        <v>135</v>
      </c>
      <c r="AE15" s="10">
        <v>231</v>
      </c>
      <c r="AF15" s="99">
        <v>148</v>
      </c>
      <c r="AG15" s="10">
        <f>14+50+42+2</f>
        <v>108</v>
      </c>
      <c r="AH15" s="10">
        <f>6+17+30+35+50+7</f>
        <v>145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39.799999999999997</v>
      </c>
      <c r="BK15">
        <f t="shared" si="0"/>
        <v>45</v>
      </c>
      <c r="BL15">
        <f t="shared" si="2"/>
        <v>49.3</v>
      </c>
      <c r="BM15">
        <f t="shared" si="0"/>
        <v>52.9</v>
      </c>
      <c r="BN15">
        <f t="shared" si="0"/>
        <v>52.7</v>
      </c>
      <c r="BO15">
        <f t="shared" si="0"/>
        <v>59.7</v>
      </c>
      <c r="BP15">
        <f t="shared" si="0"/>
        <v>63.8</v>
      </c>
      <c r="BQ15">
        <f t="shared" si="0"/>
        <v>68.5</v>
      </c>
      <c r="BR15">
        <f t="shared" si="3"/>
        <v>68.777777777777771</v>
      </c>
      <c r="BS15">
        <f t="shared" si="3"/>
        <v>71</v>
      </c>
      <c r="BT15">
        <f t="shared" si="0"/>
        <v>73.75</v>
      </c>
      <c r="BU15">
        <f t="shared" si="0"/>
        <v>73.857142857142861</v>
      </c>
      <c r="BV15">
        <f t="shared" si="0"/>
        <v>76.285714285714292</v>
      </c>
      <c r="BW15">
        <f t="shared" si="0"/>
        <v>73.714285714285708</v>
      </c>
      <c r="BX15">
        <f t="shared" si="0"/>
        <v>79.428571428571431</v>
      </c>
      <c r="BY15">
        <f t="shared" si="0"/>
        <v>88</v>
      </c>
      <c r="BZ15">
        <f t="shared" si="0"/>
        <v>95.142857142857139</v>
      </c>
      <c r="CA15">
        <f t="shared" si="0"/>
        <v>97.857142857142861</v>
      </c>
      <c r="CB15">
        <f t="shared" si="0"/>
        <v>95.375</v>
      </c>
      <c r="CC15">
        <f t="shared" si="0"/>
        <v>99.777777777777771</v>
      </c>
      <c r="CD15">
        <f t="shared" si="0"/>
        <v>117.44444444444444</v>
      </c>
      <c r="CE15">
        <f t="shared" si="0"/>
        <v>120.5</v>
      </c>
      <c r="CF15">
        <f t="shared" si="4"/>
        <v>123.5</v>
      </c>
      <c r="CG15">
        <f t="shared" si="5"/>
        <v>132.6</v>
      </c>
      <c r="CH15">
        <f t="shared" si="6"/>
        <v>137.33333333333334</v>
      </c>
      <c r="CI15">
        <f t="shared" si="7"/>
        <v>136</v>
      </c>
      <c r="CJ15">
        <f t="shared" si="8"/>
        <v>135.28571428571428</v>
      </c>
      <c r="CK15">
        <f t="shared" si="9"/>
        <v>140.83333333333334</v>
      </c>
      <c r="CL15">
        <f t="shared" si="10"/>
        <v>153.4</v>
      </c>
      <c r="CM15">
        <f t="shared" si="11"/>
        <v>158</v>
      </c>
      <c r="CN15">
        <f t="shared" si="12"/>
        <v>133.66666666666666</v>
      </c>
      <c r="CO15">
        <f t="shared" si="13"/>
        <v>126.5</v>
      </c>
      <c r="CP15">
        <f t="shared" si="14"/>
        <v>145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20</v>
      </c>
      <c r="C16" s="14">
        <v>0</v>
      </c>
      <c r="D16" s="14">
        <v>13</v>
      </c>
      <c r="E16" s="14">
        <v>32</v>
      </c>
      <c r="F16" s="14">
        <v>20</v>
      </c>
      <c r="G16" s="14">
        <v>38</v>
      </c>
      <c r="H16" s="14">
        <v>42</v>
      </c>
      <c r="I16" s="14">
        <v>41</v>
      </c>
      <c r="J16" s="14">
        <v>54</v>
      </c>
      <c r="K16" s="14">
        <v>19</v>
      </c>
      <c r="L16" s="14">
        <v>76</v>
      </c>
      <c r="M16" s="14">
        <v>51</v>
      </c>
      <c r="N16" s="14">
        <v>69</v>
      </c>
      <c r="O16" s="14">
        <v>56</v>
      </c>
      <c r="P16" s="14">
        <v>44</v>
      </c>
      <c r="Q16" s="14">
        <v>71</v>
      </c>
      <c r="R16" s="14">
        <v>75</v>
      </c>
      <c r="S16" s="14"/>
      <c r="T16" s="14"/>
      <c r="U16" s="15">
        <v>51</v>
      </c>
      <c r="V16" s="15"/>
      <c r="W16" s="15">
        <v>62</v>
      </c>
      <c r="X16" s="15">
        <v>93</v>
      </c>
      <c r="Y16" s="15">
        <v>88</v>
      </c>
      <c r="Z16" s="15">
        <v>99</v>
      </c>
      <c r="AA16" s="15">
        <v>113</v>
      </c>
      <c r="AB16" s="15">
        <v>48</v>
      </c>
      <c r="AC16" s="15">
        <v>122</v>
      </c>
      <c r="AD16" s="15">
        <v>124</v>
      </c>
      <c r="AE16" s="124">
        <v>76</v>
      </c>
      <c r="AF16" s="124">
        <v>200</v>
      </c>
      <c r="AG16" s="124">
        <f>37+38+36+25</f>
        <v>136</v>
      </c>
      <c r="AH16" s="124">
        <f>25+36+40+27</f>
        <v>128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27.9</v>
      </c>
      <c r="BK16">
        <f t="shared" si="0"/>
        <v>33.5</v>
      </c>
      <c r="BL16">
        <f t="shared" si="2"/>
        <v>38.6</v>
      </c>
      <c r="BM16">
        <f t="shared" si="0"/>
        <v>44.2</v>
      </c>
      <c r="BN16">
        <f t="shared" si="0"/>
        <v>46.6</v>
      </c>
      <c r="BO16">
        <f t="shared" si="0"/>
        <v>49</v>
      </c>
      <c r="BP16">
        <f t="shared" si="0"/>
        <v>52.3</v>
      </c>
      <c r="BQ16">
        <f t="shared" si="0"/>
        <v>55.6</v>
      </c>
      <c r="BR16">
        <f t="shared" si="3"/>
        <v>57.222222222222221</v>
      </c>
      <c r="BS16">
        <f t="shared" si="3"/>
        <v>57.625</v>
      </c>
      <c r="BT16">
        <f t="shared" si="0"/>
        <v>61.625</v>
      </c>
      <c r="BU16">
        <f t="shared" si="0"/>
        <v>59.571428571428569</v>
      </c>
      <c r="BV16">
        <f t="shared" si="0"/>
        <v>61.142857142857146</v>
      </c>
      <c r="BW16">
        <f t="shared" si="0"/>
        <v>64.571428571428569</v>
      </c>
      <c r="BX16">
        <f t="shared" si="0"/>
        <v>69.142857142857139</v>
      </c>
      <c r="BY16">
        <f t="shared" si="0"/>
        <v>77</v>
      </c>
      <c r="BZ16">
        <f t="shared" si="0"/>
        <v>83</v>
      </c>
      <c r="CA16">
        <f t="shared" si="0"/>
        <v>79.142857142857139</v>
      </c>
      <c r="CB16">
        <f t="shared" si="0"/>
        <v>84.5</v>
      </c>
      <c r="CC16">
        <f t="shared" si="0"/>
        <v>88.888888888888886</v>
      </c>
      <c r="CD16">
        <f t="shared" si="0"/>
        <v>91.666666666666671</v>
      </c>
      <c r="CE16">
        <f t="shared" si="0"/>
        <v>102.5</v>
      </c>
      <c r="CF16">
        <f t="shared" si="4"/>
        <v>109.9</v>
      </c>
      <c r="CG16">
        <f t="shared" si="5"/>
        <v>113.4</v>
      </c>
      <c r="CH16">
        <f t="shared" si="6"/>
        <v>116.22222222222223</v>
      </c>
      <c r="CI16">
        <f t="shared" si="7"/>
        <v>118.375</v>
      </c>
      <c r="CJ16">
        <f t="shared" si="8"/>
        <v>119.14285714285714</v>
      </c>
      <c r="CK16">
        <f t="shared" si="9"/>
        <v>131</v>
      </c>
      <c r="CL16">
        <f t="shared" si="10"/>
        <v>132.80000000000001</v>
      </c>
      <c r="CM16">
        <f t="shared" si="11"/>
        <v>135</v>
      </c>
      <c r="CN16">
        <f t="shared" si="12"/>
        <v>154.66666666666666</v>
      </c>
      <c r="CO16">
        <f t="shared" si="13"/>
        <v>132</v>
      </c>
      <c r="CP16">
        <f t="shared" si="14"/>
        <v>128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512</v>
      </c>
      <c r="C18" s="22">
        <f t="shared" ref="C18:AZ18" si="29">SUM(C5:C16)</f>
        <v>524</v>
      </c>
      <c r="D18" s="22">
        <f t="shared" si="29"/>
        <v>574</v>
      </c>
      <c r="E18" s="22">
        <f t="shared" si="29"/>
        <v>687</v>
      </c>
      <c r="F18" s="22">
        <f t="shared" si="29"/>
        <v>862</v>
      </c>
      <c r="G18" s="22">
        <f t="shared" si="29"/>
        <v>755</v>
      </c>
      <c r="H18" s="22">
        <f t="shared" si="29"/>
        <v>885</v>
      </c>
      <c r="I18" s="22">
        <f t="shared" si="29"/>
        <v>837</v>
      </c>
      <c r="J18" s="22">
        <f t="shared" si="29"/>
        <v>898</v>
      </c>
      <c r="K18" s="22">
        <f t="shared" si="29"/>
        <v>754</v>
      </c>
      <c r="L18" s="22">
        <f t="shared" si="29"/>
        <v>865</v>
      </c>
      <c r="M18" s="22">
        <f t="shared" si="29"/>
        <v>939</v>
      </c>
      <c r="N18" s="22">
        <f t="shared" si="29"/>
        <v>869</v>
      </c>
      <c r="O18" s="22">
        <f t="shared" si="29"/>
        <v>903</v>
      </c>
      <c r="P18" s="22">
        <f t="shared" si="29"/>
        <v>946</v>
      </c>
      <c r="Q18" s="22">
        <f t="shared" si="29"/>
        <v>987</v>
      </c>
      <c r="R18" s="22">
        <f t="shared" si="29"/>
        <v>1092</v>
      </c>
      <c r="S18" s="22">
        <f t="shared" si="29"/>
        <v>0</v>
      </c>
      <c r="T18" s="22">
        <f t="shared" si="29"/>
        <v>0</v>
      </c>
      <c r="U18" s="22">
        <f t="shared" si="29"/>
        <v>1026</v>
      </c>
      <c r="V18" s="22">
        <f t="shared" si="29"/>
        <v>0</v>
      </c>
      <c r="W18" s="22">
        <f t="shared" si="29"/>
        <v>1244</v>
      </c>
      <c r="X18" s="22">
        <f t="shared" si="29"/>
        <v>1092</v>
      </c>
      <c r="Y18" s="22">
        <f t="shared" si="29"/>
        <v>1469</v>
      </c>
      <c r="Z18" s="22">
        <f t="shared" si="29"/>
        <v>1491</v>
      </c>
      <c r="AA18" s="22">
        <f t="shared" si="29"/>
        <v>1884</v>
      </c>
      <c r="AB18" s="22">
        <f t="shared" si="29"/>
        <v>1317</v>
      </c>
      <c r="AC18" s="22">
        <f t="shared" si="29"/>
        <v>1497</v>
      </c>
      <c r="AD18" s="22">
        <f t="shared" si="29"/>
        <v>2040</v>
      </c>
      <c r="AE18" s="22">
        <f t="shared" si="29"/>
        <v>3101</v>
      </c>
      <c r="AF18" s="22">
        <f t="shared" si="29"/>
        <v>2573</v>
      </c>
      <c r="AG18" s="22">
        <f t="shared" si="29"/>
        <v>2022</v>
      </c>
      <c r="AH18" s="22">
        <f t="shared" si="29"/>
        <v>1807</v>
      </c>
      <c r="AI18" s="22">
        <f t="shared" si="29"/>
        <v>1136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 t="shared" ref="BX18:CC18" si="30">AVERAGE(P18:Y18)</f>
        <v>785.6</v>
      </c>
      <c r="BY18" s="25">
        <f t="shared" si="30"/>
        <v>840.1</v>
      </c>
      <c r="BZ18" s="25">
        <f t="shared" si="30"/>
        <v>929.8</v>
      </c>
      <c r="CA18" s="25">
        <f t="shared" si="30"/>
        <v>952.3</v>
      </c>
      <c r="CB18" s="25">
        <f t="shared" si="30"/>
        <v>1102</v>
      </c>
      <c r="CC18" s="25">
        <f t="shared" si="30"/>
        <v>1306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transitionEvaluation="1" codeName="Sheet14">
    <tabColor theme="8" tint="-0.249977111117893"/>
  </sheetPr>
  <dimension ref="A1:DE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I13" sqref="AI13"/>
    </sheetView>
  </sheetViews>
  <sheetFormatPr baseColWidth="10" defaultColWidth="9.42578125" defaultRowHeight="20" customHeight="1" x14ac:dyDescent="0.2"/>
  <cols>
    <col min="1" max="1" width="45.85546875" style="5" customWidth="1"/>
    <col min="2" max="15" width="5.7109375" style="5" hidden="1" customWidth="1"/>
    <col min="16" max="16" width="6.28515625" style="5" hidden="1" customWidth="1"/>
    <col min="17" max="22" width="5.7109375" style="5" hidden="1" customWidth="1"/>
    <col min="23" max="29" width="5.7109375" style="5" customWidth="1"/>
    <col min="30" max="30" width="6.42578125" style="5" customWidth="1"/>
    <col min="31" max="31" width="7.140625" customWidth="1"/>
    <col min="32" max="52" width="9.42578125" customWidth="1"/>
    <col min="53" max="74" width="9.42578125" style="5" customWidth="1"/>
    <col min="75" max="75" width="4.7109375" style="5" customWidth="1"/>
    <col min="76" max="76" width="8.42578125" style="5" customWidth="1"/>
    <col min="77" max="77" width="17.5703125" style="5" customWidth="1"/>
    <col min="78" max="78" width="9.42578125" style="5" customWidth="1"/>
    <col min="79" max="79" width="16.85546875" style="5" customWidth="1"/>
    <col min="80" max="80" width="17.140625" style="5" customWidth="1"/>
    <col min="81" max="81" width="9.425781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36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38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13</v>
      </c>
      <c r="C5" s="16">
        <v>12</v>
      </c>
      <c r="D5" s="16">
        <v>10</v>
      </c>
      <c r="E5" s="16">
        <v>9</v>
      </c>
      <c r="F5" s="16">
        <v>5</v>
      </c>
      <c r="G5" s="16">
        <v>2</v>
      </c>
      <c r="H5" s="16">
        <v>23</v>
      </c>
      <c r="I5" s="16">
        <v>52</v>
      </c>
      <c r="J5" s="16">
        <v>39</v>
      </c>
      <c r="K5" s="16">
        <v>38</v>
      </c>
      <c r="L5" s="16">
        <v>48</v>
      </c>
      <c r="M5" s="16">
        <v>46</v>
      </c>
      <c r="N5" s="16">
        <v>83</v>
      </c>
      <c r="O5" s="16">
        <v>49</v>
      </c>
      <c r="P5" s="16">
        <v>29</v>
      </c>
      <c r="Q5" s="16">
        <v>57</v>
      </c>
      <c r="R5" s="16">
        <v>49</v>
      </c>
      <c r="S5" s="16"/>
      <c r="T5" s="16"/>
      <c r="U5" s="17">
        <v>35</v>
      </c>
      <c r="V5" s="17"/>
      <c r="W5" s="17">
        <v>66</v>
      </c>
      <c r="X5" s="17">
        <v>66</v>
      </c>
      <c r="Y5" s="17">
        <v>52</v>
      </c>
      <c r="Z5" s="17">
        <v>100</v>
      </c>
      <c r="AA5" s="17">
        <v>160</v>
      </c>
      <c r="AB5" s="17">
        <v>196</v>
      </c>
      <c r="AC5" s="17">
        <v>102</v>
      </c>
      <c r="AD5" s="112">
        <v>96</v>
      </c>
      <c r="AE5" s="10">
        <v>110</v>
      </c>
      <c r="AF5" s="10">
        <v>18</v>
      </c>
      <c r="AG5" s="10">
        <f>10</f>
        <v>10</v>
      </c>
      <c r="AH5" s="10">
        <f>12+3</f>
        <v>15</v>
      </c>
      <c r="AI5" s="10">
        <f>1+2+1+1+1+5+8+2+2+1</f>
        <v>24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20.3</v>
      </c>
      <c r="BK5">
        <f t="shared" ref="BK5:DD16" si="0">AVERAGE(C5:L5)</f>
        <v>23.8</v>
      </c>
      <c r="BL5">
        <f>AVERAGE(D5:M5)</f>
        <v>27.2</v>
      </c>
      <c r="BM5">
        <f t="shared" si="0"/>
        <v>34.5</v>
      </c>
      <c r="BN5">
        <f t="shared" si="0"/>
        <v>38.5</v>
      </c>
      <c r="BO5">
        <f t="shared" si="0"/>
        <v>40.9</v>
      </c>
      <c r="BP5">
        <f t="shared" si="0"/>
        <v>46.4</v>
      </c>
      <c r="BQ5">
        <f t="shared" si="0"/>
        <v>49</v>
      </c>
      <c r="BR5">
        <f t="shared" si="0"/>
        <v>48.666666666666664</v>
      </c>
      <c r="BS5">
        <f t="shared" si="0"/>
        <v>49.875</v>
      </c>
      <c r="BT5">
        <f t="shared" si="0"/>
        <v>49.5</v>
      </c>
      <c r="BU5">
        <f t="shared" si="0"/>
        <v>49.714285714285715</v>
      </c>
      <c r="BV5">
        <f t="shared" si="0"/>
        <v>52.571428571428569</v>
      </c>
      <c r="BW5">
        <f t="shared" si="0"/>
        <v>50.142857142857146</v>
      </c>
      <c r="BX5">
        <f t="shared" si="0"/>
        <v>50.571428571428569</v>
      </c>
      <c r="BY5">
        <f t="shared" si="0"/>
        <v>60.714285714285715</v>
      </c>
      <c r="BZ5">
        <f t="shared" si="0"/>
        <v>75.428571428571431</v>
      </c>
      <c r="CA5">
        <f t="shared" si="0"/>
        <v>96.428571428571431</v>
      </c>
      <c r="CB5">
        <f t="shared" si="0"/>
        <v>97.125</v>
      </c>
      <c r="CC5">
        <f t="shared" si="0"/>
        <v>97</v>
      </c>
      <c r="CD5">
        <f t="shared" si="0"/>
        <v>105.33333333333333</v>
      </c>
      <c r="CE5">
        <f t="shared" si="0"/>
        <v>96.6</v>
      </c>
      <c r="CF5">
        <f t="shared" si="0"/>
        <v>91</v>
      </c>
      <c r="CG5">
        <f t="shared" si="0"/>
        <v>85.9</v>
      </c>
      <c r="CH5">
        <f t="shared" si="0"/>
        <v>83.1</v>
      </c>
      <c r="CI5">
        <f t="shared" si="0"/>
        <v>81.222222222222229</v>
      </c>
      <c r="CJ5">
        <f t="shared" si="0"/>
        <v>71.375</v>
      </c>
      <c r="CK5">
        <f t="shared" si="0"/>
        <v>53.571428571428569</v>
      </c>
      <c r="CL5">
        <f t="shared" si="0"/>
        <v>45.5</v>
      </c>
      <c r="CM5">
        <f t="shared" si="0"/>
        <v>35.4</v>
      </c>
      <c r="CN5">
        <f t="shared" si="0"/>
        <v>16.75</v>
      </c>
      <c r="CO5">
        <f t="shared" si="0"/>
        <v>16.333333333333332</v>
      </c>
      <c r="CP5">
        <f t="shared" si="0"/>
        <v>19.5</v>
      </c>
      <c r="CQ5">
        <f t="shared" si="0"/>
        <v>24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6</v>
      </c>
      <c r="C6" s="14">
        <v>9</v>
      </c>
      <c r="D6" s="14">
        <v>1</v>
      </c>
      <c r="E6" s="14">
        <v>14</v>
      </c>
      <c r="F6" s="14">
        <v>9</v>
      </c>
      <c r="G6" s="14">
        <v>6</v>
      </c>
      <c r="H6" s="14">
        <v>70</v>
      </c>
      <c r="I6" s="14">
        <v>52</v>
      </c>
      <c r="J6" s="14">
        <v>57</v>
      </c>
      <c r="K6" s="14">
        <v>31</v>
      </c>
      <c r="L6" s="14">
        <v>63</v>
      </c>
      <c r="M6" s="14">
        <v>60</v>
      </c>
      <c r="N6" s="14">
        <v>67</v>
      </c>
      <c r="O6" s="14">
        <v>63</v>
      </c>
      <c r="P6" s="14">
        <v>70</v>
      </c>
      <c r="Q6" s="14">
        <v>53</v>
      </c>
      <c r="R6" s="14">
        <v>53</v>
      </c>
      <c r="S6" s="14"/>
      <c r="T6" s="14"/>
      <c r="U6" s="15">
        <v>34</v>
      </c>
      <c r="V6" s="15"/>
      <c r="W6" s="15">
        <v>76</v>
      </c>
      <c r="X6" s="15">
        <v>51</v>
      </c>
      <c r="Y6" s="15">
        <v>65</v>
      </c>
      <c r="Z6" s="15">
        <v>21</v>
      </c>
      <c r="AA6" s="15">
        <v>96</v>
      </c>
      <c r="AB6" s="15">
        <v>126</v>
      </c>
      <c r="AC6" s="15">
        <v>77</v>
      </c>
      <c r="AD6" s="111">
        <v>49</v>
      </c>
      <c r="AE6" s="124">
        <v>135</v>
      </c>
      <c r="AF6" s="124">
        <v>23</v>
      </c>
      <c r="AG6" s="124">
        <f>26+3</f>
        <v>29</v>
      </c>
      <c r="AH6" s="124">
        <f>27</f>
        <v>27</v>
      </c>
      <c r="AI6" s="124">
        <f>1+1+1+1+1+3+4+1+1+6+1+4+1+1+2+2</f>
        <v>31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25.5</v>
      </c>
      <c r="BK6">
        <f t="shared" si="0"/>
        <v>31.2</v>
      </c>
      <c r="BL6">
        <f t="shared" ref="BL6:BL16" si="2">AVERAGE(D6:M6)</f>
        <v>36.299999999999997</v>
      </c>
      <c r="BM6">
        <f t="shared" si="0"/>
        <v>42.9</v>
      </c>
      <c r="BN6">
        <f t="shared" si="0"/>
        <v>47.8</v>
      </c>
      <c r="BO6">
        <f t="shared" si="0"/>
        <v>53.9</v>
      </c>
      <c r="BP6">
        <f t="shared" si="0"/>
        <v>58.6</v>
      </c>
      <c r="BQ6">
        <f t="shared" si="0"/>
        <v>56.9</v>
      </c>
      <c r="BR6">
        <f t="shared" ref="BR6:BS16" si="3">AVERAGE(J6:S6)</f>
        <v>57.444444444444443</v>
      </c>
      <c r="BS6">
        <f t="shared" si="3"/>
        <v>57.5</v>
      </c>
      <c r="BT6">
        <f t="shared" si="0"/>
        <v>57.875</v>
      </c>
      <c r="BU6">
        <f t="shared" si="0"/>
        <v>57.142857142857146</v>
      </c>
      <c r="BV6">
        <f t="shared" si="0"/>
        <v>59.428571428571431</v>
      </c>
      <c r="BW6">
        <f t="shared" si="0"/>
        <v>57.142857142857146</v>
      </c>
      <c r="BX6">
        <f t="shared" si="0"/>
        <v>57.428571428571431</v>
      </c>
      <c r="BY6">
        <f t="shared" si="0"/>
        <v>50.428571428571431</v>
      </c>
      <c r="BZ6">
        <f t="shared" si="0"/>
        <v>56.571428571428569</v>
      </c>
      <c r="CA6">
        <f t="shared" si="0"/>
        <v>67</v>
      </c>
      <c r="CB6">
        <f t="shared" si="0"/>
        <v>68.25</v>
      </c>
      <c r="CC6">
        <f t="shared" si="0"/>
        <v>66.111111111111114</v>
      </c>
      <c r="CD6">
        <f t="shared" si="0"/>
        <v>77.333333333333329</v>
      </c>
      <c r="CE6">
        <f t="shared" si="0"/>
        <v>71.900000000000006</v>
      </c>
      <c r="CF6">
        <f t="shared" ref="CF6:CF16" si="4">AVERAGE(X6:AG6)</f>
        <v>67.2</v>
      </c>
      <c r="CG6">
        <f t="shared" ref="CG6:CG16" si="5">AVERAGE(Y6:AH6)</f>
        <v>64.8</v>
      </c>
      <c r="CH6">
        <f t="shared" ref="CH6:CH16" si="6">AVERAGE(Z6:AI6)</f>
        <v>61.4</v>
      </c>
      <c r="CI6">
        <f t="shared" ref="CI6:CI16" si="7">AVERAGE(AA6:AJ6)</f>
        <v>65.888888888888886</v>
      </c>
      <c r="CJ6">
        <f t="shared" ref="CJ6:CJ16" si="8">AVERAGE(AB6:AK6)</f>
        <v>62.125</v>
      </c>
      <c r="CK6">
        <f t="shared" ref="CK6:CK16" si="9">AVERAGE(AC6:AL6)</f>
        <v>53</v>
      </c>
      <c r="CL6">
        <f t="shared" ref="CL6:CL16" si="10">AVERAGE(AD6:AM6)</f>
        <v>49</v>
      </c>
      <c r="CM6">
        <f t="shared" ref="CM6:CM16" si="11">AVERAGE(AE6:AN6)</f>
        <v>49</v>
      </c>
      <c r="CN6">
        <f t="shared" ref="CN6:CN16" si="12">AVERAGE(AF6:AO6)</f>
        <v>27.5</v>
      </c>
      <c r="CO6">
        <f t="shared" ref="CO6:CO16" si="13">AVERAGE(AG6:AP6)</f>
        <v>29</v>
      </c>
      <c r="CP6">
        <f t="shared" ref="CP6:CP16" si="14">AVERAGE(AH6:AQ6)</f>
        <v>29</v>
      </c>
      <c r="CQ6">
        <f t="shared" ref="CQ6:CQ16" si="15">AVERAGE(AI6:AR6)</f>
        <v>31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14</v>
      </c>
      <c r="C7" s="16">
        <v>9</v>
      </c>
      <c r="D7" s="16">
        <v>3</v>
      </c>
      <c r="E7" s="16">
        <v>9</v>
      </c>
      <c r="F7" s="16">
        <v>25</v>
      </c>
      <c r="G7" s="16">
        <v>9</v>
      </c>
      <c r="H7" s="16">
        <v>58</v>
      </c>
      <c r="I7" s="16">
        <v>42</v>
      </c>
      <c r="J7" s="16">
        <v>30</v>
      </c>
      <c r="K7" s="16">
        <v>36</v>
      </c>
      <c r="L7" s="16">
        <v>31</v>
      </c>
      <c r="M7" s="16">
        <v>35</v>
      </c>
      <c r="N7" s="16">
        <v>51</v>
      </c>
      <c r="O7" s="16">
        <v>47</v>
      </c>
      <c r="P7" s="16">
        <v>40</v>
      </c>
      <c r="Q7" s="16">
        <v>52</v>
      </c>
      <c r="R7" s="16">
        <v>24</v>
      </c>
      <c r="S7" s="16"/>
      <c r="T7" s="16"/>
      <c r="U7" s="17">
        <v>32</v>
      </c>
      <c r="V7" s="17"/>
      <c r="W7" s="17">
        <v>48</v>
      </c>
      <c r="X7" s="17">
        <v>60</v>
      </c>
      <c r="Y7" s="17">
        <v>80</v>
      </c>
      <c r="Z7" s="17">
        <v>32</v>
      </c>
      <c r="AA7" s="17">
        <v>163</v>
      </c>
      <c r="AB7" s="17">
        <v>42</v>
      </c>
      <c r="AC7" s="17">
        <v>58</v>
      </c>
      <c r="AD7" s="112">
        <v>73</v>
      </c>
      <c r="AE7" s="10">
        <v>119</v>
      </c>
      <c r="AF7" s="10">
        <v>33</v>
      </c>
      <c r="AG7" s="10">
        <f>20</f>
        <v>20</v>
      </c>
      <c r="AH7" s="10">
        <f>23</f>
        <v>23</v>
      </c>
      <c r="AI7" s="10">
        <f>1+2+1+1+1+2+2+1+1+1+2</f>
        <v>15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23.5</v>
      </c>
      <c r="BK7">
        <f t="shared" si="0"/>
        <v>25.2</v>
      </c>
      <c r="BL7">
        <f t="shared" si="2"/>
        <v>27.8</v>
      </c>
      <c r="BM7">
        <f t="shared" si="0"/>
        <v>32.6</v>
      </c>
      <c r="BN7">
        <f t="shared" si="0"/>
        <v>36.4</v>
      </c>
      <c r="BO7">
        <f t="shared" si="0"/>
        <v>37.9</v>
      </c>
      <c r="BP7">
        <f t="shared" si="0"/>
        <v>42.2</v>
      </c>
      <c r="BQ7">
        <f t="shared" si="0"/>
        <v>38.799999999999997</v>
      </c>
      <c r="BR7">
        <f t="shared" si="3"/>
        <v>38.444444444444443</v>
      </c>
      <c r="BS7">
        <f t="shared" si="3"/>
        <v>39.5</v>
      </c>
      <c r="BT7">
        <f t="shared" si="0"/>
        <v>39</v>
      </c>
      <c r="BU7">
        <f t="shared" si="0"/>
        <v>40.142857142857146</v>
      </c>
      <c r="BV7">
        <f t="shared" si="0"/>
        <v>42</v>
      </c>
      <c r="BW7">
        <f t="shared" si="0"/>
        <v>43.285714285714285</v>
      </c>
      <c r="BX7">
        <f>AVERAGE(P7:Y7)</f>
        <v>48</v>
      </c>
      <c r="BY7">
        <f t="shared" si="0"/>
        <v>46.857142857142854</v>
      </c>
      <c r="BZ7">
        <f t="shared" si="0"/>
        <v>62.714285714285715</v>
      </c>
      <c r="CA7">
        <f t="shared" si="0"/>
        <v>65.285714285714292</v>
      </c>
      <c r="CB7">
        <f t="shared" si="0"/>
        <v>64.375</v>
      </c>
      <c r="CC7">
        <f t="shared" si="0"/>
        <v>65.333333333333329</v>
      </c>
      <c r="CD7">
        <f t="shared" si="0"/>
        <v>75</v>
      </c>
      <c r="CE7">
        <f>AVERAGE(W7:AF7)</f>
        <v>70.8</v>
      </c>
      <c r="CF7">
        <f t="shared" si="4"/>
        <v>68</v>
      </c>
      <c r="CG7">
        <f t="shared" si="5"/>
        <v>64.3</v>
      </c>
      <c r="CH7">
        <f t="shared" si="6"/>
        <v>57.8</v>
      </c>
      <c r="CI7">
        <f t="shared" si="7"/>
        <v>60.666666666666664</v>
      </c>
      <c r="CJ7">
        <f t="shared" si="8"/>
        <v>47.875</v>
      </c>
      <c r="CK7">
        <f t="shared" si="9"/>
        <v>48.714285714285715</v>
      </c>
      <c r="CL7">
        <f t="shared" si="10"/>
        <v>47.166666666666664</v>
      </c>
      <c r="CM7">
        <f t="shared" si="11"/>
        <v>42</v>
      </c>
      <c r="CN7">
        <f t="shared" si="12"/>
        <v>22.75</v>
      </c>
      <c r="CO7">
        <f t="shared" si="13"/>
        <v>19.333333333333332</v>
      </c>
      <c r="CP7">
        <f t="shared" si="14"/>
        <v>19</v>
      </c>
      <c r="CQ7">
        <f t="shared" si="15"/>
        <v>15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3</v>
      </c>
      <c r="C8" s="14">
        <v>0</v>
      </c>
      <c r="D8" s="14">
        <v>5</v>
      </c>
      <c r="E8" s="14">
        <v>2</v>
      </c>
      <c r="F8" s="14">
        <v>35</v>
      </c>
      <c r="G8" s="14">
        <v>2</v>
      </c>
      <c r="H8" s="14">
        <v>54</v>
      </c>
      <c r="I8" s="14">
        <v>61</v>
      </c>
      <c r="J8" s="14">
        <v>50</v>
      </c>
      <c r="K8" s="14">
        <v>55</v>
      </c>
      <c r="L8" s="14">
        <v>40</v>
      </c>
      <c r="M8" s="14">
        <v>46</v>
      </c>
      <c r="N8" s="14">
        <v>27</v>
      </c>
      <c r="O8" s="14">
        <v>42</v>
      </c>
      <c r="P8" s="14">
        <v>55</v>
      </c>
      <c r="Q8" s="14">
        <v>66</v>
      </c>
      <c r="R8" s="14">
        <v>29</v>
      </c>
      <c r="S8" s="14"/>
      <c r="T8" s="14"/>
      <c r="U8" s="15">
        <v>58</v>
      </c>
      <c r="V8" s="15"/>
      <c r="W8" s="15">
        <v>88</v>
      </c>
      <c r="X8" s="15">
        <v>83</v>
      </c>
      <c r="Y8" s="15">
        <v>20</v>
      </c>
      <c r="Z8" s="15">
        <v>52</v>
      </c>
      <c r="AA8" s="15">
        <v>108</v>
      </c>
      <c r="AB8" s="15">
        <v>106</v>
      </c>
      <c r="AC8" s="15">
        <v>52</v>
      </c>
      <c r="AD8" s="111">
        <v>63</v>
      </c>
      <c r="AE8" s="124">
        <v>16</v>
      </c>
      <c r="AF8" s="124">
        <v>38</v>
      </c>
      <c r="AG8" s="124">
        <f>12+38</f>
        <v>50</v>
      </c>
      <c r="AH8" s="124">
        <f>15+33</f>
        <v>48</v>
      </c>
      <c r="AI8" s="124">
        <f>2+4+1+2+1+2+1+1+9+1+1+1+1+2+1+2+1+1+2+2+2</f>
        <v>40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26.7</v>
      </c>
      <c r="BK8">
        <f t="shared" si="0"/>
        <v>30.4</v>
      </c>
      <c r="BL8">
        <f t="shared" si="2"/>
        <v>35</v>
      </c>
      <c r="BM8">
        <f t="shared" si="0"/>
        <v>37.200000000000003</v>
      </c>
      <c r="BN8">
        <f t="shared" si="0"/>
        <v>41.2</v>
      </c>
      <c r="BO8">
        <f t="shared" si="0"/>
        <v>43.2</v>
      </c>
      <c r="BP8">
        <f t="shared" si="0"/>
        <v>49.6</v>
      </c>
      <c r="BQ8">
        <f t="shared" si="0"/>
        <v>47.1</v>
      </c>
      <c r="BR8">
        <f t="shared" si="3"/>
        <v>45.555555555555557</v>
      </c>
      <c r="BS8">
        <f t="shared" si="3"/>
        <v>45</v>
      </c>
      <c r="BT8">
        <f>AVERAGE(L8:U8)</f>
        <v>45.375</v>
      </c>
      <c r="BU8">
        <f t="shared" si="0"/>
        <v>46.142857142857146</v>
      </c>
      <c r="BV8">
        <f t="shared" si="0"/>
        <v>52.142857142857146</v>
      </c>
      <c r="BW8">
        <f t="shared" si="0"/>
        <v>60.142857142857146</v>
      </c>
      <c r="BX8">
        <f t="shared" si="0"/>
        <v>57</v>
      </c>
      <c r="BY8">
        <f t="shared" si="0"/>
        <v>56.571428571428569</v>
      </c>
      <c r="BZ8">
        <f t="shared" si="0"/>
        <v>62.571428571428569</v>
      </c>
      <c r="CA8">
        <f t="shared" si="0"/>
        <v>73.571428571428569</v>
      </c>
      <c r="CB8">
        <f t="shared" si="0"/>
        <v>70.875</v>
      </c>
      <c r="CC8">
        <f t="shared" si="0"/>
        <v>70</v>
      </c>
      <c r="CD8">
        <f t="shared" si="0"/>
        <v>65.333333333333329</v>
      </c>
      <c r="CE8">
        <f t="shared" si="0"/>
        <v>62.6</v>
      </c>
      <c r="CF8">
        <f t="shared" si="4"/>
        <v>58.8</v>
      </c>
      <c r="CG8">
        <f t="shared" si="5"/>
        <v>55.3</v>
      </c>
      <c r="CH8">
        <f t="shared" si="6"/>
        <v>57.3</v>
      </c>
      <c r="CI8">
        <f t="shared" si="7"/>
        <v>57.888888888888886</v>
      </c>
      <c r="CJ8">
        <f t="shared" si="8"/>
        <v>51.625</v>
      </c>
      <c r="CK8">
        <f t="shared" si="9"/>
        <v>43.857142857142854</v>
      </c>
      <c r="CL8">
        <f t="shared" si="10"/>
        <v>42.5</v>
      </c>
      <c r="CM8">
        <f t="shared" si="11"/>
        <v>38.4</v>
      </c>
      <c r="CN8">
        <f t="shared" si="12"/>
        <v>44</v>
      </c>
      <c r="CO8">
        <f t="shared" si="13"/>
        <v>46</v>
      </c>
      <c r="CP8">
        <f t="shared" si="14"/>
        <v>44</v>
      </c>
      <c r="CQ8">
        <f t="shared" si="15"/>
        <v>40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9</v>
      </c>
      <c r="C9" s="16">
        <v>15</v>
      </c>
      <c r="D9" s="16">
        <v>27</v>
      </c>
      <c r="E9" s="16">
        <v>27</v>
      </c>
      <c r="F9" s="16">
        <v>26</v>
      </c>
      <c r="G9" s="16">
        <v>22</v>
      </c>
      <c r="H9" s="16">
        <v>100</v>
      </c>
      <c r="I9" s="16">
        <v>52</v>
      </c>
      <c r="J9" s="16">
        <v>121</v>
      </c>
      <c r="K9" s="16">
        <v>70</v>
      </c>
      <c r="L9" s="16">
        <v>52</v>
      </c>
      <c r="M9" s="16">
        <v>63</v>
      </c>
      <c r="N9" s="16">
        <v>58</v>
      </c>
      <c r="O9" s="16">
        <v>107</v>
      </c>
      <c r="P9" s="16">
        <v>111</v>
      </c>
      <c r="Q9" s="16">
        <v>103</v>
      </c>
      <c r="R9" s="16">
        <v>93</v>
      </c>
      <c r="S9" s="16"/>
      <c r="T9" s="16"/>
      <c r="U9" s="17">
        <v>73</v>
      </c>
      <c r="V9" s="17"/>
      <c r="W9" s="17">
        <v>84</v>
      </c>
      <c r="X9" s="17">
        <v>81</v>
      </c>
      <c r="Y9" s="17">
        <v>110</v>
      </c>
      <c r="Z9" s="17">
        <v>99</v>
      </c>
      <c r="AA9" s="17">
        <v>104</v>
      </c>
      <c r="AB9" s="17">
        <v>111</v>
      </c>
      <c r="AC9" s="17">
        <v>88</v>
      </c>
      <c r="AD9" s="112">
        <v>145</v>
      </c>
      <c r="AE9" s="10">
        <v>89</v>
      </c>
      <c r="AF9" s="10">
        <v>43</v>
      </c>
      <c r="AG9" s="10">
        <f>40+37</f>
        <v>77</v>
      </c>
      <c r="AH9" s="10">
        <f>12+28+30</f>
        <v>70</v>
      </c>
      <c r="AI9" s="10">
        <f>1+2+1+1+1+4+2+1+4+2+2+5+2+1+2+2+1+2+2+1+2+1+1+2+2+2+3+1</f>
        <v>53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46.9</v>
      </c>
      <c r="BK9">
        <f t="shared" si="0"/>
        <v>51.2</v>
      </c>
      <c r="BL9">
        <f t="shared" si="2"/>
        <v>56</v>
      </c>
      <c r="BM9">
        <f t="shared" si="0"/>
        <v>59.1</v>
      </c>
      <c r="BN9">
        <f t="shared" si="0"/>
        <v>67.099999999999994</v>
      </c>
      <c r="BO9">
        <f t="shared" si="0"/>
        <v>75.599999999999994</v>
      </c>
      <c r="BP9">
        <f t="shared" si="0"/>
        <v>83.7</v>
      </c>
      <c r="BQ9">
        <f t="shared" si="0"/>
        <v>83</v>
      </c>
      <c r="BR9">
        <f t="shared" si="3"/>
        <v>86.444444444444443</v>
      </c>
      <c r="BS9">
        <f t="shared" si="3"/>
        <v>82.125</v>
      </c>
      <c r="BT9">
        <f t="shared" si="0"/>
        <v>82.5</v>
      </c>
      <c r="BU9">
        <f t="shared" si="0"/>
        <v>86.857142857142861</v>
      </c>
      <c r="BV9">
        <f t="shared" si="0"/>
        <v>89.857142857142861</v>
      </c>
      <c r="BW9">
        <f t="shared" si="0"/>
        <v>93.142857142857139</v>
      </c>
      <c r="BX9">
        <f t="shared" si="0"/>
        <v>93.571428571428569</v>
      </c>
      <c r="BY9">
        <f t="shared" si="0"/>
        <v>91.857142857142861</v>
      </c>
      <c r="BZ9">
        <f t="shared" si="0"/>
        <v>92</v>
      </c>
      <c r="CA9">
        <f t="shared" si="0"/>
        <v>94.571428571428569</v>
      </c>
      <c r="CB9">
        <f t="shared" si="0"/>
        <v>93.75</v>
      </c>
      <c r="CC9">
        <f t="shared" si="0"/>
        <v>99.444444444444443</v>
      </c>
      <c r="CD9">
        <f t="shared" si="0"/>
        <v>101.22222222222223</v>
      </c>
      <c r="CE9">
        <f t="shared" si="0"/>
        <v>95.4</v>
      </c>
      <c r="CF9">
        <f t="shared" si="4"/>
        <v>94.7</v>
      </c>
      <c r="CG9">
        <f t="shared" si="5"/>
        <v>93.6</v>
      </c>
      <c r="CH9">
        <f t="shared" si="6"/>
        <v>87.9</v>
      </c>
      <c r="CI9">
        <f t="shared" si="7"/>
        <v>86.666666666666671</v>
      </c>
      <c r="CJ9">
        <f t="shared" si="8"/>
        <v>84.5</v>
      </c>
      <c r="CK9">
        <f t="shared" si="9"/>
        <v>80.714285714285708</v>
      </c>
      <c r="CL9">
        <f t="shared" si="10"/>
        <v>79.5</v>
      </c>
      <c r="CM9">
        <f t="shared" si="11"/>
        <v>66.400000000000006</v>
      </c>
      <c r="CN9">
        <f t="shared" si="12"/>
        <v>60.75</v>
      </c>
      <c r="CO9">
        <f t="shared" si="13"/>
        <v>66.666666666666671</v>
      </c>
      <c r="CP9">
        <f t="shared" si="14"/>
        <v>61.5</v>
      </c>
      <c r="CQ9">
        <f t="shared" si="15"/>
        <v>53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4</v>
      </c>
      <c r="C10" s="14">
        <v>9</v>
      </c>
      <c r="D10" s="14">
        <v>18</v>
      </c>
      <c r="E10" s="14">
        <v>3</v>
      </c>
      <c r="F10" s="14">
        <v>25</v>
      </c>
      <c r="G10" s="14">
        <v>20</v>
      </c>
      <c r="H10" s="14">
        <v>89</v>
      </c>
      <c r="I10" s="14">
        <v>79</v>
      </c>
      <c r="J10" s="14">
        <v>96</v>
      </c>
      <c r="K10" s="14">
        <v>100</v>
      </c>
      <c r="L10" s="14">
        <v>78</v>
      </c>
      <c r="M10" s="14">
        <v>48</v>
      </c>
      <c r="N10" s="14">
        <v>51</v>
      </c>
      <c r="O10" s="14">
        <v>104</v>
      </c>
      <c r="P10" s="14">
        <v>75</v>
      </c>
      <c r="Q10" s="14">
        <v>38</v>
      </c>
      <c r="R10" s="14">
        <v>77</v>
      </c>
      <c r="S10" s="14"/>
      <c r="T10" s="14"/>
      <c r="U10" s="15">
        <v>16</v>
      </c>
      <c r="V10" s="15"/>
      <c r="W10" s="15">
        <v>94</v>
      </c>
      <c r="X10" s="15">
        <v>80</v>
      </c>
      <c r="Y10" s="15">
        <v>120</v>
      </c>
      <c r="Z10" s="15">
        <v>79</v>
      </c>
      <c r="AA10" s="15">
        <v>165</v>
      </c>
      <c r="AB10" s="15">
        <v>88</v>
      </c>
      <c r="AC10" s="15">
        <v>165</v>
      </c>
      <c r="AD10" s="111">
        <v>103</v>
      </c>
      <c r="AE10" s="124">
        <v>113</v>
      </c>
      <c r="AF10" s="124">
        <v>82</v>
      </c>
      <c r="AG10" s="124">
        <f>9+50+3</f>
        <v>62</v>
      </c>
      <c r="AH10" s="124">
        <f>21+40</f>
        <v>61</v>
      </c>
      <c r="AI10" s="124">
        <f>2+2+1+7+1+1+2+2+1+10+4+1+1+2+1+4+1+1+2+5+1+2+2+1+8+3+3+2</f>
        <v>73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44.3</v>
      </c>
      <c r="BK10">
        <f t="shared" si="0"/>
        <v>51.7</v>
      </c>
      <c r="BL10">
        <f t="shared" si="2"/>
        <v>55.6</v>
      </c>
      <c r="BM10">
        <f t="shared" si="0"/>
        <v>58.9</v>
      </c>
      <c r="BN10">
        <f t="shared" si="0"/>
        <v>69</v>
      </c>
      <c r="BO10">
        <f t="shared" si="0"/>
        <v>74</v>
      </c>
      <c r="BP10">
        <f t="shared" si="0"/>
        <v>75.8</v>
      </c>
      <c r="BQ10">
        <f t="shared" si="0"/>
        <v>74.599999999999994</v>
      </c>
      <c r="BR10">
        <f t="shared" si="3"/>
        <v>74.111111111111114</v>
      </c>
      <c r="BS10">
        <f t="shared" si="3"/>
        <v>71.375</v>
      </c>
      <c r="BT10">
        <f t="shared" si="0"/>
        <v>60.875</v>
      </c>
      <c r="BU10">
        <f t="shared" si="0"/>
        <v>58.428571428571431</v>
      </c>
      <c r="BV10">
        <f t="shared" si="0"/>
        <v>65</v>
      </c>
      <c r="BW10">
        <f t="shared" si="0"/>
        <v>69.142857142857139</v>
      </c>
      <c r="BX10">
        <f t="shared" si="0"/>
        <v>71.428571428571431</v>
      </c>
      <c r="BY10">
        <f t="shared" si="0"/>
        <v>72</v>
      </c>
      <c r="BZ10">
        <f t="shared" si="0"/>
        <v>90.142857142857139</v>
      </c>
      <c r="CA10">
        <f t="shared" si="0"/>
        <v>91.714285714285708</v>
      </c>
      <c r="CB10">
        <f t="shared" si="0"/>
        <v>100.875</v>
      </c>
      <c r="CC10">
        <f t="shared" si="0"/>
        <v>101.11111111111111</v>
      </c>
      <c r="CD10">
        <f t="shared" si="0"/>
        <v>111.88888888888889</v>
      </c>
      <c r="CE10">
        <f t="shared" si="0"/>
        <v>108.9</v>
      </c>
      <c r="CF10">
        <f t="shared" si="4"/>
        <v>105.7</v>
      </c>
      <c r="CG10">
        <f t="shared" si="5"/>
        <v>103.8</v>
      </c>
      <c r="CH10">
        <f t="shared" si="6"/>
        <v>99.1</v>
      </c>
      <c r="CI10">
        <f t="shared" si="7"/>
        <v>101.33333333333333</v>
      </c>
      <c r="CJ10">
        <f t="shared" si="8"/>
        <v>93.375</v>
      </c>
      <c r="CK10">
        <f t="shared" si="9"/>
        <v>94.142857142857139</v>
      </c>
      <c r="CL10">
        <f t="shared" si="10"/>
        <v>82.333333333333329</v>
      </c>
      <c r="CM10">
        <f t="shared" si="11"/>
        <v>78.2</v>
      </c>
      <c r="CN10">
        <f t="shared" si="12"/>
        <v>69.5</v>
      </c>
      <c r="CO10">
        <f t="shared" si="13"/>
        <v>65.333333333333329</v>
      </c>
      <c r="CP10">
        <f t="shared" si="14"/>
        <v>67</v>
      </c>
      <c r="CQ10">
        <f t="shared" si="15"/>
        <v>73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8</v>
      </c>
      <c r="C11" s="16">
        <v>42</v>
      </c>
      <c r="D11" s="16">
        <v>35</v>
      </c>
      <c r="E11" s="16">
        <v>48</v>
      </c>
      <c r="F11" s="16">
        <v>45</v>
      </c>
      <c r="G11" s="16">
        <v>78</v>
      </c>
      <c r="H11" s="16">
        <v>98</v>
      </c>
      <c r="I11" s="16">
        <v>92</v>
      </c>
      <c r="J11" s="16">
        <v>77</v>
      </c>
      <c r="K11" s="16">
        <v>70</v>
      </c>
      <c r="L11" s="16">
        <v>121</v>
      </c>
      <c r="M11" s="16">
        <v>129</v>
      </c>
      <c r="N11" s="16">
        <v>153</v>
      </c>
      <c r="O11" s="16">
        <v>68</v>
      </c>
      <c r="P11" s="16">
        <v>154</v>
      </c>
      <c r="Q11" s="16">
        <v>176</v>
      </c>
      <c r="R11" s="16">
        <v>147</v>
      </c>
      <c r="S11" s="16"/>
      <c r="T11" s="16"/>
      <c r="U11" s="17">
        <v>222</v>
      </c>
      <c r="V11" s="17"/>
      <c r="W11" s="17">
        <v>168</v>
      </c>
      <c r="X11" s="17">
        <v>229</v>
      </c>
      <c r="Y11" s="17">
        <v>187</v>
      </c>
      <c r="Z11" s="17">
        <v>138</v>
      </c>
      <c r="AA11" s="17">
        <v>245</v>
      </c>
      <c r="AB11" s="17">
        <v>260</v>
      </c>
      <c r="AC11" s="17">
        <v>225</v>
      </c>
      <c r="AD11" s="112">
        <v>252</v>
      </c>
      <c r="AE11" s="10">
        <v>137</v>
      </c>
      <c r="AF11" s="10">
        <v>123</v>
      </c>
      <c r="AG11" s="10">
        <f>43+46+30</f>
        <v>119</v>
      </c>
      <c r="AH11" s="10">
        <f>42+11+48</f>
        <v>101</v>
      </c>
      <c r="AI11" s="10">
        <f>3+2+2+2+2+2+4+1+2+1+2+4+1+1+1+2+4+2+2+9+2+1+1+1+2+2+4+2+2+2+1+1+2+2+2+2</f>
        <v>78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59.3</v>
      </c>
      <c r="BK11">
        <f t="shared" si="0"/>
        <v>70.599999999999994</v>
      </c>
      <c r="BL11">
        <f t="shared" si="2"/>
        <v>79.3</v>
      </c>
      <c r="BM11">
        <f t="shared" si="0"/>
        <v>91.1</v>
      </c>
      <c r="BN11">
        <f t="shared" si="0"/>
        <v>93.1</v>
      </c>
      <c r="BO11">
        <f t="shared" si="0"/>
        <v>104</v>
      </c>
      <c r="BP11">
        <f t="shared" si="0"/>
        <v>113.8</v>
      </c>
      <c r="BQ11">
        <f t="shared" si="0"/>
        <v>118.7</v>
      </c>
      <c r="BR11">
        <f t="shared" si="3"/>
        <v>121.66666666666667</v>
      </c>
      <c r="BS11">
        <f t="shared" si="3"/>
        <v>127.25</v>
      </c>
      <c r="BT11">
        <f t="shared" si="0"/>
        <v>146.25</v>
      </c>
      <c r="BU11">
        <f t="shared" si="0"/>
        <v>149.85714285714286</v>
      </c>
      <c r="BV11">
        <f t="shared" si="0"/>
        <v>155.42857142857142</v>
      </c>
      <c r="BW11">
        <f t="shared" si="0"/>
        <v>166.28571428571428</v>
      </c>
      <c r="BX11">
        <f t="shared" si="0"/>
        <v>183.28571428571428</v>
      </c>
      <c r="BY11">
        <f t="shared" si="0"/>
        <v>181</v>
      </c>
      <c r="BZ11">
        <f t="shared" si="0"/>
        <v>190.85714285714286</v>
      </c>
      <c r="CA11">
        <f t="shared" si="0"/>
        <v>207</v>
      </c>
      <c r="CB11">
        <f t="shared" si="0"/>
        <v>209.25</v>
      </c>
      <c r="CC11">
        <f t="shared" si="0"/>
        <v>214</v>
      </c>
      <c r="CD11">
        <f t="shared" si="0"/>
        <v>204.55555555555554</v>
      </c>
      <c r="CE11">
        <f t="shared" si="0"/>
        <v>196.4</v>
      </c>
      <c r="CF11">
        <f t="shared" si="4"/>
        <v>191.5</v>
      </c>
      <c r="CG11">
        <f t="shared" si="5"/>
        <v>178.7</v>
      </c>
      <c r="CH11">
        <f t="shared" si="6"/>
        <v>167.8</v>
      </c>
      <c r="CI11">
        <f t="shared" si="7"/>
        <v>171.11111111111111</v>
      </c>
      <c r="CJ11">
        <f t="shared" si="8"/>
        <v>161.875</v>
      </c>
      <c r="CK11">
        <f t="shared" si="9"/>
        <v>147.85714285714286</v>
      </c>
      <c r="CL11">
        <f t="shared" si="10"/>
        <v>135</v>
      </c>
      <c r="CM11">
        <f t="shared" si="11"/>
        <v>111.6</v>
      </c>
      <c r="CN11">
        <f t="shared" si="12"/>
        <v>105.25</v>
      </c>
      <c r="CO11">
        <f t="shared" si="13"/>
        <v>99.333333333333329</v>
      </c>
      <c r="CP11">
        <f t="shared" si="14"/>
        <v>89.5</v>
      </c>
      <c r="CQ11">
        <f t="shared" si="15"/>
        <v>78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43</v>
      </c>
      <c r="C12" s="14">
        <v>29</v>
      </c>
      <c r="D12" s="14">
        <v>40</v>
      </c>
      <c r="E12" s="14">
        <v>27</v>
      </c>
      <c r="F12" s="14">
        <v>35</v>
      </c>
      <c r="G12" s="14">
        <v>97</v>
      </c>
      <c r="H12" s="14">
        <v>117</v>
      </c>
      <c r="I12" s="14">
        <v>100</v>
      </c>
      <c r="J12" s="14">
        <v>59</v>
      </c>
      <c r="K12" s="14">
        <v>89</v>
      </c>
      <c r="L12" s="14">
        <v>99</v>
      </c>
      <c r="M12" s="14">
        <v>109</v>
      </c>
      <c r="N12" s="14">
        <v>147</v>
      </c>
      <c r="O12" s="14">
        <v>110</v>
      </c>
      <c r="P12" s="14">
        <v>139</v>
      </c>
      <c r="Q12" s="14">
        <v>156</v>
      </c>
      <c r="R12" s="14">
        <v>192</v>
      </c>
      <c r="S12" s="14"/>
      <c r="T12" s="14"/>
      <c r="U12" s="15">
        <v>158</v>
      </c>
      <c r="V12" s="15"/>
      <c r="W12" s="15">
        <v>245</v>
      </c>
      <c r="X12" s="15">
        <v>147</v>
      </c>
      <c r="Y12" s="15">
        <v>214</v>
      </c>
      <c r="Z12" s="15">
        <v>237</v>
      </c>
      <c r="AA12" s="15">
        <v>250</v>
      </c>
      <c r="AB12" s="15">
        <v>188</v>
      </c>
      <c r="AC12" s="15">
        <v>162</v>
      </c>
      <c r="AD12" s="111">
        <v>278</v>
      </c>
      <c r="AE12" s="124">
        <v>204</v>
      </c>
      <c r="AF12" s="124">
        <v>126</v>
      </c>
      <c r="AG12" s="124">
        <f>9+47+36+27</f>
        <v>119</v>
      </c>
      <c r="AH12" s="124">
        <f>39+44+39</f>
        <v>122</v>
      </c>
      <c r="AI12" s="124">
        <f>2+1+1+4+2+3+2+1+1+2+4+2+1+2+1+3+3+2+1+1+2+2+1+2+1+4+1+1+4+1+1+1+2+1</f>
        <v>63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63.6</v>
      </c>
      <c r="BK12">
        <f t="shared" si="0"/>
        <v>69.2</v>
      </c>
      <c r="BL12">
        <f t="shared" si="2"/>
        <v>77.2</v>
      </c>
      <c r="BM12">
        <f t="shared" si="0"/>
        <v>87.9</v>
      </c>
      <c r="BN12">
        <f t="shared" si="0"/>
        <v>96.2</v>
      </c>
      <c r="BO12">
        <f t="shared" si="0"/>
        <v>106.6</v>
      </c>
      <c r="BP12">
        <f t="shared" si="0"/>
        <v>112.5</v>
      </c>
      <c r="BQ12">
        <f t="shared" si="0"/>
        <v>120</v>
      </c>
      <c r="BR12">
        <f t="shared" si="3"/>
        <v>122.22222222222223</v>
      </c>
      <c r="BS12">
        <f t="shared" si="3"/>
        <v>130.125</v>
      </c>
      <c r="BT12">
        <f t="shared" si="0"/>
        <v>138.75</v>
      </c>
      <c r="BU12">
        <f t="shared" si="0"/>
        <v>144.42857142857142</v>
      </c>
      <c r="BV12">
        <f t="shared" si="0"/>
        <v>163.85714285714286</v>
      </c>
      <c r="BW12">
        <f t="shared" si="0"/>
        <v>163.85714285714286</v>
      </c>
      <c r="BX12">
        <f t="shared" si="0"/>
        <v>178.71428571428572</v>
      </c>
      <c r="BY12">
        <f t="shared" si="0"/>
        <v>192.71428571428572</v>
      </c>
      <c r="BZ12">
        <f t="shared" si="0"/>
        <v>206.14285714285714</v>
      </c>
      <c r="CA12">
        <f t="shared" si="0"/>
        <v>205.57142857142858</v>
      </c>
      <c r="CB12">
        <f t="shared" si="0"/>
        <v>200.125</v>
      </c>
      <c r="CC12">
        <f t="shared" si="0"/>
        <v>208.77777777777777</v>
      </c>
      <c r="CD12">
        <f t="shared" si="0"/>
        <v>213.88888888888889</v>
      </c>
      <c r="CE12">
        <f t="shared" si="0"/>
        <v>205.1</v>
      </c>
      <c r="CF12">
        <f t="shared" si="4"/>
        <v>192.5</v>
      </c>
      <c r="CG12">
        <f t="shared" si="5"/>
        <v>190</v>
      </c>
      <c r="CH12">
        <f t="shared" si="6"/>
        <v>174.9</v>
      </c>
      <c r="CI12">
        <f t="shared" si="7"/>
        <v>168</v>
      </c>
      <c r="CJ12">
        <f t="shared" si="8"/>
        <v>157.75</v>
      </c>
      <c r="CK12">
        <f t="shared" si="9"/>
        <v>153.42857142857142</v>
      </c>
      <c r="CL12">
        <f t="shared" si="10"/>
        <v>152</v>
      </c>
      <c r="CM12">
        <f t="shared" si="11"/>
        <v>126.8</v>
      </c>
      <c r="CN12">
        <f t="shared" si="12"/>
        <v>107.5</v>
      </c>
      <c r="CO12">
        <f t="shared" si="13"/>
        <v>101.33333333333333</v>
      </c>
      <c r="CP12">
        <f t="shared" si="14"/>
        <v>92.5</v>
      </c>
      <c r="CQ12">
        <f t="shared" si="15"/>
        <v>63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22</v>
      </c>
      <c r="C13" s="16">
        <v>14</v>
      </c>
      <c r="D13" s="16">
        <v>20</v>
      </c>
      <c r="E13" s="16">
        <v>31</v>
      </c>
      <c r="F13" s="16">
        <v>38</v>
      </c>
      <c r="G13" s="16">
        <v>50</v>
      </c>
      <c r="H13" s="16">
        <v>69</v>
      </c>
      <c r="I13" s="16">
        <v>108</v>
      </c>
      <c r="J13" s="16">
        <v>87</v>
      </c>
      <c r="K13" s="16">
        <v>87</v>
      </c>
      <c r="L13" s="16">
        <v>115</v>
      </c>
      <c r="M13" s="16">
        <v>58</v>
      </c>
      <c r="N13" s="16">
        <v>60</v>
      </c>
      <c r="O13" s="16">
        <v>70</v>
      </c>
      <c r="P13" s="16">
        <v>162</v>
      </c>
      <c r="Q13" s="16">
        <v>81</v>
      </c>
      <c r="R13" s="16">
        <v>135</v>
      </c>
      <c r="S13" s="16"/>
      <c r="T13" s="16"/>
      <c r="U13" s="17">
        <v>137</v>
      </c>
      <c r="V13" s="17"/>
      <c r="W13" s="17">
        <v>138</v>
      </c>
      <c r="X13" s="17">
        <v>146</v>
      </c>
      <c r="Y13" s="17">
        <v>99</v>
      </c>
      <c r="Z13" s="17">
        <v>166</v>
      </c>
      <c r="AA13" s="17">
        <v>99</v>
      </c>
      <c r="AB13" s="17">
        <v>181</v>
      </c>
      <c r="AC13" s="17">
        <v>148</v>
      </c>
      <c r="AD13" s="112">
        <v>128</v>
      </c>
      <c r="AE13" s="10">
        <v>141</v>
      </c>
      <c r="AF13" s="10">
        <v>126</v>
      </c>
      <c r="AG13" s="10">
        <f>13+33</f>
        <v>46</v>
      </c>
      <c r="AH13" s="10">
        <f>5+31</f>
        <v>36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52.6</v>
      </c>
      <c r="BK13">
        <f t="shared" si="0"/>
        <v>61.9</v>
      </c>
      <c r="BL13">
        <f t="shared" si="2"/>
        <v>66.3</v>
      </c>
      <c r="BM13">
        <f t="shared" si="0"/>
        <v>70.3</v>
      </c>
      <c r="BN13">
        <f t="shared" si="0"/>
        <v>74.2</v>
      </c>
      <c r="BO13">
        <f t="shared" si="0"/>
        <v>86.6</v>
      </c>
      <c r="BP13">
        <f t="shared" si="0"/>
        <v>89.7</v>
      </c>
      <c r="BQ13">
        <f t="shared" si="0"/>
        <v>96.3</v>
      </c>
      <c r="BR13">
        <f t="shared" si="3"/>
        <v>95</v>
      </c>
      <c r="BS13">
        <f t="shared" si="3"/>
        <v>96</v>
      </c>
      <c r="BT13">
        <f t="shared" si="0"/>
        <v>102.25</v>
      </c>
      <c r="BU13">
        <f t="shared" si="0"/>
        <v>100.42857142857143</v>
      </c>
      <c r="BV13">
        <f t="shared" si="0"/>
        <v>111.85714285714286</v>
      </c>
      <c r="BW13">
        <f t="shared" si="0"/>
        <v>124.14285714285714</v>
      </c>
      <c r="BX13">
        <f t="shared" si="0"/>
        <v>128.28571428571428</v>
      </c>
      <c r="BY13">
        <f t="shared" si="0"/>
        <v>128.85714285714286</v>
      </c>
      <c r="BZ13">
        <f t="shared" si="0"/>
        <v>131.42857142857142</v>
      </c>
      <c r="CA13">
        <f t="shared" si="0"/>
        <v>138</v>
      </c>
      <c r="CB13">
        <f t="shared" si="0"/>
        <v>139.25</v>
      </c>
      <c r="CC13">
        <f t="shared" si="0"/>
        <v>138</v>
      </c>
      <c r="CD13">
        <f t="shared" si="0"/>
        <v>138.44444444444446</v>
      </c>
      <c r="CE13">
        <f t="shared" si="0"/>
        <v>137.19999999999999</v>
      </c>
      <c r="CF13">
        <f t="shared" si="4"/>
        <v>128</v>
      </c>
      <c r="CG13">
        <f t="shared" si="5"/>
        <v>117</v>
      </c>
      <c r="CH13">
        <f t="shared" si="6"/>
        <v>119</v>
      </c>
      <c r="CI13">
        <f t="shared" si="7"/>
        <v>113.125</v>
      </c>
      <c r="CJ13">
        <f t="shared" si="8"/>
        <v>115.14285714285714</v>
      </c>
      <c r="CK13">
        <f t="shared" si="9"/>
        <v>104.16666666666667</v>
      </c>
      <c r="CL13">
        <f t="shared" si="10"/>
        <v>95.4</v>
      </c>
      <c r="CM13">
        <f t="shared" si="11"/>
        <v>87.25</v>
      </c>
      <c r="CN13">
        <f t="shared" si="12"/>
        <v>69.333333333333329</v>
      </c>
      <c r="CO13">
        <f t="shared" si="13"/>
        <v>41</v>
      </c>
      <c r="CP13">
        <f t="shared" si="14"/>
        <v>36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22</v>
      </c>
      <c r="C14" s="14">
        <v>17</v>
      </c>
      <c r="D14" s="14">
        <v>21</v>
      </c>
      <c r="E14" s="14">
        <v>35</v>
      </c>
      <c r="F14" s="14">
        <v>17</v>
      </c>
      <c r="G14" s="14">
        <v>56</v>
      </c>
      <c r="H14" s="14">
        <v>69</v>
      </c>
      <c r="I14" s="14">
        <v>94</v>
      </c>
      <c r="J14" s="14">
        <v>80</v>
      </c>
      <c r="K14" s="14">
        <v>127</v>
      </c>
      <c r="L14" s="14">
        <v>68</v>
      </c>
      <c r="M14" s="14">
        <v>58</v>
      </c>
      <c r="N14" s="14">
        <v>101</v>
      </c>
      <c r="O14" s="14">
        <v>103</v>
      </c>
      <c r="P14" s="14">
        <v>44</v>
      </c>
      <c r="Q14" s="14">
        <v>177</v>
      </c>
      <c r="R14" s="14">
        <v>85</v>
      </c>
      <c r="S14" s="14"/>
      <c r="T14" s="14"/>
      <c r="U14" s="15">
        <v>107</v>
      </c>
      <c r="V14" s="15"/>
      <c r="W14" s="15">
        <v>86</v>
      </c>
      <c r="X14" s="15">
        <v>162</v>
      </c>
      <c r="Y14" s="15">
        <v>106</v>
      </c>
      <c r="Z14" s="15">
        <v>120</v>
      </c>
      <c r="AA14" s="15">
        <v>144</v>
      </c>
      <c r="AB14" s="15">
        <v>133</v>
      </c>
      <c r="AC14" s="15">
        <v>104</v>
      </c>
      <c r="AD14" s="111">
        <v>109</v>
      </c>
      <c r="AE14" s="124">
        <v>130</v>
      </c>
      <c r="AF14" s="124">
        <v>104</v>
      </c>
      <c r="AG14" s="124">
        <f>2+38+21</f>
        <v>61</v>
      </c>
      <c r="AH14" s="124">
        <f>5+28+8</f>
        <v>41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53.8</v>
      </c>
      <c r="BK14">
        <f t="shared" si="0"/>
        <v>58.4</v>
      </c>
      <c r="BL14">
        <f t="shared" si="2"/>
        <v>62.5</v>
      </c>
      <c r="BM14">
        <f t="shared" si="0"/>
        <v>70.5</v>
      </c>
      <c r="BN14">
        <f t="shared" si="0"/>
        <v>77.3</v>
      </c>
      <c r="BO14">
        <f t="shared" si="0"/>
        <v>80</v>
      </c>
      <c r="BP14">
        <f t="shared" si="0"/>
        <v>92.1</v>
      </c>
      <c r="BQ14">
        <f t="shared" si="0"/>
        <v>93.7</v>
      </c>
      <c r="BR14">
        <f t="shared" si="3"/>
        <v>93.666666666666671</v>
      </c>
      <c r="BS14">
        <f t="shared" si="3"/>
        <v>95.375</v>
      </c>
      <c r="BT14">
        <f t="shared" si="0"/>
        <v>92.875</v>
      </c>
      <c r="BU14">
        <f t="shared" si="0"/>
        <v>96.428571428571431</v>
      </c>
      <c r="BV14">
        <f t="shared" si="0"/>
        <v>100.42857142857143</v>
      </c>
      <c r="BW14">
        <f t="shared" si="0"/>
        <v>109.14285714285714</v>
      </c>
      <c r="BX14">
        <f t="shared" si="0"/>
        <v>109.57142857142857</v>
      </c>
      <c r="BY14">
        <f t="shared" si="0"/>
        <v>120.42857142857143</v>
      </c>
      <c r="BZ14">
        <f t="shared" si="0"/>
        <v>115.71428571428571</v>
      </c>
      <c r="CA14">
        <f t="shared" si="0"/>
        <v>122.57142857142857</v>
      </c>
      <c r="CB14">
        <f t="shared" si="0"/>
        <v>120.25</v>
      </c>
      <c r="CC14">
        <f t="shared" si="0"/>
        <v>119</v>
      </c>
      <c r="CD14">
        <f t="shared" si="0"/>
        <v>121.55555555555556</v>
      </c>
      <c r="CE14">
        <f t="shared" si="0"/>
        <v>119.8</v>
      </c>
      <c r="CF14">
        <f t="shared" si="4"/>
        <v>117.3</v>
      </c>
      <c r="CG14">
        <f t="shared" si="5"/>
        <v>105.2</v>
      </c>
      <c r="CH14">
        <f t="shared" si="6"/>
        <v>105.11111111111111</v>
      </c>
      <c r="CI14">
        <f t="shared" si="7"/>
        <v>103.25</v>
      </c>
      <c r="CJ14">
        <f t="shared" si="8"/>
        <v>97.428571428571431</v>
      </c>
      <c r="CK14">
        <f t="shared" si="9"/>
        <v>91.5</v>
      </c>
      <c r="CL14">
        <f t="shared" si="10"/>
        <v>89</v>
      </c>
      <c r="CM14">
        <f t="shared" si="11"/>
        <v>84</v>
      </c>
      <c r="CN14">
        <f t="shared" si="12"/>
        <v>68.666666666666671</v>
      </c>
      <c r="CO14">
        <f t="shared" si="13"/>
        <v>51</v>
      </c>
      <c r="CP14">
        <f t="shared" si="14"/>
        <v>41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11</v>
      </c>
      <c r="C15" s="16">
        <v>2</v>
      </c>
      <c r="D15" s="16">
        <v>5</v>
      </c>
      <c r="E15" s="16">
        <v>26</v>
      </c>
      <c r="F15" s="16">
        <v>20</v>
      </c>
      <c r="G15" s="16">
        <v>36</v>
      </c>
      <c r="H15" s="16">
        <v>32</v>
      </c>
      <c r="I15" s="16">
        <v>51</v>
      </c>
      <c r="J15" s="16">
        <v>66</v>
      </c>
      <c r="K15" s="16">
        <v>60</v>
      </c>
      <c r="L15" s="16">
        <v>76</v>
      </c>
      <c r="M15" s="16">
        <v>41</v>
      </c>
      <c r="N15" s="16">
        <v>51</v>
      </c>
      <c r="O15" s="16">
        <v>34</v>
      </c>
      <c r="P15" s="16">
        <v>75</v>
      </c>
      <c r="Q15" s="16">
        <v>75</v>
      </c>
      <c r="R15" s="16">
        <v>60</v>
      </c>
      <c r="S15" s="16"/>
      <c r="T15" s="16"/>
      <c r="U15" s="17">
        <v>54</v>
      </c>
      <c r="V15" s="17"/>
      <c r="W15" s="17">
        <v>65</v>
      </c>
      <c r="X15" s="17">
        <v>68</v>
      </c>
      <c r="Y15" s="17">
        <v>80</v>
      </c>
      <c r="Z15" s="17">
        <v>164</v>
      </c>
      <c r="AA15" s="17">
        <v>57</v>
      </c>
      <c r="AB15" s="17">
        <v>98</v>
      </c>
      <c r="AC15" s="17">
        <v>61</v>
      </c>
      <c r="AD15" s="112">
        <v>95</v>
      </c>
      <c r="AE15" s="10">
        <v>72</v>
      </c>
      <c r="AF15" s="10">
        <v>50</v>
      </c>
      <c r="AG15" s="10">
        <f>17+2</f>
        <v>19</v>
      </c>
      <c r="AH15" s="10">
        <f>21+17</f>
        <v>38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30.9</v>
      </c>
      <c r="BK15">
        <f t="shared" si="0"/>
        <v>37.4</v>
      </c>
      <c r="BL15">
        <f t="shared" si="2"/>
        <v>41.3</v>
      </c>
      <c r="BM15">
        <f t="shared" si="0"/>
        <v>45.9</v>
      </c>
      <c r="BN15">
        <f t="shared" si="0"/>
        <v>46.7</v>
      </c>
      <c r="BO15">
        <f t="shared" si="0"/>
        <v>52.2</v>
      </c>
      <c r="BP15">
        <f t="shared" si="0"/>
        <v>56.1</v>
      </c>
      <c r="BQ15">
        <f t="shared" si="0"/>
        <v>58.9</v>
      </c>
      <c r="BR15">
        <f t="shared" si="3"/>
        <v>59.777777777777779</v>
      </c>
      <c r="BS15">
        <f t="shared" si="3"/>
        <v>59</v>
      </c>
      <c r="BT15">
        <f t="shared" si="0"/>
        <v>58.25</v>
      </c>
      <c r="BU15">
        <f t="shared" si="0"/>
        <v>55.714285714285715</v>
      </c>
      <c r="BV15">
        <f t="shared" si="0"/>
        <v>59.142857142857146</v>
      </c>
      <c r="BW15">
        <f t="shared" si="0"/>
        <v>61.571428571428569</v>
      </c>
      <c r="BX15">
        <f t="shared" si="0"/>
        <v>68.142857142857139</v>
      </c>
      <c r="BY15">
        <f t="shared" si="0"/>
        <v>80.857142857142861</v>
      </c>
      <c r="BZ15">
        <f t="shared" si="0"/>
        <v>78.285714285714292</v>
      </c>
      <c r="CA15">
        <f t="shared" si="0"/>
        <v>83.714285714285708</v>
      </c>
      <c r="CB15">
        <f t="shared" si="0"/>
        <v>80.875</v>
      </c>
      <c r="CC15">
        <f t="shared" si="0"/>
        <v>82.444444444444443</v>
      </c>
      <c r="CD15">
        <f t="shared" si="0"/>
        <v>84.444444444444443</v>
      </c>
      <c r="CE15">
        <f t="shared" si="0"/>
        <v>81</v>
      </c>
      <c r="CF15">
        <f t="shared" si="4"/>
        <v>76.400000000000006</v>
      </c>
      <c r="CG15">
        <f t="shared" si="5"/>
        <v>73.400000000000006</v>
      </c>
      <c r="CH15">
        <f t="shared" si="6"/>
        <v>72.666666666666671</v>
      </c>
      <c r="CI15">
        <f t="shared" si="7"/>
        <v>61.25</v>
      </c>
      <c r="CJ15">
        <f t="shared" si="8"/>
        <v>61.857142857142854</v>
      </c>
      <c r="CK15">
        <f t="shared" si="9"/>
        <v>55.833333333333336</v>
      </c>
      <c r="CL15">
        <f t="shared" si="10"/>
        <v>54.8</v>
      </c>
      <c r="CM15">
        <f t="shared" si="11"/>
        <v>44.75</v>
      </c>
      <c r="CN15">
        <f t="shared" si="12"/>
        <v>35.666666666666664</v>
      </c>
      <c r="CO15">
        <f t="shared" si="13"/>
        <v>28.5</v>
      </c>
      <c r="CP15">
        <f t="shared" si="14"/>
        <v>38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16</v>
      </c>
      <c r="C16" s="14">
        <v>0</v>
      </c>
      <c r="D16" s="14">
        <v>3</v>
      </c>
      <c r="E16" s="14">
        <v>4</v>
      </c>
      <c r="F16" s="14">
        <v>13</v>
      </c>
      <c r="G16" s="14">
        <v>23</v>
      </c>
      <c r="H16" s="14">
        <v>11</v>
      </c>
      <c r="I16" s="14">
        <v>48</v>
      </c>
      <c r="J16" s="14">
        <v>25</v>
      </c>
      <c r="K16" s="14">
        <v>19</v>
      </c>
      <c r="L16" s="14">
        <v>24</v>
      </c>
      <c r="M16" s="14">
        <v>13</v>
      </c>
      <c r="N16" s="14">
        <v>40</v>
      </c>
      <c r="O16" s="14">
        <v>59</v>
      </c>
      <c r="P16" s="14">
        <v>22</v>
      </c>
      <c r="Q16" s="14">
        <v>67</v>
      </c>
      <c r="R16" s="14">
        <v>50</v>
      </c>
      <c r="S16" s="14"/>
      <c r="T16" s="14"/>
      <c r="U16" s="15">
        <v>22</v>
      </c>
      <c r="V16" s="15"/>
      <c r="W16" s="15">
        <v>45</v>
      </c>
      <c r="X16" s="15">
        <v>44</v>
      </c>
      <c r="Y16" s="15">
        <v>83</v>
      </c>
      <c r="Z16" s="15">
        <v>113</v>
      </c>
      <c r="AA16" s="15">
        <v>75</v>
      </c>
      <c r="AB16" s="15">
        <v>51</v>
      </c>
      <c r="AC16" s="15">
        <v>91</v>
      </c>
      <c r="AD16" s="111">
        <v>55</v>
      </c>
      <c r="AE16" s="124">
        <v>27</v>
      </c>
      <c r="AF16" s="124">
        <v>48</v>
      </c>
      <c r="AG16" s="124">
        <f>16</f>
        <v>16</v>
      </c>
      <c r="AH16" s="124">
        <f>22</f>
        <v>22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16.2</v>
      </c>
      <c r="BK16">
        <f t="shared" si="0"/>
        <v>17</v>
      </c>
      <c r="BL16">
        <f t="shared" si="2"/>
        <v>18.3</v>
      </c>
      <c r="BM16">
        <f t="shared" si="0"/>
        <v>22</v>
      </c>
      <c r="BN16">
        <f t="shared" si="0"/>
        <v>27.5</v>
      </c>
      <c r="BO16">
        <f t="shared" si="0"/>
        <v>28.4</v>
      </c>
      <c r="BP16">
        <f t="shared" si="0"/>
        <v>32.799999999999997</v>
      </c>
      <c r="BQ16">
        <f t="shared" si="0"/>
        <v>36.700000000000003</v>
      </c>
      <c r="BR16">
        <f t="shared" si="3"/>
        <v>35.444444444444443</v>
      </c>
      <c r="BS16">
        <f t="shared" si="3"/>
        <v>36.75</v>
      </c>
      <c r="BT16">
        <f t="shared" si="0"/>
        <v>37.125</v>
      </c>
      <c r="BU16">
        <f t="shared" si="0"/>
        <v>39</v>
      </c>
      <c r="BV16">
        <f t="shared" si="0"/>
        <v>43.571428571428569</v>
      </c>
      <c r="BW16">
        <f t="shared" si="0"/>
        <v>44.142857142857146</v>
      </c>
      <c r="BX16">
        <f t="shared" si="0"/>
        <v>47.571428571428569</v>
      </c>
      <c r="BY16">
        <f t="shared" si="0"/>
        <v>60.571428571428569</v>
      </c>
      <c r="BZ16">
        <f t="shared" si="0"/>
        <v>61.714285714285715</v>
      </c>
      <c r="CA16">
        <f t="shared" si="0"/>
        <v>61.857142857142854</v>
      </c>
      <c r="CB16">
        <f t="shared" si="0"/>
        <v>65.5</v>
      </c>
      <c r="CC16">
        <f t="shared" si="0"/>
        <v>64.333333333333329</v>
      </c>
      <c r="CD16">
        <f t="shared" si="0"/>
        <v>64.888888888888886</v>
      </c>
      <c r="CE16">
        <f t="shared" si="0"/>
        <v>63.2</v>
      </c>
      <c r="CF16">
        <f t="shared" si="4"/>
        <v>60.3</v>
      </c>
      <c r="CG16">
        <f t="shared" si="5"/>
        <v>58.1</v>
      </c>
      <c r="CH16">
        <f t="shared" si="6"/>
        <v>55.333333333333336</v>
      </c>
      <c r="CI16">
        <f t="shared" si="7"/>
        <v>48.125</v>
      </c>
      <c r="CJ16">
        <f t="shared" si="8"/>
        <v>44.285714285714285</v>
      </c>
      <c r="CK16">
        <f t="shared" si="9"/>
        <v>43.166666666666664</v>
      </c>
      <c r="CL16">
        <f t="shared" si="10"/>
        <v>33.6</v>
      </c>
      <c r="CM16">
        <f t="shared" si="11"/>
        <v>28.25</v>
      </c>
      <c r="CN16">
        <f t="shared" si="12"/>
        <v>28.666666666666668</v>
      </c>
      <c r="CO16">
        <f t="shared" si="13"/>
        <v>19</v>
      </c>
      <c r="CP16">
        <f t="shared" si="14"/>
        <v>22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171</v>
      </c>
      <c r="C18" s="22">
        <f t="shared" ref="C18:AZ18" si="29">SUM(C5:C16)</f>
        <v>158</v>
      </c>
      <c r="D18" s="22">
        <f t="shared" si="29"/>
        <v>188</v>
      </c>
      <c r="E18" s="22">
        <f t="shared" si="29"/>
        <v>235</v>
      </c>
      <c r="F18" s="22">
        <f t="shared" si="29"/>
        <v>293</v>
      </c>
      <c r="G18" s="22">
        <f t="shared" si="29"/>
        <v>401</v>
      </c>
      <c r="H18" s="22">
        <f t="shared" si="29"/>
        <v>790</v>
      </c>
      <c r="I18" s="22">
        <f t="shared" si="29"/>
        <v>831</v>
      </c>
      <c r="J18" s="22">
        <f t="shared" si="29"/>
        <v>787</v>
      </c>
      <c r="K18" s="22">
        <f t="shared" si="29"/>
        <v>782</v>
      </c>
      <c r="L18" s="22">
        <f t="shared" si="29"/>
        <v>815</v>
      </c>
      <c r="M18" s="22">
        <f t="shared" si="29"/>
        <v>706</v>
      </c>
      <c r="N18" s="22">
        <f t="shared" si="29"/>
        <v>889</v>
      </c>
      <c r="O18" s="22">
        <f t="shared" si="29"/>
        <v>856</v>
      </c>
      <c r="P18" s="22">
        <f t="shared" si="29"/>
        <v>976</v>
      </c>
      <c r="Q18" s="22">
        <f t="shared" si="29"/>
        <v>1101</v>
      </c>
      <c r="R18" s="22">
        <f t="shared" si="29"/>
        <v>994</v>
      </c>
      <c r="S18" s="22">
        <f t="shared" si="29"/>
        <v>0</v>
      </c>
      <c r="T18" s="22">
        <f t="shared" si="29"/>
        <v>0</v>
      </c>
      <c r="U18" s="22">
        <f t="shared" si="29"/>
        <v>948</v>
      </c>
      <c r="V18" s="22">
        <f t="shared" si="29"/>
        <v>0</v>
      </c>
      <c r="W18" s="22">
        <f t="shared" si="29"/>
        <v>1203</v>
      </c>
      <c r="X18" s="22">
        <f t="shared" si="29"/>
        <v>1217</v>
      </c>
      <c r="Y18" s="22">
        <f t="shared" si="29"/>
        <v>1216</v>
      </c>
      <c r="Z18" s="22">
        <f t="shared" si="29"/>
        <v>1321</v>
      </c>
      <c r="AA18" s="22">
        <f t="shared" si="29"/>
        <v>1666</v>
      </c>
      <c r="AB18" s="22">
        <f t="shared" si="29"/>
        <v>1580</v>
      </c>
      <c r="AC18" s="22">
        <f t="shared" si="29"/>
        <v>1333</v>
      </c>
      <c r="AD18" s="22">
        <f t="shared" si="29"/>
        <v>1446</v>
      </c>
      <c r="AE18" s="22">
        <f t="shared" si="29"/>
        <v>1293</v>
      </c>
      <c r="AF18" s="22">
        <f t="shared" si="29"/>
        <v>814</v>
      </c>
      <c r="AG18" s="22">
        <f t="shared" si="29"/>
        <v>628</v>
      </c>
      <c r="AH18" s="22">
        <f t="shared" si="29"/>
        <v>604</v>
      </c>
      <c r="AI18" s="22">
        <f t="shared" si="29"/>
        <v>377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>AVERAGE(P18:Y18)</f>
        <v>765.5</v>
      </c>
      <c r="BY18" s="25">
        <f>AVERAGE(Q18:Z18)</f>
        <v>800</v>
      </c>
      <c r="BZ18" s="25">
        <f>AVERAGE(R18:AA18)</f>
        <v>856.5</v>
      </c>
      <c r="CA18" s="25">
        <f>AVERAGE(S18:AB18)</f>
        <v>915.1</v>
      </c>
      <c r="CB18" s="25">
        <f>AVERAGE(T18:AC18)</f>
        <v>1048.4000000000001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15">
    <tabColor theme="3" tint="0.59999389629810485"/>
  </sheetPr>
  <dimension ref="A1:DI192"/>
  <sheetViews>
    <sheetView defaultGridColor="0" colorId="22" zoomScale="70" zoomScaleNormal="70" workbookViewId="0">
      <pane xSplit="1" topLeftCell="Y1" activePane="topRight" state="frozen"/>
      <selection activeCell="AT39" sqref="AT39"/>
      <selection pane="topRight" activeCell="CC37" sqref="CC37"/>
    </sheetView>
  </sheetViews>
  <sheetFormatPr baseColWidth="10" defaultColWidth="9.42578125" defaultRowHeight="20" customHeight="1" x14ac:dyDescent="0.2"/>
  <cols>
    <col min="1" max="1" width="45.85546875" style="5" customWidth="1"/>
    <col min="2" max="16" width="5.7109375" style="5" hidden="1" customWidth="1"/>
    <col min="17" max="17" width="7.85546875" style="5" hidden="1" customWidth="1"/>
    <col min="18" max="22" width="5.7109375" style="5" hidden="1" customWidth="1"/>
    <col min="23" max="23" width="6.42578125" style="5" hidden="1" customWidth="1"/>
    <col min="24" max="24" width="8.7109375" style="5" hidden="1" customWidth="1"/>
    <col min="25" max="26" width="5.7109375" style="5" customWidth="1"/>
    <col min="27" max="28" width="6.85546875" style="5" customWidth="1"/>
    <col min="29" max="30" width="9.42578125" style="5" customWidth="1"/>
    <col min="31" max="33" width="9.42578125" customWidth="1"/>
    <col min="34" max="34" width="13.7109375" customWidth="1"/>
    <col min="35" max="53" width="9.42578125" hidden="1" customWidth="1"/>
    <col min="54" max="75" width="9.42578125" style="5" hidden="1" customWidth="1"/>
    <col min="76" max="76" width="4.7109375" style="5" hidden="1" customWidth="1"/>
    <col min="77" max="77" width="0.140625" style="5" hidden="1" customWidth="1"/>
    <col min="78" max="78" width="16.28515625" style="5" customWidth="1"/>
    <col min="79" max="79" width="27.140625" style="5" customWidth="1"/>
    <col min="80" max="80" width="22" style="5" customWidth="1"/>
    <col min="81" max="81" width="16.7109375" style="5" customWidth="1"/>
    <col min="82" max="82" width="16.85546875" style="5" customWidth="1"/>
    <col min="83" max="83" width="17.28515625" style="5" customWidth="1"/>
    <col min="84" max="84" width="16.85546875" style="5" customWidth="1"/>
    <col min="85" max="112" width="9.42578125" style="5" hidden="1" customWidth="1"/>
    <col min="113" max="116" width="9.42578125" style="5" customWidth="1"/>
    <col min="117" max="16384" width="9.42578125" style="5"/>
  </cols>
  <sheetData>
    <row r="1" spans="1:113" s="34" customFormat="1" ht="25" customHeight="1" x14ac:dyDescent="0.2">
      <c r="A1" s="31" t="s">
        <v>28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B1" s="35"/>
      <c r="BF1" s="35"/>
    </row>
    <row r="2" spans="1:113" s="34" customFormat="1" ht="25" customHeight="1" thickBot="1" x14ac:dyDescent="0.3">
      <c r="A2" s="36" t="s">
        <v>129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B2" s="35"/>
      <c r="BC2" s="35"/>
      <c r="BF2" s="35"/>
    </row>
    <row r="3" spans="1:113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84">
        <v>2023</v>
      </c>
      <c r="AI3" s="185">
        <v>2023</v>
      </c>
      <c r="AJ3" s="185">
        <v>2024</v>
      </c>
      <c r="AK3" s="185">
        <v>2025</v>
      </c>
      <c r="AL3" s="185">
        <v>2026</v>
      </c>
      <c r="AM3" s="185">
        <v>2027</v>
      </c>
      <c r="AN3" s="185">
        <v>2028</v>
      </c>
      <c r="AO3" s="185">
        <v>2029</v>
      </c>
      <c r="AP3" s="185">
        <v>2030</v>
      </c>
      <c r="AQ3" s="185">
        <v>2031</v>
      </c>
      <c r="AR3" s="185">
        <v>2032</v>
      </c>
      <c r="AS3" s="185">
        <v>2033</v>
      </c>
      <c r="AT3" s="185">
        <v>2034</v>
      </c>
      <c r="AU3" s="185">
        <v>2035</v>
      </c>
      <c r="AV3" s="185">
        <v>2036</v>
      </c>
      <c r="AW3" s="185">
        <v>2037</v>
      </c>
      <c r="AX3" s="185">
        <v>2038</v>
      </c>
      <c r="AY3" s="185">
        <v>2039</v>
      </c>
      <c r="AZ3" s="185">
        <v>2040</v>
      </c>
      <c r="BA3" s="185">
        <v>2041</v>
      </c>
      <c r="BB3" s="186" t="s">
        <v>74</v>
      </c>
      <c r="BC3" s="187"/>
      <c r="BD3" s="187"/>
      <c r="BE3" s="188"/>
      <c r="BF3" s="187"/>
      <c r="BG3" s="187"/>
      <c r="BH3" s="187"/>
      <c r="BI3" s="188"/>
      <c r="BJ3" s="188"/>
      <c r="BK3" s="188"/>
      <c r="BL3" s="189">
        <v>2001</v>
      </c>
      <c r="BM3" s="189">
        <v>2002</v>
      </c>
      <c r="BN3" s="189">
        <v>2003</v>
      </c>
      <c r="BO3" s="189">
        <v>2004</v>
      </c>
      <c r="BP3" s="189">
        <v>2005</v>
      </c>
      <c r="BQ3" s="189">
        <v>2006</v>
      </c>
      <c r="BR3" s="189">
        <v>2007</v>
      </c>
      <c r="BS3" s="189">
        <v>2008</v>
      </c>
      <c r="BT3" s="189">
        <v>2009</v>
      </c>
      <c r="BU3" s="189">
        <v>2010</v>
      </c>
      <c r="BV3" s="189">
        <v>2011</v>
      </c>
      <c r="BW3" s="189">
        <v>2012</v>
      </c>
      <c r="BX3" s="189">
        <v>2013</v>
      </c>
      <c r="BY3" s="189">
        <v>2014</v>
      </c>
      <c r="BZ3" s="190">
        <v>2024</v>
      </c>
      <c r="CA3" s="77" t="s">
        <v>81</v>
      </c>
      <c r="CB3" s="77" t="s">
        <v>83</v>
      </c>
      <c r="CC3" s="77" t="s">
        <v>92</v>
      </c>
      <c r="CD3" s="77" t="s">
        <v>96</v>
      </c>
      <c r="CE3" s="77" t="s">
        <v>102</v>
      </c>
      <c r="CF3" s="38" t="s">
        <v>101</v>
      </c>
      <c r="CG3" s="114">
        <v>2021</v>
      </c>
      <c r="CH3" s="114">
        <v>2022</v>
      </c>
      <c r="CI3" s="114">
        <v>2023</v>
      </c>
      <c r="CJ3" s="114">
        <v>2024</v>
      </c>
      <c r="CK3" s="114">
        <v>2025</v>
      </c>
      <c r="CL3" s="114">
        <v>2026</v>
      </c>
      <c r="CM3" s="114">
        <v>2027</v>
      </c>
      <c r="CN3" s="114">
        <v>2028</v>
      </c>
      <c r="CO3" s="114">
        <v>2029</v>
      </c>
      <c r="CP3" s="114">
        <v>2030</v>
      </c>
      <c r="CQ3" s="114">
        <v>2031</v>
      </c>
      <c r="CR3" s="114">
        <v>2032</v>
      </c>
      <c r="CS3" s="114">
        <v>2033</v>
      </c>
      <c r="CT3" s="114">
        <v>2034</v>
      </c>
      <c r="CU3" s="114">
        <v>2035</v>
      </c>
      <c r="CV3" s="114">
        <v>2036</v>
      </c>
      <c r="CW3" s="114">
        <v>2037</v>
      </c>
      <c r="CX3" s="114">
        <v>2038</v>
      </c>
      <c r="CY3" s="114">
        <v>2039</v>
      </c>
      <c r="CZ3" s="114">
        <v>2040</v>
      </c>
      <c r="DA3" s="114">
        <v>2041</v>
      </c>
      <c r="DB3" s="114">
        <v>2042</v>
      </c>
      <c r="DC3" s="114">
        <v>2043</v>
      </c>
      <c r="DD3" s="114">
        <v>2044</v>
      </c>
      <c r="DE3" s="114">
        <v>2045</v>
      </c>
      <c r="DF3" s="114">
        <v>2046</v>
      </c>
    </row>
    <row r="4" spans="1:113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91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2"/>
      <c r="BZ4" s="192"/>
    </row>
    <row r="5" spans="1:113" s="10" customFormat="1" ht="20" customHeight="1" x14ac:dyDescent="0.2">
      <c r="A5" s="9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>
        <v>58</v>
      </c>
      <c r="N5" s="16"/>
      <c r="O5" s="16"/>
      <c r="P5" s="16"/>
      <c r="Q5" s="16"/>
      <c r="R5" s="16">
        <v>105</v>
      </c>
      <c r="S5" s="16"/>
      <c r="T5" s="16"/>
      <c r="U5" s="17">
        <v>79</v>
      </c>
      <c r="V5" s="17"/>
      <c r="W5" s="17">
        <v>133</v>
      </c>
      <c r="X5" s="17">
        <v>47</v>
      </c>
      <c r="Y5" s="17">
        <v>79</v>
      </c>
      <c r="Z5" s="17">
        <v>91</v>
      </c>
      <c r="AA5" s="17">
        <v>262</v>
      </c>
      <c r="AB5" s="17">
        <v>215</v>
      </c>
      <c r="AC5" s="17">
        <v>130</v>
      </c>
      <c r="AD5" s="17">
        <v>146</v>
      </c>
      <c r="AE5" s="99">
        <v>163.666666666667</v>
      </c>
      <c r="AH5" s="193">
        <f>(1+2+2+1+1+2+2+1+1+6+2+1+2+1+1+2+1+2+2)+(1+2+2+1+1+1+2+2+2+2+2+1+2+1+2+1+2+2+3)+(1+3+1+2+2+2+2+2+4+1+5+2+2+1+1+3+2+1+2)+(4+1)</f>
        <v>109</v>
      </c>
      <c r="BB5"/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f t="shared" ref="BK5:BK16" si="0">AVERAGE(B5:K5)</f>
        <v>#DIV/0!</v>
      </c>
      <c r="BL5" t="e">
        <f t="shared" ref="BL5:BL16" si="1">AVERAGE(C5:L5)</f>
        <v>#DIV/0!</v>
      </c>
      <c r="BM5">
        <f t="shared" ref="BM5:BM16" si="2">AVERAGE(D5:M5)</f>
        <v>58</v>
      </c>
      <c r="BN5">
        <f t="shared" ref="BN5:BN16" si="3">AVERAGE(E5:N5)</f>
        <v>58</v>
      </c>
      <c r="BO5">
        <f t="shared" ref="BO5:BO16" si="4">AVERAGE(F5:O5)</f>
        <v>58</v>
      </c>
      <c r="BP5">
        <f t="shared" ref="BP5:BP16" si="5">AVERAGE(G5:P5)</f>
        <v>58</v>
      </c>
      <c r="BQ5">
        <f t="shared" ref="BQ5:BQ16" si="6">AVERAGE(H5:Q5)</f>
        <v>58</v>
      </c>
      <c r="BR5">
        <f t="shared" ref="BR5:BR16" si="7">AVERAGE(I5:R5)</f>
        <v>81.5</v>
      </c>
      <c r="BS5">
        <f t="shared" ref="BS5:BS16" si="8">AVERAGE(J5:S5)</f>
        <v>81.5</v>
      </c>
      <c r="BT5">
        <f t="shared" ref="BT5:BT16" si="9">AVERAGE(K5:T5)</f>
        <v>81.5</v>
      </c>
      <c r="BU5">
        <f t="shared" ref="BU5:BU16" si="10">AVERAGE(L5:U5)</f>
        <v>80.666666666666671</v>
      </c>
      <c r="BV5">
        <f t="shared" ref="BV5:BV16" si="11">AVERAGE(M5:V5)</f>
        <v>80.666666666666671</v>
      </c>
      <c r="BW5">
        <f t="shared" ref="BW5:BW16" si="12">AVERAGE(N5:W5)</f>
        <v>105.66666666666667</v>
      </c>
      <c r="BX5">
        <f t="shared" ref="BX5:BX16" si="13">AVERAGE(O5:X5)</f>
        <v>91</v>
      </c>
      <c r="BY5">
        <f t="shared" ref="BY5:BY16" si="14">AVERAGE(P5:Y5)</f>
        <v>88.6</v>
      </c>
      <c r="BZ5" s="194">
        <f>(2+8+1+2+2+3+1)+(3+2+3+3+1+1+1+1+7+2+3+1+1+1+1+1+1+2+1)+(3)+(3+2+6+2+2+1+1+2+2+2+2+1)+(1+2+1+3+2+2+2+1+1+3+1+1+3+1+2+2+1+1)</f>
        <v>114</v>
      </c>
      <c r="CA5">
        <f t="shared" ref="CA5:CA16" si="15">AVERAGE(Q5:Z5)</f>
        <v>89</v>
      </c>
      <c r="CB5">
        <f t="shared" ref="CB5:CB16" si="16">AVERAGE(R5:AA5)</f>
        <v>113.71428571428571</v>
      </c>
      <c r="CC5">
        <f t="shared" ref="CC5:CC16" si="17">AVERAGE(S5:AB5)</f>
        <v>129.42857142857142</v>
      </c>
      <c r="CD5">
        <f t="shared" ref="CD5:CD16" si="18">AVERAGE(T5:AC5)</f>
        <v>129.5</v>
      </c>
      <c r="CE5">
        <f t="shared" ref="CE5:CE16" si="19">AVERAGE(U5:AD5)</f>
        <v>131.33333333333334</v>
      </c>
      <c r="CF5">
        <f t="shared" ref="CF5:CF16" si="20">AVERAGE(V5:AE5)</f>
        <v>140.74074074074076</v>
      </c>
      <c r="CG5">
        <f t="shared" ref="CG5:CG16" si="21">AVERAGE(W5:AF5)</f>
        <v>140.74074074074076</v>
      </c>
      <c r="CH5">
        <f t="shared" ref="CH5:CH16" si="22">AVERAGE(X5:AG5)</f>
        <v>141.70833333333337</v>
      </c>
      <c r="CI5">
        <f t="shared" ref="CI5:CI16" si="23">AVERAGE(Y5:AI5)</f>
        <v>149.45833333333337</v>
      </c>
      <c r="CJ5">
        <f t="shared" ref="CJ5:CJ16" si="24">AVERAGE(Z5:AJ5)</f>
        <v>159.52380952380958</v>
      </c>
      <c r="CK5">
        <f t="shared" ref="CK5:CK16" si="25">AVERAGE(AA5:AK5)</f>
        <v>170.94444444444449</v>
      </c>
      <c r="CL5">
        <f t="shared" ref="CL5:CL16" si="26">AVERAGE(AB5:AL5)</f>
        <v>152.73333333333341</v>
      </c>
      <c r="CM5">
        <f t="shared" ref="CM5:CM16" si="27">AVERAGE(AC5:AM5)</f>
        <v>137.16666666666674</v>
      </c>
      <c r="CN5">
        <f t="shared" ref="CN5:CN16" si="28">AVERAGE(AD5:AN5)</f>
        <v>139.55555555555566</v>
      </c>
      <c r="CO5">
        <f t="shared" ref="CO5:CO16" si="29">AVERAGE(AE5:AO5)</f>
        <v>136.33333333333348</v>
      </c>
      <c r="CP5">
        <f t="shared" ref="CP5:CP16" si="30">AVERAGE(AF5:AP5)</f>
        <v>109</v>
      </c>
      <c r="CQ5">
        <f t="shared" ref="CQ5:CQ16" si="31">AVERAGE(AG5:AQ5)</f>
        <v>109</v>
      </c>
      <c r="CR5" t="e">
        <f t="shared" ref="CR5:DF5" si="32">AVERAGE(AI5:AR5)</f>
        <v>#DIV/0!</v>
      </c>
      <c r="CS5" t="e">
        <f t="shared" si="32"/>
        <v>#DIV/0!</v>
      </c>
      <c r="CT5" t="e">
        <f t="shared" si="32"/>
        <v>#DIV/0!</v>
      </c>
      <c r="CU5" t="e">
        <f t="shared" si="32"/>
        <v>#DIV/0!</v>
      </c>
      <c r="CV5" t="e">
        <f t="shared" si="32"/>
        <v>#DIV/0!</v>
      </c>
      <c r="CW5" t="e">
        <f t="shared" si="32"/>
        <v>#DIV/0!</v>
      </c>
      <c r="CX5" t="e">
        <f t="shared" si="32"/>
        <v>#DIV/0!</v>
      </c>
      <c r="CY5" t="e">
        <f t="shared" si="32"/>
        <v>#DIV/0!</v>
      </c>
      <c r="CZ5" t="e">
        <f t="shared" si="32"/>
        <v>#DIV/0!</v>
      </c>
      <c r="DA5" t="e">
        <f t="shared" si="32"/>
        <v>#DIV/0!</v>
      </c>
      <c r="DB5" t="e">
        <f t="shared" si="32"/>
        <v>#DIV/0!</v>
      </c>
      <c r="DC5" t="e">
        <f t="shared" si="32"/>
        <v>#N/A</v>
      </c>
      <c r="DD5" t="e">
        <f t="shared" si="32"/>
        <v>#N/A</v>
      </c>
      <c r="DE5" t="e">
        <f t="shared" si="32"/>
        <v>#N/A</v>
      </c>
      <c r="DF5" t="e">
        <f t="shared" si="32"/>
        <v>#N/A</v>
      </c>
    </row>
    <row r="6" spans="1:113" ht="20" customHeight="1" x14ac:dyDescent="0.2">
      <c r="A6" s="7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>
        <v>114</v>
      </c>
      <c r="N6" s="14"/>
      <c r="O6" s="14"/>
      <c r="P6" s="14"/>
      <c r="Q6" s="14"/>
      <c r="R6" s="14">
        <v>74</v>
      </c>
      <c r="S6" s="14"/>
      <c r="T6" s="14"/>
      <c r="U6" s="15">
        <v>129</v>
      </c>
      <c r="V6" s="15"/>
      <c r="W6" s="15">
        <v>202</v>
      </c>
      <c r="X6" s="15">
        <v>76</v>
      </c>
      <c r="Y6" s="15">
        <v>62</v>
      </c>
      <c r="Z6" s="15">
        <v>98</v>
      </c>
      <c r="AA6" s="15">
        <v>230</v>
      </c>
      <c r="AB6" s="15">
        <v>196</v>
      </c>
      <c r="AC6" s="15">
        <v>174</v>
      </c>
      <c r="AD6" s="15">
        <v>155</v>
      </c>
      <c r="AE6" s="134">
        <v>175</v>
      </c>
      <c r="AF6" s="124"/>
      <c r="AG6" s="124">
        <f>100+22</f>
        <v>122</v>
      </c>
      <c r="AH6" s="191">
        <f>(2+3+2+1+1+2+4+1+2+1+2+1+2+1+1+3+1)+(2+2+5+2+2+2+2+1+2+2+1+1+3+1+1+1+1+1+6)+(1+1+1+2+2+2+4+2+1+2+2+2+3+5+3+1+2+2+3+1)+(3+2+6+1+2+2+1+1+2+1+1+3+1+2+2+2+2+1)+(1)</f>
        <v>146</v>
      </c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f t="shared" si="0"/>
        <v>#DIV/0!</v>
      </c>
      <c r="BL6" t="e">
        <f t="shared" si="1"/>
        <v>#DIV/0!</v>
      </c>
      <c r="BM6">
        <f t="shared" si="2"/>
        <v>114</v>
      </c>
      <c r="BN6">
        <f t="shared" si="3"/>
        <v>114</v>
      </c>
      <c r="BO6">
        <f t="shared" si="4"/>
        <v>114</v>
      </c>
      <c r="BP6">
        <f t="shared" si="5"/>
        <v>114</v>
      </c>
      <c r="BQ6">
        <f t="shared" si="6"/>
        <v>114</v>
      </c>
      <c r="BR6">
        <f t="shared" si="7"/>
        <v>94</v>
      </c>
      <c r="BS6">
        <f t="shared" si="8"/>
        <v>94</v>
      </c>
      <c r="BT6">
        <f t="shared" si="9"/>
        <v>94</v>
      </c>
      <c r="BU6">
        <f t="shared" si="10"/>
        <v>105.66666666666667</v>
      </c>
      <c r="BV6">
        <f t="shared" si="11"/>
        <v>105.66666666666667</v>
      </c>
      <c r="BW6">
        <f t="shared" si="12"/>
        <v>135</v>
      </c>
      <c r="BX6">
        <f t="shared" si="13"/>
        <v>120.25</v>
      </c>
      <c r="BY6">
        <f t="shared" si="14"/>
        <v>108.6</v>
      </c>
      <c r="BZ6" s="194">
        <f>(2+4+1+2+2+2+1+1+2+1)+(1+1+3)+(2+2+2+1+1+2+1+2+6+3+5+2+6+3+1+2+1+2+4)+(2+1+2+3+1+2+1+3+1+2+2+4+1+1+4+1)+(2+2+1+1+2+2+10+3+3+2+3+1+1+1+1+3+3+1+2)+(2+2+2+2+1+2+1+2+2)</f>
        <v>162</v>
      </c>
      <c r="CA6">
        <f t="shared" si="15"/>
        <v>106.83333333333333</v>
      </c>
      <c r="CB6">
        <f t="shared" si="16"/>
        <v>124.42857142857143</v>
      </c>
      <c r="CC6">
        <f t="shared" si="17"/>
        <v>141.85714285714286</v>
      </c>
      <c r="CD6">
        <f t="shared" si="18"/>
        <v>145.875</v>
      </c>
      <c r="CE6">
        <f t="shared" si="19"/>
        <v>146.88888888888889</v>
      </c>
      <c r="CF6">
        <f t="shared" si="20"/>
        <v>152</v>
      </c>
      <c r="CG6">
        <f t="shared" si="21"/>
        <v>152</v>
      </c>
      <c r="CH6">
        <f t="shared" si="22"/>
        <v>143.11111111111111</v>
      </c>
      <c r="CI6">
        <f t="shared" si="23"/>
        <v>150.88888888888889</v>
      </c>
      <c r="CJ6">
        <f t="shared" si="24"/>
        <v>162</v>
      </c>
      <c r="CK6">
        <f t="shared" si="25"/>
        <v>171.14285714285714</v>
      </c>
      <c r="CL6">
        <f t="shared" si="26"/>
        <v>161.33333333333334</v>
      </c>
      <c r="CM6">
        <f t="shared" si="27"/>
        <v>154.4</v>
      </c>
      <c r="CN6">
        <f t="shared" si="28"/>
        <v>149.5</v>
      </c>
      <c r="CO6">
        <f t="shared" si="29"/>
        <v>147.66666666666666</v>
      </c>
      <c r="CP6">
        <f t="shared" si="30"/>
        <v>134</v>
      </c>
      <c r="CQ6">
        <f t="shared" si="31"/>
        <v>134</v>
      </c>
      <c r="CR6" t="e">
        <f t="shared" ref="CR6:CR16" si="33">AVERAGE(AI6:AR6)</f>
        <v>#DIV/0!</v>
      </c>
      <c r="CS6" t="e">
        <f t="shared" ref="CS6:CS16" si="34">AVERAGE(AJ6:AS6)</f>
        <v>#DIV/0!</v>
      </c>
      <c r="CT6" t="e">
        <f t="shared" ref="CT6:CT16" si="35">AVERAGE(AK6:AT6)</f>
        <v>#DIV/0!</v>
      </c>
      <c r="CU6" t="e">
        <f t="shared" ref="CU6:CU16" si="36">AVERAGE(AL6:AU6)</f>
        <v>#DIV/0!</v>
      </c>
      <c r="CV6" t="e">
        <f t="shared" ref="CV6:CV16" si="37">AVERAGE(AM6:AV6)</f>
        <v>#DIV/0!</v>
      </c>
      <c r="CW6" t="e">
        <f t="shared" ref="CW6:CW16" si="38">AVERAGE(AN6:AW6)</f>
        <v>#DIV/0!</v>
      </c>
      <c r="CX6" t="e">
        <f t="shared" ref="CX6:CX16" si="39">AVERAGE(AO6:AX6)</f>
        <v>#DIV/0!</v>
      </c>
      <c r="CY6" t="e">
        <f t="shared" ref="CY6:CY16" si="40">AVERAGE(AP6:AY6)</f>
        <v>#DIV/0!</v>
      </c>
      <c r="CZ6" t="e">
        <f t="shared" ref="CZ6:CZ16" si="41">AVERAGE(AQ6:AZ6)</f>
        <v>#DIV/0!</v>
      </c>
      <c r="DA6" t="e">
        <f t="shared" ref="DA6:DA16" si="42">AVERAGE(AR6:BA6)</f>
        <v>#DIV/0!</v>
      </c>
      <c r="DB6" t="e">
        <f t="shared" ref="DB6:DB16" si="43">AVERAGE(AS6:BB6)</f>
        <v>#N/A</v>
      </c>
      <c r="DC6" t="e">
        <f t="shared" ref="DC6:DC16" si="44">AVERAGE(AT6:BC6)</f>
        <v>#N/A</v>
      </c>
      <c r="DD6" t="e">
        <f t="shared" ref="DD6:DD16" si="45">AVERAGE(AU6:BD6)</f>
        <v>#N/A</v>
      </c>
      <c r="DE6" t="e">
        <f t="shared" ref="DE6:DE16" si="46">AVERAGE(AV6:BE6)</f>
        <v>#N/A</v>
      </c>
      <c r="DF6" t="e">
        <f t="shared" ref="DF6:DF16" si="47">AVERAGE(AW6:BF6)</f>
        <v>#N/A</v>
      </c>
      <c r="DI6" s="10"/>
    </row>
    <row r="7" spans="1:113" s="10" customFormat="1" ht="20" customHeight="1" x14ac:dyDescent="0.2">
      <c r="A7" s="9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>
        <v>63</v>
      </c>
      <c r="N7" s="16"/>
      <c r="O7" s="16"/>
      <c r="P7" s="16"/>
      <c r="Q7" s="16"/>
      <c r="R7" s="16">
        <v>103</v>
      </c>
      <c r="S7" s="16"/>
      <c r="T7" s="16"/>
      <c r="U7" s="17">
        <v>157</v>
      </c>
      <c r="V7" s="17"/>
      <c r="W7" s="17">
        <v>239</v>
      </c>
      <c r="X7" s="17">
        <v>196</v>
      </c>
      <c r="Y7" s="17">
        <v>93</v>
      </c>
      <c r="Z7" s="17">
        <v>92</v>
      </c>
      <c r="AA7" s="17">
        <v>430</v>
      </c>
      <c r="AB7" s="17">
        <v>113</v>
      </c>
      <c r="AC7" s="17">
        <v>359</v>
      </c>
      <c r="AD7" s="17">
        <v>282</v>
      </c>
      <c r="AE7" s="99">
        <v>251.33333333333334</v>
      </c>
      <c r="AG7" s="10">
        <f>9+32+28+37</f>
        <v>106</v>
      </c>
      <c r="AH7" s="193">
        <f>(1+1)+(1+3+9+2+1+2+1+2+1+1+2+2+4+2+1+1+2+2+2+1)+(3+2+4+2+2+2+4+2+1+1+2+1+2+3+1+2+1+2+1+4)+(1+1+2+1+2+3+2+1+1+1+1+2+1+3+1+1+3)+(2+1+1+2+1)+(2+6+4)</f>
        <v>132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f t="shared" si="0"/>
        <v>#DIV/0!</v>
      </c>
      <c r="BL7" t="e">
        <f t="shared" si="1"/>
        <v>#DIV/0!</v>
      </c>
      <c r="BM7">
        <f t="shared" si="2"/>
        <v>63</v>
      </c>
      <c r="BN7">
        <f t="shared" si="3"/>
        <v>63</v>
      </c>
      <c r="BO7">
        <f t="shared" si="4"/>
        <v>63</v>
      </c>
      <c r="BP7">
        <f t="shared" si="5"/>
        <v>63</v>
      </c>
      <c r="BQ7">
        <f t="shared" si="6"/>
        <v>63</v>
      </c>
      <c r="BR7">
        <f t="shared" si="7"/>
        <v>83</v>
      </c>
      <c r="BS7">
        <f t="shared" si="8"/>
        <v>83</v>
      </c>
      <c r="BT7">
        <f t="shared" si="9"/>
        <v>83</v>
      </c>
      <c r="BU7">
        <f t="shared" si="10"/>
        <v>107.66666666666667</v>
      </c>
      <c r="BV7">
        <f t="shared" si="11"/>
        <v>107.66666666666667</v>
      </c>
      <c r="BW7">
        <f t="shared" si="12"/>
        <v>166.33333333333334</v>
      </c>
      <c r="BX7">
        <f t="shared" si="13"/>
        <v>173.75</v>
      </c>
      <c r="BY7">
        <f t="shared" si="14"/>
        <v>157.6</v>
      </c>
      <c r="BZ7" s="194">
        <f>(1+2+2+2+1)+(3+2+3+4+2+1+1+1+1+2)+(2+1+1+1+2+1+2+2+1+2+1+9+2+1+1+2+1+1)+(3+1+1+1+2+4+1+2+1+2+3+4+2+1+2+2+1+1)+(2+3+6+2+1+2+1+1+1+1+2+1+2)</f>
        <v>120</v>
      </c>
      <c r="CA7">
        <f t="shared" si="15"/>
        <v>146.66666666666666</v>
      </c>
      <c r="CB7">
        <f t="shared" si="16"/>
        <v>187.14285714285714</v>
      </c>
      <c r="CC7">
        <f t="shared" si="17"/>
        <v>188.57142857142858</v>
      </c>
      <c r="CD7">
        <f t="shared" si="18"/>
        <v>209.875</v>
      </c>
      <c r="CE7">
        <f t="shared" si="19"/>
        <v>217.88888888888889</v>
      </c>
      <c r="CF7">
        <f t="shared" si="20"/>
        <v>228.37037037037038</v>
      </c>
      <c r="CG7">
        <f t="shared" si="21"/>
        <v>228.37037037037038</v>
      </c>
      <c r="CH7">
        <f t="shared" si="22"/>
        <v>213.59259259259258</v>
      </c>
      <c r="CI7">
        <f t="shared" si="23"/>
        <v>206.48148148148147</v>
      </c>
      <c r="CJ7">
        <f t="shared" si="24"/>
        <v>220.66666666666666</v>
      </c>
      <c r="CK7">
        <f t="shared" si="25"/>
        <v>239.04761904761904</v>
      </c>
      <c r="CL7">
        <f t="shared" si="26"/>
        <v>207.22222222222226</v>
      </c>
      <c r="CM7">
        <f t="shared" si="27"/>
        <v>226.06666666666669</v>
      </c>
      <c r="CN7">
        <f t="shared" si="28"/>
        <v>192.83333333333334</v>
      </c>
      <c r="CO7">
        <f t="shared" si="29"/>
        <v>163.11111111111111</v>
      </c>
      <c r="CP7">
        <f t="shared" si="30"/>
        <v>119</v>
      </c>
      <c r="CQ7">
        <f t="shared" si="31"/>
        <v>119</v>
      </c>
      <c r="CR7" t="e">
        <f t="shared" si="33"/>
        <v>#DIV/0!</v>
      </c>
      <c r="CS7" t="e">
        <f t="shared" si="34"/>
        <v>#DIV/0!</v>
      </c>
      <c r="CT7" t="e">
        <f t="shared" si="35"/>
        <v>#DIV/0!</v>
      </c>
      <c r="CU7" t="e">
        <f t="shared" si="36"/>
        <v>#DIV/0!</v>
      </c>
      <c r="CV7" t="e">
        <f t="shared" si="37"/>
        <v>#DIV/0!</v>
      </c>
      <c r="CW7" t="e">
        <f t="shared" si="38"/>
        <v>#DIV/0!</v>
      </c>
      <c r="CX7" t="e">
        <f t="shared" si="39"/>
        <v>#DIV/0!</v>
      </c>
      <c r="CY7" t="e">
        <f t="shared" si="40"/>
        <v>#DIV/0!</v>
      </c>
      <c r="CZ7" t="e">
        <f t="shared" si="41"/>
        <v>#DIV/0!</v>
      </c>
      <c r="DA7" t="e">
        <f t="shared" si="42"/>
        <v>#DIV/0!</v>
      </c>
      <c r="DB7" t="e">
        <f t="shared" si="43"/>
        <v>#N/A</v>
      </c>
      <c r="DC7" t="e">
        <f t="shared" si="44"/>
        <v>#N/A</v>
      </c>
      <c r="DD7" t="e">
        <f t="shared" si="45"/>
        <v>#N/A</v>
      </c>
      <c r="DE7" t="e">
        <f t="shared" si="46"/>
        <v>#N/A</v>
      </c>
      <c r="DF7" t="e">
        <f t="shared" si="47"/>
        <v>#N/A</v>
      </c>
    </row>
    <row r="8" spans="1:113" ht="20" customHeight="1" x14ac:dyDescent="0.2">
      <c r="A8" s="7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>
        <v>67</v>
      </c>
      <c r="N8" s="14"/>
      <c r="O8" s="14"/>
      <c r="P8" s="14"/>
      <c r="Q8" s="14"/>
      <c r="R8" s="14">
        <v>259</v>
      </c>
      <c r="S8" s="14"/>
      <c r="T8" s="14"/>
      <c r="U8" s="15">
        <v>188</v>
      </c>
      <c r="V8" s="15"/>
      <c r="W8" s="15">
        <v>238</v>
      </c>
      <c r="X8" s="15">
        <v>388</v>
      </c>
      <c r="Y8" s="15">
        <v>283</v>
      </c>
      <c r="Z8" s="15">
        <v>257</v>
      </c>
      <c r="AA8" s="15">
        <v>393</v>
      </c>
      <c r="AB8" s="15">
        <v>386</v>
      </c>
      <c r="AC8" s="15">
        <v>368</v>
      </c>
      <c r="AD8" s="15">
        <v>425</v>
      </c>
      <c r="AE8" s="134">
        <v>393</v>
      </c>
      <c r="AF8" s="124"/>
      <c r="AG8" s="124">
        <f>34+26+42+26+21</f>
        <v>149</v>
      </c>
      <c r="AH8" s="191">
        <f>(1+1+1+1+2+1+1+6+2+3+2+2+2+2+7)+(1+2+4+4+2+1+1+4+1+2+1+1+1+4+1+3+2+3+1)+(5+2)+(2+2+1+2+1+1+1+2+2+4+1+5+2+1+6+2+1)+(1+1+2+2+2+1+3+3+2+1+2+1+1+2+1+1+2+1+2)+(1+2+1+1+1+1+2+2+1+5+2+1+1+2+1+2)+(1+1+2+2+1+1+6+1+1+1+1+2+2+2+2+1+2+2+1)+(6+2+2+1+1+1+2+1+1+2+2+1+2+2+1+3+2)+(1+2+2+1+3+1+5+2)</f>
        <v>254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f t="shared" si="0"/>
        <v>#DIV/0!</v>
      </c>
      <c r="BL8" t="e">
        <f t="shared" si="1"/>
        <v>#DIV/0!</v>
      </c>
      <c r="BM8">
        <f t="shared" si="2"/>
        <v>67</v>
      </c>
      <c r="BN8">
        <f t="shared" si="3"/>
        <v>67</v>
      </c>
      <c r="BO8">
        <f t="shared" si="4"/>
        <v>67</v>
      </c>
      <c r="BP8">
        <f t="shared" si="5"/>
        <v>67</v>
      </c>
      <c r="BQ8">
        <f t="shared" si="6"/>
        <v>67</v>
      </c>
      <c r="BR8">
        <f t="shared" si="7"/>
        <v>163</v>
      </c>
      <c r="BS8">
        <f t="shared" si="8"/>
        <v>163</v>
      </c>
      <c r="BT8">
        <f t="shared" si="9"/>
        <v>163</v>
      </c>
      <c r="BU8">
        <f t="shared" si="10"/>
        <v>171.33333333333334</v>
      </c>
      <c r="BV8">
        <f t="shared" si="11"/>
        <v>171.33333333333334</v>
      </c>
      <c r="BW8">
        <f t="shared" si="12"/>
        <v>228.33333333333334</v>
      </c>
      <c r="BX8">
        <f t="shared" si="13"/>
        <v>268.25</v>
      </c>
      <c r="BY8">
        <f t="shared" si="14"/>
        <v>271.2</v>
      </c>
      <c r="BZ8" s="194">
        <f>(2)+(2+2+1+2+1+1+1)+(1+4+4+2+1+2+10+1+2+2+1+1+2+1+1+2+1+1+2)+(2+2+1+3+1+2+2+6+2+1+1+2+3+1+3+1+1+3+3)+(4+4+6+2+1+2+2+2+1+2+4+1+1+2+2+1+4)+(1+3+1+2+1+2+2+1+4+2+2+1+2+2+1+12+2+4+2+1)+(1+2+2+1+1+2+5+1+1+2+4+1+3+4)+(2+41+2)+(2)</f>
        <v>259</v>
      </c>
      <c r="CA8">
        <f t="shared" si="15"/>
        <v>268.83333333333331</v>
      </c>
      <c r="CB8">
        <f t="shared" si="16"/>
        <v>286.57142857142856</v>
      </c>
      <c r="CC8">
        <f t="shared" si="17"/>
        <v>304.71428571428572</v>
      </c>
      <c r="CD8">
        <f t="shared" si="18"/>
        <v>312.625</v>
      </c>
      <c r="CE8">
        <f t="shared" si="19"/>
        <v>325.11111111111109</v>
      </c>
      <c r="CF8">
        <f t="shared" si="20"/>
        <v>347.88888888888891</v>
      </c>
      <c r="CG8">
        <f t="shared" si="21"/>
        <v>347.88888888888891</v>
      </c>
      <c r="CH8">
        <f t="shared" si="22"/>
        <v>338</v>
      </c>
      <c r="CI8">
        <f t="shared" si="23"/>
        <v>323.11111111111109</v>
      </c>
      <c r="CJ8">
        <f t="shared" si="24"/>
        <v>328.125</v>
      </c>
      <c r="CK8">
        <f t="shared" si="25"/>
        <v>338.28571428571428</v>
      </c>
      <c r="CL8">
        <f t="shared" si="26"/>
        <v>329.16666666666669</v>
      </c>
      <c r="CM8">
        <f t="shared" si="27"/>
        <v>317.8</v>
      </c>
      <c r="CN8">
        <f t="shared" si="28"/>
        <v>305.25</v>
      </c>
      <c r="CO8">
        <f t="shared" si="29"/>
        <v>265.33333333333331</v>
      </c>
      <c r="CP8">
        <f t="shared" si="30"/>
        <v>201.5</v>
      </c>
      <c r="CQ8">
        <f t="shared" si="31"/>
        <v>201.5</v>
      </c>
      <c r="CR8" t="e">
        <f t="shared" si="33"/>
        <v>#DIV/0!</v>
      </c>
      <c r="CS8" t="e">
        <f t="shared" si="34"/>
        <v>#DIV/0!</v>
      </c>
      <c r="CT8" t="e">
        <f t="shared" si="35"/>
        <v>#DIV/0!</v>
      </c>
      <c r="CU8" t="e">
        <f t="shared" si="36"/>
        <v>#DIV/0!</v>
      </c>
      <c r="CV8" t="e">
        <f t="shared" si="37"/>
        <v>#DIV/0!</v>
      </c>
      <c r="CW8" t="e">
        <f t="shared" si="38"/>
        <v>#DIV/0!</v>
      </c>
      <c r="CX8" t="e">
        <f t="shared" si="39"/>
        <v>#DIV/0!</v>
      </c>
      <c r="CY8" t="e">
        <f t="shared" si="40"/>
        <v>#DIV/0!</v>
      </c>
      <c r="CZ8" t="e">
        <f t="shared" si="41"/>
        <v>#DIV/0!</v>
      </c>
      <c r="DA8" t="e">
        <f t="shared" si="42"/>
        <v>#DIV/0!</v>
      </c>
      <c r="DB8" t="e">
        <f t="shared" si="43"/>
        <v>#N/A</v>
      </c>
      <c r="DC8" t="e">
        <f t="shared" si="44"/>
        <v>#N/A</v>
      </c>
      <c r="DD8" t="e">
        <f t="shared" si="45"/>
        <v>#N/A</v>
      </c>
      <c r="DE8" t="e">
        <f t="shared" si="46"/>
        <v>#N/A</v>
      </c>
      <c r="DF8" t="e">
        <f t="shared" si="47"/>
        <v>#N/A</v>
      </c>
      <c r="DI8" s="10"/>
    </row>
    <row r="9" spans="1:113" s="10" customFormat="1" ht="20" customHeight="1" x14ac:dyDescent="0.2">
      <c r="A9" s="9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>
        <v>76</v>
      </c>
      <c r="N9" s="16"/>
      <c r="O9" s="16"/>
      <c r="P9" s="16"/>
      <c r="Q9" s="16"/>
      <c r="R9" s="16">
        <v>235</v>
      </c>
      <c r="S9" s="16"/>
      <c r="T9" s="16"/>
      <c r="U9" s="17">
        <v>140</v>
      </c>
      <c r="V9" s="17"/>
      <c r="W9" s="17">
        <v>194</v>
      </c>
      <c r="X9" s="17">
        <v>253</v>
      </c>
      <c r="Y9" s="17">
        <v>225</v>
      </c>
      <c r="Z9" s="17">
        <v>308</v>
      </c>
      <c r="AA9" s="17">
        <v>219</v>
      </c>
      <c r="AB9" s="17">
        <v>305</v>
      </c>
      <c r="AC9" s="17">
        <v>306</v>
      </c>
      <c r="AD9" s="17">
        <v>321</v>
      </c>
      <c r="AE9" s="99">
        <v>310.66666666666669</v>
      </c>
      <c r="AG9" s="10">
        <f>11+35+27+33+31+28</f>
        <v>165</v>
      </c>
      <c r="AH9" s="193">
        <f>(1+1+1)+(1+2+1+2+1+1+2+1+1+3+5+2+2+1+2+3+2+2+1)+(1+2+3+2+2+11+2+1+1+1+1+1+2+2+1+1+2+1+1+1)+(2+1+2+2+1+1+3+1+1+2+1+3+3+2+3+4)+(2+2+1+2+2+2+1+2+1+2+1+3+2+1+2+1+1+2+1)+(2+2+1+2+1+2+1+2+2+2+1+2+4+3+1+2+1+2)+(4+1+1+1+2+1+3+3+4+1+2+3+2+1+3+1)+(2+5+1+3+2+2)</f>
        <v>221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f t="shared" si="0"/>
        <v>#DIV/0!</v>
      </c>
      <c r="BL9" t="e">
        <f t="shared" si="1"/>
        <v>#DIV/0!</v>
      </c>
      <c r="BM9">
        <f t="shared" si="2"/>
        <v>76</v>
      </c>
      <c r="BN9">
        <f t="shared" si="3"/>
        <v>76</v>
      </c>
      <c r="BO9">
        <f t="shared" si="4"/>
        <v>76</v>
      </c>
      <c r="BP9">
        <f t="shared" si="5"/>
        <v>76</v>
      </c>
      <c r="BQ9">
        <f t="shared" si="6"/>
        <v>76</v>
      </c>
      <c r="BR9">
        <f t="shared" si="7"/>
        <v>155.5</v>
      </c>
      <c r="BS9">
        <f t="shared" si="8"/>
        <v>155.5</v>
      </c>
      <c r="BT9">
        <f t="shared" si="9"/>
        <v>155.5</v>
      </c>
      <c r="BU9">
        <f t="shared" si="10"/>
        <v>150.33333333333334</v>
      </c>
      <c r="BV9">
        <f t="shared" si="11"/>
        <v>150.33333333333334</v>
      </c>
      <c r="BW9">
        <f t="shared" si="12"/>
        <v>189.66666666666666</v>
      </c>
      <c r="BX9">
        <f t="shared" si="13"/>
        <v>205.5</v>
      </c>
      <c r="BY9">
        <f t="shared" si="14"/>
        <v>209.4</v>
      </c>
      <c r="BZ9" s="194">
        <f>(1+1)+(2+1+1+3+1+2)+(5+2+2+2+1+5+2+4+2+2+1+1+1+1+2+3+2+4+2)+(11+2+2+2+1+2+1+2+2+2+1+1+2+1+1+4+1+1+2)+(1+8+1+1+1+2+2+2+1+1+5+1+3+4+3+1+2+4)+(2+4+5)+(2+2+1+2+1+1+1+1+1+1+1+1+2+2+1)+(3+1+2+1+1+1+2+1+3+1)+(2+1)+(2)</f>
        <v>192</v>
      </c>
      <c r="CA9">
        <f t="shared" si="15"/>
        <v>225.83333333333334</v>
      </c>
      <c r="CB9">
        <f t="shared" si="16"/>
        <v>224.85714285714286</v>
      </c>
      <c r="CC9">
        <f t="shared" si="17"/>
        <v>234.85714285714286</v>
      </c>
      <c r="CD9">
        <f t="shared" si="18"/>
        <v>243.75</v>
      </c>
      <c r="CE9">
        <f t="shared" si="19"/>
        <v>252.33333333333334</v>
      </c>
      <c r="CF9">
        <f t="shared" si="20"/>
        <v>271.2962962962963</v>
      </c>
      <c r="CG9">
        <f t="shared" si="21"/>
        <v>271.2962962962963</v>
      </c>
      <c r="CH9">
        <f t="shared" si="22"/>
        <v>268.07407407407408</v>
      </c>
      <c r="CI9">
        <f t="shared" si="23"/>
        <v>264.51851851851853</v>
      </c>
      <c r="CJ9">
        <f t="shared" si="24"/>
        <v>269.45833333333337</v>
      </c>
      <c r="CK9">
        <f t="shared" si="25"/>
        <v>263.95238095238096</v>
      </c>
      <c r="CL9">
        <f t="shared" si="26"/>
        <v>271.44444444444446</v>
      </c>
      <c r="CM9">
        <f t="shared" si="27"/>
        <v>264.73333333333335</v>
      </c>
      <c r="CN9">
        <f t="shared" si="28"/>
        <v>254.41666666666669</v>
      </c>
      <c r="CO9">
        <f t="shared" si="29"/>
        <v>232.22222222222226</v>
      </c>
      <c r="CP9">
        <f t="shared" si="30"/>
        <v>193</v>
      </c>
      <c r="CQ9">
        <f t="shared" si="31"/>
        <v>193</v>
      </c>
      <c r="CR9" t="e">
        <f t="shared" si="33"/>
        <v>#DIV/0!</v>
      </c>
      <c r="CS9" t="e">
        <f t="shared" si="34"/>
        <v>#DIV/0!</v>
      </c>
      <c r="CT9" t="e">
        <f t="shared" si="35"/>
        <v>#DIV/0!</v>
      </c>
      <c r="CU9" t="e">
        <f t="shared" si="36"/>
        <v>#DIV/0!</v>
      </c>
      <c r="CV9" t="e">
        <f t="shared" si="37"/>
        <v>#DIV/0!</v>
      </c>
      <c r="CW9" t="e">
        <f t="shared" si="38"/>
        <v>#DIV/0!</v>
      </c>
      <c r="CX9" t="e">
        <f t="shared" si="39"/>
        <v>#DIV/0!</v>
      </c>
      <c r="CY9" t="e">
        <f t="shared" si="40"/>
        <v>#DIV/0!</v>
      </c>
      <c r="CZ9" t="e">
        <f t="shared" si="41"/>
        <v>#DIV/0!</v>
      </c>
      <c r="DA9" t="e">
        <f t="shared" si="42"/>
        <v>#DIV/0!</v>
      </c>
      <c r="DB9" t="e">
        <f t="shared" si="43"/>
        <v>#N/A</v>
      </c>
      <c r="DC9" t="e">
        <f t="shared" si="44"/>
        <v>#N/A</v>
      </c>
      <c r="DD9" t="e">
        <f t="shared" si="45"/>
        <v>#N/A</v>
      </c>
      <c r="DE9" t="e">
        <f t="shared" si="46"/>
        <v>#N/A</v>
      </c>
      <c r="DF9" t="e">
        <f t="shared" si="47"/>
        <v>#N/A</v>
      </c>
    </row>
    <row r="10" spans="1:113" ht="20" customHeight="1" x14ac:dyDescent="0.2">
      <c r="A10" s="7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>
        <v>81</v>
      </c>
      <c r="N10" s="14"/>
      <c r="O10" s="14"/>
      <c r="P10" s="14"/>
      <c r="Q10" s="14">
        <v>96</v>
      </c>
      <c r="R10" s="14">
        <v>155</v>
      </c>
      <c r="S10" s="14"/>
      <c r="T10" s="14"/>
      <c r="U10" s="15">
        <v>124</v>
      </c>
      <c r="V10" s="15"/>
      <c r="W10" s="15">
        <v>160</v>
      </c>
      <c r="X10" s="15">
        <v>112</v>
      </c>
      <c r="Y10" s="15">
        <v>245</v>
      </c>
      <c r="Z10" s="15">
        <v>281</v>
      </c>
      <c r="AA10" s="15">
        <v>205</v>
      </c>
      <c r="AB10" s="15">
        <v>256</v>
      </c>
      <c r="AC10" s="15">
        <v>319</v>
      </c>
      <c r="AD10" s="15">
        <v>339</v>
      </c>
      <c r="AE10" s="134">
        <v>304.66666666666669</v>
      </c>
      <c r="AF10" s="124"/>
      <c r="AG10" s="124">
        <f>19+46+22+45+19+29+7</f>
        <v>187</v>
      </c>
      <c r="AH10" s="191">
        <f>(2)+(3+2+2+1+2+1+1+2+1+1+7+2+1+1+1+1+3)+(1+1+2+2+2+1+1+2+1+1+2+1+2+1+1+1)+(2+2+1+9+1+2+1+2+3+1+1+2+1+2+1+2+2)+(3+1+2+3+1+1+1+2+1+1+2+1+2+1)+(2+1+1+2+2+2+2+2+2+4+2+1+1+1+1+1+2)+(2+2)+(1)</f>
        <v>147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f t="shared" si="0"/>
        <v>#DIV/0!</v>
      </c>
      <c r="BL10" t="e">
        <f t="shared" si="1"/>
        <v>#DIV/0!</v>
      </c>
      <c r="BM10">
        <f t="shared" si="2"/>
        <v>81</v>
      </c>
      <c r="BN10">
        <f t="shared" si="3"/>
        <v>81</v>
      </c>
      <c r="BO10">
        <f t="shared" si="4"/>
        <v>81</v>
      </c>
      <c r="BP10">
        <f t="shared" si="5"/>
        <v>81</v>
      </c>
      <c r="BQ10">
        <f t="shared" si="6"/>
        <v>88.5</v>
      </c>
      <c r="BR10">
        <f t="shared" si="7"/>
        <v>110.66666666666667</v>
      </c>
      <c r="BS10">
        <f t="shared" si="8"/>
        <v>110.66666666666667</v>
      </c>
      <c r="BT10">
        <f t="shared" si="9"/>
        <v>110.66666666666667</v>
      </c>
      <c r="BU10">
        <f t="shared" si="10"/>
        <v>114</v>
      </c>
      <c r="BV10">
        <f t="shared" si="11"/>
        <v>114</v>
      </c>
      <c r="BW10">
        <f t="shared" si="12"/>
        <v>133.75</v>
      </c>
      <c r="BX10">
        <f t="shared" si="13"/>
        <v>129.4</v>
      </c>
      <c r="BY10">
        <f t="shared" si="14"/>
        <v>148.66666666666666</v>
      </c>
      <c r="BZ10" s="194">
        <f>(2)+(1+2)+(1+2+3+3+1+2+2+2+1)+(1+1+5+2+1+1+2+1+2+1+2+3+2+1+2+2+2+2)+(1+3+2+1+2+2+2+3+2+2+4+2+1+1+2+1+1+1+1+1)+(2+2+2+4+2+1+1+2+2+1+2+2+2+1+3+4)+(2)</f>
        <v>125</v>
      </c>
      <c r="CA10">
        <f t="shared" si="15"/>
        <v>167.57142857142858</v>
      </c>
      <c r="CB10">
        <f t="shared" si="16"/>
        <v>183.14285714285714</v>
      </c>
      <c r="CC10">
        <f t="shared" si="17"/>
        <v>197.57142857142858</v>
      </c>
      <c r="CD10">
        <f t="shared" si="18"/>
        <v>212.75</v>
      </c>
      <c r="CE10">
        <f t="shared" si="19"/>
        <v>226.77777777777777</v>
      </c>
      <c r="CF10">
        <f t="shared" si="20"/>
        <v>246.85185185185185</v>
      </c>
      <c r="CG10">
        <f t="shared" si="21"/>
        <v>246.85185185185185</v>
      </c>
      <c r="CH10">
        <f t="shared" si="22"/>
        <v>249.85185185185185</v>
      </c>
      <c r="CI10">
        <f t="shared" si="23"/>
        <v>253.74074074074076</v>
      </c>
      <c r="CJ10">
        <f t="shared" si="24"/>
        <v>254.83333333333334</v>
      </c>
      <c r="CK10">
        <f t="shared" si="25"/>
        <v>251.0952380952381</v>
      </c>
      <c r="CL10">
        <f t="shared" si="26"/>
        <v>258.77777777777777</v>
      </c>
      <c r="CM10">
        <f t="shared" si="27"/>
        <v>259.33333333333337</v>
      </c>
      <c r="CN10">
        <f t="shared" si="28"/>
        <v>244.41666666666669</v>
      </c>
      <c r="CO10">
        <f t="shared" si="29"/>
        <v>212.88888888888891</v>
      </c>
      <c r="CP10">
        <f t="shared" si="30"/>
        <v>167</v>
      </c>
      <c r="CQ10">
        <f t="shared" si="31"/>
        <v>167</v>
      </c>
      <c r="CR10" t="e">
        <f t="shared" si="33"/>
        <v>#DIV/0!</v>
      </c>
      <c r="CS10" t="e">
        <f t="shared" si="34"/>
        <v>#DIV/0!</v>
      </c>
      <c r="CT10" t="e">
        <f t="shared" si="35"/>
        <v>#DIV/0!</v>
      </c>
      <c r="CU10" t="e">
        <f t="shared" si="36"/>
        <v>#DIV/0!</v>
      </c>
      <c r="CV10" t="e">
        <f t="shared" si="37"/>
        <v>#DIV/0!</v>
      </c>
      <c r="CW10" t="e">
        <f t="shared" si="38"/>
        <v>#DIV/0!</v>
      </c>
      <c r="CX10" t="e">
        <f t="shared" si="39"/>
        <v>#DIV/0!</v>
      </c>
      <c r="CY10" t="e">
        <f t="shared" si="40"/>
        <v>#DIV/0!</v>
      </c>
      <c r="CZ10" t="e">
        <f t="shared" si="41"/>
        <v>#DIV/0!</v>
      </c>
      <c r="DA10" t="e">
        <f t="shared" si="42"/>
        <v>#DIV/0!</v>
      </c>
      <c r="DB10" t="e">
        <f t="shared" si="43"/>
        <v>#N/A</v>
      </c>
      <c r="DC10" t="e">
        <f t="shared" si="44"/>
        <v>#N/A</v>
      </c>
      <c r="DD10" t="e">
        <f t="shared" si="45"/>
        <v>#N/A</v>
      </c>
      <c r="DE10" t="e">
        <f t="shared" si="46"/>
        <v>#N/A</v>
      </c>
      <c r="DF10" t="e">
        <f t="shared" si="47"/>
        <v>#N/A</v>
      </c>
      <c r="DI10" s="10"/>
    </row>
    <row r="11" spans="1:113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>
        <v>61</v>
      </c>
      <c r="N11" s="16"/>
      <c r="O11" s="16"/>
      <c r="P11" s="16"/>
      <c r="Q11" s="16">
        <v>120</v>
      </c>
      <c r="R11" s="16">
        <v>140</v>
      </c>
      <c r="S11" s="16"/>
      <c r="T11" s="16"/>
      <c r="U11" s="17">
        <v>105</v>
      </c>
      <c r="V11" s="17"/>
      <c r="W11" s="17">
        <v>202</v>
      </c>
      <c r="X11" s="17">
        <v>309</v>
      </c>
      <c r="Y11" s="17">
        <v>194</v>
      </c>
      <c r="Z11" s="17">
        <v>171</v>
      </c>
      <c r="AA11" s="17">
        <v>234</v>
      </c>
      <c r="AB11" s="17">
        <v>304</v>
      </c>
      <c r="AC11" s="17">
        <v>410</v>
      </c>
      <c r="AD11" s="17">
        <v>259</v>
      </c>
      <c r="AE11" s="99">
        <v>324.33333333333331</v>
      </c>
      <c r="AG11" s="10">
        <f>31+37+36+32+43+16</f>
        <v>195</v>
      </c>
      <c r="AH11" s="193">
        <f>(1+2+4+2+5+2+1+4+2+1+2+2+1+6+1+6)+(1+1+1+1+2+2+1+1+2+1+1+1+2+1+1+1+1+1)+(2+2+2+2+1+2+1+2+3+1+1+1+2)+(2)+(1)</f>
        <v>89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f t="shared" si="0"/>
        <v>#DIV/0!</v>
      </c>
      <c r="BL11" t="e">
        <f t="shared" si="1"/>
        <v>#DIV/0!</v>
      </c>
      <c r="BM11">
        <f t="shared" si="2"/>
        <v>61</v>
      </c>
      <c r="BN11">
        <f t="shared" si="3"/>
        <v>61</v>
      </c>
      <c r="BO11">
        <f t="shared" si="4"/>
        <v>61</v>
      </c>
      <c r="BP11">
        <f t="shared" si="5"/>
        <v>61</v>
      </c>
      <c r="BQ11">
        <f t="shared" si="6"/>
        <v>90.5</v>
      </c>
      <c r="BR11">
        <f t="shared" si="7"/>
        <v>107</v>
      </c>
      <c r="BS11">
        <f t="shared" si="8"/>
        <v>107</v>
      </c>
      <c r="BT11">
        <f t="shared" si="9"/>
        <v>107</v>
      </c>
      <c r="BU11">
        <f t="shared" si="10"/>
        <v>106.5</v>
      </c>
      <c r="BV11">
        <f t="shared" si="11"/>
        <v>106.5</v>
      </c>
      <c r="BW11">
        <f t="shared" si="12"/>
        <v>141.75</v>
      </c>
      <c r="BX11">
        <f t="shared" si="13"/>
        <v>175.2</v>
      </c>
      <c r="BY11">
        <f t="shared" si="14"/>
        <v>178.33333333333334</v>
      </c>
      <c r="BZ11" s="194">
        <f>(3+4)+(2+2+2+1)+(2+1)+(3+1+2+5+1+3+1+2+4+3+2+5+1+4+2+1+2)+(2+3+1+2+1+2+1+2+1+2+2+1+1+2+3+1+1+3)+(2+1+2+2+5+2+2+2+1+1+2+1+1+1+1+1+2+1+1+1)+(2+1+1+2+1+1+2+5+2+4+1+3+2)+(3)</f>
        <v>152</v>
      </c>
      <c r="CA11">
        <f t="shared" si="15"/>
        <v>177.28571428571428</v>
      </c>
      <c r="CB11">
        <f t="shared" si="16"/>
        <v>193.57142857142858</v>
      </c>
      <c r="CC11">
        <f t="shared" si="17"/>
        <v>217</v>
      </c>
      <c r="CD11">
        <f t="shared" si="18"/>
        <v>241.125</v>
      </c>
      <c r="CE11">
        <f t="shared" si="19"/>
        <v>243.11111111111111</v>
      </c>
      <c r="CF11">
        <f t="shared" si="20"/>
        <v>267.48148148148152</v>
      </c>
      <c r="CG11">
        <f t="shared" si="21"/>
        <v>267.48148148148152</v>
      </c>
      <c r="CH11">
        <f t="shared" si="22"/>
        <v>266.7037037037037</v>
      </c>
      <c r="CI11">
        <f t="shared" si="23"/>
        <v>242.25925925925924</v>
      </c>
      <c r="CJ11">
        <f t="shared" si="24"/>
        <v>248.29166666666666</v>
      </c>
      <c r="CK11">
        <f t="shared" si="25"/>
        <v>259.33333333333331</v>
      </c>
      <c r="CL11">
        <f t="shared" si="26"/>
        <v>263.55555555555554</v>
      </c>
      <c r="CM11">
        <f t="shared" si="27"/>
        <v>255.46666666666664</v>
      </c>
      <c r="CN11">
        <f t="shared" si="28"/>
        <v>216.83333333333331</v>
      </c>
      <c r="CO11">
        <f t="shared" si="29"/>
        <v>202.77777777777774</v>
      </c>
      <c r="CP11">
        <f t="shared" si="30"/>
        <v>142</v>
      </c>
      <c r="CQ11">
        <f t="shared" si="31"/>
        <v>142</v>
      </c>
      <c r="CR11" t="e">
        <f t="shared" si="33"/>
        <v>#DIV/0!</v>
      </c>
      <c r="CS11" t="e">
        <f t="shared" si="34"/>
        <v>#DIV/0!</v>
      </c>
      <c r="CT11" t="e">
        <f t="shared" si="35"/>
        <v>#DIV/0!</v>
      </c>
      <c r="CU11" t="e">
        <f t="shared" si="36"/>
        <v>#DIV/0!</v>
      </c>
      <c r="CV11" t="e">
        <f t="shared" si="37"/>
        <v>#DIV/0!</v>
      </c>
      <c r="CW11" t="e">
        <f t="shared" si="38"/>
        <v>#DIV/0!</v>
      </c>
      <c r="CX11" t="e">
        <f t="shared" si="39"/>
        <v>#DIV/0!</v>
      </c>
      <c r="CY11" t="e">
        <f t="shared" si="40"/>
        <v>#DIV/0!</v>
      </c>
      <c r="CZ11" t="e">
        <f t="shared" si="41"/>
        <v>#DIV/0!</v>
      </c>
      <c r="DA11" t="e">
        <f t="shared" si="42"/>
        <v>#DIV/0!</v>
      </c>
      <c r="DB11" t="e">
        <f t="shared" si="43"/>
        <v>#N/A</v>
      </c>
      <c r="DC11" t="e">
        <f t="shared" si="44"/>
        <v>#N/A</v>
      </c>
      <c r="DD11" t="e">
        <f t="shared" si="45"/>
        <v>#N/A</v>
      </c>
      <c r="DE11" t="e">
        <f t="shared" si="46"/>
        <v>#N/A</v>
      </c>
      <c r="DF11" t="e">
        <f t="shared" si="47"/>
        <v>#N/A</v>
      </c>
    </row>
    <row r="12" spans="1:113" ht="20" customHeight="1" x14ac:dyDescent="0.2">
      <c r="A12" s="7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>
        <v>0</v>
      </c>
      <c r="N12" s="14"/>
      <c r="O12" s="14"/>
      <c r="P12" s="14"/>
      <c r="Q12" s="14">
        <v>148</v>
      </c>
      <c r="R12" s="14">
        <v>150</v>
      </c>
      <c r="S12" s="14"/>
      <c r="T12" s="14"/>
      <c r="U12" s="15">
        <v>115</v>
      </c>
      <c r="V12" s="15"/>
      <c r="W12" s="15">
        <v>210</v>
      </c>
      <c r="X12" s="15">
        <v>218</v>
      </c>
      <c r="Y12" s="15">
        <v>219</v>
      </c>
      <c r="Z12" s="15">
        <v>299</v>
      </c>
      <c r="AA12" s="15">
        <v>249</v>
      </c>
      <c r="AB12" s="15">
        <v>364</v>
      </c>
      <c r="AC12" s="15">
        <v>184</v>
      </c>
      <c r="AD12" s="15">
        <v>395</v>
      </c>
      <c r="AE12" s="134">
        <v>314.33333333333331</v>
      </c>
      <c r="AF12" s="124"/>
      <c r="AG12" s="124">
        <f>21+46+31+39+35+18</f>
        <v>190</v>
      </c>
      <c r="AH12" s="191">
        <f>(2+1)+(4+5+1+2+1+1+1+1+3+1+1+1+1+1+1+1+2)+(2+1+1+3+2+2+2+3+1+1+2+1+1+2+2+1+1+2+2+1)+(2+1+2+1+1)+(2+2+2+2+1+2+2+1+2+5+1+2+2+2+1)</f>
        <v>100</v>
      </c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K12" t="e">
        <f t="shared" si="0"/>
        <v>#DIV/0!</v>
      </c>
      <c r="BL12" t="e">
        <f t="shared" si="1"/>
        <v>#DIV/0!</v>
      </c>
      <c r="BM12">
        <f t="shared" si="2"/>
        <v>0</v>
      </c>
      <c r="BN12">
        <f t="shared" si="3"/>
        <v>0</v>
      </c>
      <c r="BO12">
        <f t="shared" si="4"/>
        <v>0</v>
      </c>
      <c r="BP12">
        <f t="shared" si="5"/>
        <v>0</v>
      </c>
      <c r="BQ12">
        <f t="shared" si="6"/>
        <v>74</v>
      </c>
      <c r="BR12">
        <f t="shared" si="7"/>
        <v>99.333333333333329</v>
      </c>
      <c r="BS12">
        <f t="shared" si="8"/>
        <v>99.333333333333329</v>
      </c>
      <c r="BT12">
        <f t="shared" si="9"/>
        <v>99.333333333333329</v>
      </c>
      <c r="BU12">
        <f t="shared" si="10"/>
        <v>103.25</v>
      </c>
      <c r="BV12">
        <f t="shared" si="11"/>
        <v>103.25</v>
      </c>
      <c r="BW12">
        <f t="shared" si="12"/>
        <v>155.75</v>
      </c>
      <c r="BX12">
        <f t="shared" si="13"/>
        <v>168.2</v>
      </c>
      <c r="BY12">
        <f t="shared" si="14"/>
        <v>176.66666666666666</v>
      </c>
      <c r="BZ12" s="194">
        <f>(3+2+2+2+2)+(1+2+2)+(1+1+3+2+3+1+2+6+2+12+1+1+3+2+2+2+3)+(5+3+1+3+1+1+4+2+2+2+3+2+5+2+1+3+2)+(1+1+2+2+2+2+2+1+2+1+10+1+2+2+2+6+1+2)+(2+2+1+1+1+1+1+1+2+1+2+2+1+3+1+1+2)+(1+2+19+3+1+2+2+2+1+2+1+2+3+1+2+2+3+1+3)+(1+1+1+1+2+5+1)+(3+2)</f>
        <v>242</v>
      </c>
      <c r="CA12">
        <f t="shared" si="15"/>
        <v>194.14285714285714</v>
      </c>
      <c r="CB12">
        <f t="shared" si="16"/>
        <v>208.57142857142858</v>
      </c>
      <c r="CC12">
        <f t="shared" si="17"/>
        <v>239.14285714285714</v>
      </c>
      <c r="CD12">
        <f t="shared" si="18"/>
        <v>232.25</v>
      </c>
      <c r="CE12">
        <f t="shared" si="19"/>
        <v>250.33333333333334</v>
      </c>
      <c r="CF12">
        <f t="shared" si="20"/>
        <v>272.48148148148152</v>
      </c>
      <c r="CG12">
        <f t="shared" si="21"/>
        <v>272.48148148148152</v>
      </c>
      <c r="CH12">
        <f t="shared" si="22"/>
        <v>270.2592592592593</v>
      </c>
      <c r="CI12">
        <f t="shared" si="23"/>
        <v>257.1481481481481</v>
      </c>
      <c r="CJ12">
        <f t="shared" si="24"/>
        <v>261.91666666666663</v>
      </c>
      <c r="CK12">
        <f t="shared" si="25"/>
        <v>256.61904761904759</v>
      </c>
      <c r="CL12">
        <f t="shared" si="26"/>
        <v>257.88888888888886</v>
      </c>
      <c r="CM12">
        <f t="shared" si="27"/>
        <v>236.66666666666666</v>
      </c>
      <c r="CN12">
        <f t="shared" si="28"/>
        <v>249.83333333333331</v>
      </c>
      <c r="CO12">
        <f t="shared" si="29"/>
        <v>201.44444444444443</v>
      </c>
      <c r="CP12">
        <f t="shared" si="30"/>
        <v>145</v>
      </c>
      <c r="CQ12">
        <f t="shared" si="31"/>
        <v>145</v>
      </c>
      <c r="CR12" t="e">
        <f t="shared" si="33"/>
        <v>#DIV/0!</v>
      </c>
      <c r="CS12" t="e">
        <f t="shared" si="34"/>
        <v>#DIV/0!</v>
      </c>
      <c r="CT12" t="e">
        <f t="shared" si="35"/>
        <v>#DIV/0!</v>
      </c>
      <c r="CU12" t="e">
        <f t="shared" si="36"/>
        <v>#DIV/0!</v>
      </c>
      <c r="CV12" t="e">
        <f t="shared" si="37"/>
        <v>#DIV/0!</v>
      </c>
      <c r="CW12" t="e">
        <f t="shared" si="38"/>
        <v>#DIV/0!</v>
      </c>
      <c r="CX12" t="e">
        <f t="shared" si="39"/>
        <v>#DIV/0!</v>
      </c>
      <c r="CY12" t="e">
        <f t="shared" si="40"/>
        <v>#DIV/0!</v>
      </c>
      <c r="CZ12" t="e">
        <f t="shared" si="41"/>
        <v>#DIV/0!</v>
      </c>
      <c r="DA12" t="e">
        <f t="shared" si="42"/>
        <v>#DIV/0!</v>
      </c>
      <c r="DB12" t="e">
        <f t="shared" si="43"/>
        <v>#N/A</v>
      </c>
      <c r="DC12" t="e">
        <f t="shared" si="44"/>
        <v>#N/A</v>
      </c>
      <c r="DD12" t="e">
        <f t="shared" si="45"/>
        <v>#N/A</v>
      </c>
      <c r="DE12" t="e">
        <f t="shared" si="46"/>
        <v>#N/A</v>
      </c>
      <c r="DF12" t="e">
        <f t="shared" si="47"/>
        <v>#N/A</v>
      </c>
      <c r="DI12" s="10"/>
    </row>
    <row r="13" spans="1:113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>
        <v>2</v>
      </c>
      <c r="N13" s="16"/>
      <c r="O13" s="16"/>
      <c r="P13" s="16"/>
      <c r="Q13" s="16">
        <v>204</v>
      </c>
      <c r="R13" s="16">
        <v>225</v>
      </c>
      <c r="S13" s="16"/>
      <c r="T13" s="16"/>
      <c r="U13" s="17">
        <v>104</v>
      </c>
      <c r="V13" s="17"/>
      <c r="W13" s="17">
        <v>203</v>
      </c>
      <c r="X13" s="17">
        <v>161</v>
      </c>
      <c r="Y13" s="17">
        <v>296</v>
      </c>
      <c r="Z13" s="17">
        <v>262</v>
      </c>
      <c r="AA13" s="17">
        <v>297</v>
      </c>
      <c r="AB13" s="17">
        <v>440</v>
      </c>
      <c r="AC13" s="17">
        <v>300</v>
      </c>
      <c r="AD13" s="17">
        <v>370</v>
      </c>
      <c r="AE13" s="99">
        <v>370</v>
      </c>
      <c r="AG13" s="10">
        <f>4+19+44+40+24+26+29</f>
        <v>186</v>
      </c>
      <c r="AH13" s="193">
        <f>(2+1+2+1+2+1)+(3+3+1+1+2+2+2+1+4+2+1+1+1+1+2+2)+(2+2+2+2+1+1+1+2+1+2+2+2+2+2+1+2+1)+(1+3+2+1+2+1+5+1+1+2+2+2+1+2+1+2+2+1+2+1)+(2+1+1+1+1+1+2+2)+(1)</f>
        <v>113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f t="shared" si="0"/>
        <v>#DIV/0!</v>
      </c>
      <c r="BL13" t="e">
        <f t="shared" si="1"/>
        <v>#DIV/0!</v>
      </c>
      <c r="BM13">
        <f t="shared" si="2"/>
        <v>2</v>
      </c>
      <c r="BN13">
        <f t="shared" si="3"/>
        <v>2</v>
      </c>
      <c r="BO13">
        <f t="shared" si="4"/>
        <v>2</v>
      </c>
      <c r="BP13">
        <f t="shared" si="5"/>
        <v>2</v>
      </c>
      <c r="BQ13">
        <f t="shared" si="6"/>
        <v>103</v>
      </c>
      <c r="BR13">
        <f t="shared" si="7"/>
        <v>143.66666666666666</v>
      </c>
      <c r="BS13">
        <f t="shared" si="8"/>
        <v>143.66666666666666</v>
      </c>
      <c r="BT13">
        <f t="shared" si="9"/>
        <v>143.66666666666666</v>
      </c>
      <c r="BU13">
        <f t="shared" si="10"/>
        <v>133.75</v>
      </c>
      <c r="BV13">
        <f t="shared" si="11"/>
        <v>133.75</v>
      </c>
      <c r="BW13">
        <f t="shared" si="12"/>
        <v>184</v>
      </c>
      <c r="BX13">
        <f t="shared" si="13"/>
        <v>179.4</v>
      </c>
      <c r="BY13">
        <f t="shared" si="14"/>
        <v>198.83333333333334</v>
      </c>
      <c r="BZ13" s="194">
        <f>(2+3+1+4+2+2+2+4+1+2)+(2+2+2+2+2+2+1+1+1+3+2+2+2+2+3+2+1+2+2)+(1+1+2+1+2+4+2+3+2+1+2+2+4+2+2+1+1+1+2)+(1)+(2+2+2)+(4+4+1+2+1+1+1+5+2)+(3+2+2+1+1+2+1+4+2+3+1+1+1)+(2+2)</f>
        <v>151</v>
      </c>
      <c r="CA13">
        <f t="shared" si="15"/>
        <v>207.85714285714286</v>
      </c>
      <c r="CB13">
        <f t="shared" si="16"/>
        <v>221.14285714285714</v>
      </c>
      <c r="CC13">
        <f t="shared" si="17"/>
        <v>251.85714285714286</v>
      </c>
      <c r="CD13">
        <f t="shared" si="18"/>
        <v>257.875</v>
      </c>
      <c r="CE13">
        <f t="shared" si="19"/>
        <v>270.33333333333331</v>
      </c>
      <c r="CF13">
        <f t="shared" si="20"/>
        <v>299.88888888888891</v>
      </c>
      <c r="CG13">
        <f t="shared" si="21"/>
        <v>299.88888888888891</v>
      </c>
      <c r="CH13">
        <f t="shared" si="22"/>
        <v>298</v>
      </c>
      <c r="CI13">
        <f t="shared" si="23"/>
        <v>292.66666666666669</v>
      </c>
      <c r="CJ13">
        <f t="shared" si="24"/>
        <v>292.25</v>
      </c>
      <c r="CK13">
        <f t="shared" si="25"/>
        <v>296.57142857142856</v>
      </c>
      <c r="CL13">
        <f t="shared" si="26"/>
        <v>296.5</v>
      </c>
      <c r="CM13">
        <f t="shared" si="27"/>
        <v>267.8</v>
      </c>
      <c r="CN13">
        <f t="shared" si="28"/>
        <v>259.75</v>
      </c>
      <c r="CO13">
        <f t="shared" si="29"/>
        <v>223</v>
      </c>
      <c r="CP13">
        <f t="shared" si="30"/>
        <v>149.5</v>
      </c>
      <c r="CQ13">
        <f t="shared" si="31"/>
        <v>149.5</v>
      </c>
      <c r="CR13" t="e">
        <f t="shared" si="33"/>
        <v>#DIV/0!</v>
      </c>
      <c r="CS13" t="e">
        <f t="shared" si="34"/>
        <v>#DIV/0!</v>
      </c>
      <c r="CT13" t="e">
        <f t="shared" si="35"/>
        <v>#DIV/0!</v>
      </c>
      <c r="CU13" t="e">
        <f t="shared" si="36"/>
        <v>#DIV/0!</v>
      </c>
      <c r="CV13" t="e">
        <f t="shared" si="37"/>
        <v>#DIV/0!</v>
      </c>
      <c r="CW13" t="e">
        <f t="shared" si="38"/>
        <v>#DIV/0!</v>
      </c>
      <c r="CX13" t="e">
        <f t="shared" si="39"/>
        <v>#DIV/0!</v>
      </c>
      <c r="CY13" t="e">
        <f t="shared" si="40"/>
        <v>#DIV/0!</v>
      </c>
      <c r="CZ13" t="e">
        <f t="shared" si="41"/>
        <v>#DIV/0!</v>
      </c>
      <c r="DA13" t="e">
        <f t="shared" si="42"/>
        <v>#DIV/0!</v>
      </c>
      <c r="DB13" t="e">
        <f t="shared" si="43"/>
        <v>#N/A</v>
      </c>
      <c r="DC13" t="e">
        <f t="shared" si="44"/>
        <v>#N/A</v>
      </c>
      <c r="DD13" t="e">
        <f t="shared" si="45"/>
        <v>#N/A</v>
      </c>
      <c r="DE13" t="e">
        <f t="shared" si="46"/>
        <v>#N/A</v>
      </c>
      <c r="DF13" t="e">
        <f t="shared" si="47"/>
        <v>#N/A</v>
      </c>
    </row>
    <row r="14" spans="1:113" ht="20" customHeight="1" x14ac:dyDescent="0.2">
      <c r="A14" s="7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>
        <v>4</v>
      </c>
      <c r="N14" s="14"/>
      <c r="O14" s="14"/>
      <c r="P14" s="14"/>
      <c r="Q14" s="14">
        <v>220</v>
      </c>
      <c r="R14" s="14">
        <v>223</v>
      </c>
      <c r="S14" s="14"/>
      <c r="T14" s="14"/>
      <c r="U14" s="15">
        <v>295</v>
      </c>
      <c r="V14" s="15"/>
      <c r="W14" s="15">
        <v>202</v>
      </c>
      <c r="X14" s="15">
        <v>142</v>
      </c>
      <c r="Y14" s="15">
        <v>155</v>
      </c>
      <c r="Z14" s="15">
        <v>366</v>
      </c>
      <c r="AA14" s="15">
        <v>366</v>
      </c>
      <c r="AB14" s="15">
        <v>416</v>
      </c>
      <c r="AC14" s="15">
        <v>354</v>
      </c>
      <c r="AD14" s="15">
        <v>375</v>
      </c>
      <c r="AE14" s="134">
        <v>381.66666666666669</v>
      </c>
      <c r="AF14" s="124"/>
      <c r="AG14" s="124">
        <f>35+45+40+37+37+46</f>
        <v>240</v>
      </c>
      <c r="AH14" s="191">
        <f>(2+1+15+2+1+1+3+3+1+1+1)+(1+1+1+1+2+2+3+2+1+1+1+1+2+2+1+2+1+1+2+4)+(3+2+2+1+1+10+1+8+1+1+1+1+1+2+4+2+9+2+1)+(2+2+2+1+1+1+2+2+1+2+1+1+2+4+1+1+1+5+3+2)+(1+2+1+3+2+1+2+4+1+1+1+2+1+1+2+3+2+1+2)+(2+1+2+4+1+2+3+2+2+1+2+2+1+1+1)+(1+1+1)</f>
        <v>216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f t="shared" si="0"/>
        <v>#DIV/0!</v>
      </c>
      <c r="BL14" t="e">
        <f t="shared" si="1"/>
        <v>#DIV/0!</v>
      </c>
      <c r="BM14">
        <f t="shared" si="2"/>
        <v>4</v>
      </c>
      <c r="BN14">
        <f t="shared" si="3"/>
        <v>4</v>
      </c>
      <c r="BO14">
        <f t="shared" si="4"/>
        <v>4</v>
      </c>
      <c r="BP14">
        <f t="shared" si="5"/>
        <v>4</v>
      </c>
      <c r="BQ14">
        <f t="shared" si="6"/>
        <v>112</v>
      </c>
      <c r="BR14">
        <f t="shared" si="7"/>
        <v>149</v>
      </c>
      <c r="BS14">
        <f t="shared" si="8"/>
        <v>149</v>
      </c>
      <c r="BT14">
        <f t="shared" si="9"/>
        <v>149</v>
      </c>
      <c r="BU14">
        <f t="shared" si="10"/>
        <v>185.5</v>
      </c>
      <c r="BV14">
        <f t="shared" si="11"/>
        <v>185.5</v>
      </c>
      <c r="BW14">
        <f t="shared" si="12"/>
        <v>235</v>
      </c>
      <c r="BX14">
        <f t="shared" si="13"/>
        <v>216.4</v>
      </c>
      <c r="BY14">
        <f t="shared" si="14"/>
        <v>206.16666666666666</v>
      </c>
      <c r="BZ14" s="194"/>
      <c r="CA14">
        <f t="shared" si="15"/>
        <v>229</v>
      </c>
      <c r="CB14">
        <f t="shared" si="16"/>
        <v>249.85714285714286</v>
      </c>
      <c r="CC14">
        <f t="shared" si="17"/>
        <v>277.42857142857144</v>
      </c>
      <c r="CD14">
        <f t="shared" si="18"/>
        <v>287</v>
      </c>
      <c r="CE14">
        <f t="shared" si="19"/>
        <v>296.77777777777777</v>
      </c>
      <c r="CF14">
        <f t="shared" si="20"/>
        <v>306.40740740740739</v>
      </c>
      <c r="CG14">
        <f t="shared" si="21"/>
        <v>306.40740740740739</v>
      </c>
      <c r="CH14">
        <f t="shared" si="22"/>
        <v>310.62962962962962</v>
      </c>
      <c r="CI14">
        <f t="shared" si="23"/>
        <v>318.85185185185185</v>
      </c>
      <c r="CJ14">
        <f t="shared" si="24"/>
        <v>339.33333333333331</v>
      </c>
      <c r="CK14">
        <f t="shared" si="25"/>
        <v>335.52380952380958</v>
      </c>
      <c r="CL14">
        <f t="shared" si="26"/>
        <v>330.44444444444446</v>
      </c>
      <c r="CM14">
        <f t="shared" si="27"/>
        <v>313.33333333333337</v>
      </c>
      <c r="CN14">
        <f t="shared" si="28"/>
        <v>303.16666666666669</v>
      </c>
      <c r="CO14">
        <f t="shared" si="29"/>
        <v>279.22222222222223</v>
      </c>
      <c r="CP14">
        <f t="shared" si="30"/>
        <v>228</v>
      </c>
      <c r="CQ14">
        <f t="shared" si="31"/>
        <v>228</v>
      </c>
      <c r="CR14" t="e">
        <f t="shared" si="33"/>
        <v>#DIV/0!</v>
      </c>
      <c r="CS14" t="e">
        <f t="shared" si="34"/>
        <v>#DIV/0!</v>
      </c>
      <c r="CT14" t="e">
        <f t="shared" si="35"/>
        <v>#DIV/0!</v>
      </c>
      <c r="CU14" t="e">
        <f t="shared" si="36"/>
        <v>#DIV/0!</v>
      </c>
      <c r="CV14" t="e">
        <f t="shared" si="37"/>
        <v>#DIV/0!</v>
      </c>
      <c r="CW14" t="e">
        <f t="shared" si="38"/>
        <v>#DIV/0!</v>
      </c>
      <c r="CX14" t="e">
        <f t="shared" si="39"/>
        <v>#DIV/0!</v>
      </c>
      <c r="CY14" t="e">
        <f t="shared" si="40"/>
        <v>#DIV/0!</v>
      </c>
      <c r="CZ14" t="e">
        <f t="shared" si="41"/>
        <v>#DIV/0!</v>
      </c>
      <c r="DA14" t="e">
        <f t="shared" si="42"/>
        <v>#DIV/0!</v>
      </c>
      <c r="DB14" t="e">
        <f t="shared" si="43"/>
        <v>#N/A</v>
      </c>
      <c r="DC14" t="e">
        <f t="shared" si="44"/>
        <v>#N/A</v>
      </c>
      <c r="DD14" t="e">
        <f t="shared" si="45"/>
        <v>#N/A</v>
      </c>
      <c r="DE14" t="e">
        <f t="shared" si="46"/>
        <v>#N/A</v>
      </c>
      <c r="DF14" t="e">
        <f t="shared" si="47"/>
        <v>#N/A</v>
      </c>
      <c r="DI14" s="10"/>
    </row>
    <row r="15" spans="1:113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>
        <v>30</v>
      </c>
      <c r="N15" s="16"/>
      <c r="O15" s="16"/>
      <c r="P15" s="16"/>
      <c r="Q15" s="16">
        <v>173</v>
      </c>
      <c r="R15" s="16">
        <v>155</v>
      </c>
      <c r="S15" s="16"/>
      <c r="T15" s="16"/>
      <c r="U15" s="17">
        <v>165</v>
      </c>
      <c r="V15" s="17"/>
      <c r="W15" s="17">
        <v>242</v>
      </c>
      <c r="X15" s="17">
        <v>127</v>
      </c>
      <c r="Y15" s="17">
        <v>37</v>
      </c>
      <c r="Z15" s="17">
        <v>340</v>
      </c>
      <c r="AA15" s="17">
        <v>349</v>
      </c>
      <c r="AB15" s="17">
        <v>318</v>
      </c>
      <c r="AC15" s="17">
        <v>163</v>
      </c>
      <c r="AD15" s="17">
        <v>338</v>
      </c>
      <c r="AE15" s="99">
        <v>273</v>
      </c>
      <c r="AG15" s="10">
        <f>29+33+27+24+26+30</f>
        <v>169</v>
      </c>
      <c r="AH15" s="193">
        <f>(1+1+1+1+1+2+1+1+1+2+3+2+1+2+2+1+2)+(3+2+3+2+1+1+2+1+2+1+2+2+5+4+1)+(1+5+3+1+2+2+2+5+3+1+2+2+12+2+1+5+3+2)+(2+2+2+2+1+4+2+5+1+2+3+2+2)</f>
        <v>141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f t="shared" si="0"/>
        <v>#DIV/0!</v>
      </c>
      <c r="BL15" t="e">
        <f t="shared" si="1"/>
        <v>#DIV/0!</v>
      </c>
      <c r="BM15">
        <f t="shared" si="2"/>
        <v>30</v>
      </c>
      <c r="BN15">
        <f t="shared" si="3"/>
        <v>30</v>
      </c>
      <c r="BO15">
        <f t="shared" si="4"/>
        <v>30</v>
      </c>
      <c r="BP15">
        <f t="shared" si="5"/>
        <v>30</v>
      </c>
      <c r="BQ15">
        <f t="shared" si="6"/>
        <v>101.5</v>
      </c>
      <c r="BR15">
        <f t="shared" si="7"/>
        <v>119.33333333333333</v>
      </c>
      <c r="BS15">
        <f t="shared" si="8"/>
        <v>119.33333333333333</v>
      </c>
      <c r="BT15">
        <f t="shared" si="9"/>
        <v>119.33333333333333</v>
      </c>
      <c r="BU15">
        <f t="shared" si="10"/>
        <v>130.75</v>
      </c>
      <c r="BV15">
        <f t="shared" si="11"/>
        <v>130.75</v>
      </c>
      <c r="BW15">
        <f t="shared" si="12"/>
        <v>183.75</v>
      </c>
      <c r="BX15">
        <f t="shared" si="13"/>
        <v>172.4</v>
      </c>
      <c r="BY15">
        <f t="shared" si="14"/>
        <v>149.83333333333334</v>
      </c>
      <c r="BZ15" s="194"/>
      <c r="CA15">
        <f t="shared" si="15"/>
        <v>177</v>
      </c>
      <c r="CB15">
        <f t="shared" si="16"/>
        <v>202.14285714285714</v>
      </c>
      <c r="CC15">
        <f t="shared" si="17"/>
        <v>225.42857142857142</v>
      </c>
      <c r="CD15">
        <f t="shared" si="18"/>
        <v>217.625</v>
      </c>
      <c r="CE15">
        <f t="shared" si="19"/>
        <v>231</v>
      </c>
      <c r="CF15">
        <f t="shared" si="20"/>
        <v>243</v>
      </c>
      <c r="CG15">
        <f t="shared" si="21"/>
        <v>243</v>
      </c>
      <c r="CH15">
        <f t="shared" si="22"/>
        <v>234.88888888888889</v>
      </c>
      <c r="CI15">
        <f t="shared" si="23"/>
        <v>236.44444444444446</v>
      </c>
      <c r="CJ15">
        <f t="shared" si="24"/>
        <v>261.375</v>
      </c>
      <c r="CK15">
        <f t="shared" si="25"/>
        <v>250.14285714285714</v>
      </c>
      <c r="CL15">
        <f t="shared" si="26"/>
        <v>233.66666666666666</v>
      </c>
      <c r="CM15">
        <f t="shared" si="27"/>
        <v>216.8</v>
      </c>
      <c r="CN15">
        <f t="shared" si="28"/>
        <v>230.25</v>
      </c>
      <c r="CO15">
        <f t="shared" si="29"/>
        <v>194.33333333333334</v>
      </c>
      <c r="CP15">
        <f t="shared" si="30"/>
        <v>155</v>
      </c>
      <c r="CQ15">
        <f t="shared" si="31"/>
        <v>155</v>
      </c>
      <c r="CR15" t="e">
        <f t="shared" si="33"/>
        <v>#DIV/0!</v>
      </c>
      <c r="CS15" t="e">
        <f t="shared" si="34"/>
        <v>#DIV/0!</v>
      </c>
      <c r="CT15" t="e">
        <f t="shared" si="35"/>
        <v>#DIV/0!</v>
      </c>
      <c r="CU15" t="e">
        <f t="shared" si="36"/>
        <v>#DIV/0!</v>
      </c>
      <c r="CV15" t="e">
        <f t="shared" si="37"/>
        <v>#DIV/0!</v>
      </c>
      <c r="CW15" t="e">
        <f t="shared" si="38"/>
        <v>#DIV/0!</v>
      </c>
      <c r="CX15" t="e">
        <f t="shared" si="39"/>
        <v>#DIV/0!</v>
      </c>
      <c r="CY15" t="e">
        <f t="shared" si="40"/>
        <v>#DIV/0!</v>
      </c>
      <c r="CZ15" t="e">
        <f t="shared" si="41"/>
        <v>#DIV/0!</v>
      </c>
      <c r="DA15" t="e">
        <f t="shared" si="42"/>
        <v>#DIV/0!</v>
      </c>
      <c r="DB15" t="e">
        <f t="shared" si="43"/>
        <v>#N/A</v>
      </c>
      <c r="DC15" t="e">
        <f t="shared" si="44"/>
        <v>#N/A</v>
      </c>
      <c r="DD15" t="e">
        <f t="shared" si="45"/>
        <v>#N/A</v>
      </c>
      <c r="DE15" t="e">
        <f t="shared" si="46"/>
        <v>#N/A</v>
      </c>
      <c r="DF15" t="e">
        <f t="shared" si="47"/>
        <v>#N/A</v>
      </c>
    </row>
    <row r="16" spans="1:113" ht="20" customHeight="1" thickBot="1" x14ac:dyDescent="0.25">
      <c r="A16" s="7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>
        <v>11</v>
      </c>
      <c r="N16" s="14"/>
      <c r="O16" s="14"/>
      <c r="P16" s="14"/>
      <c r="Q16" s="14">
        <v>141</v>
      </c>
      <c r="R16" s="14">
        <v>63</v>
      </c>
      <c r="S16" s="14"/>
      <c r="T16" s="14"/>
      <c r="U16" s="15">
        <v>110</v>
      </c>
      <c r="V16" s="15"/>
      <c r="W16" s="15">
        <v>134</v>
      </c>
      <c r="X16" s="15">
        <v>55</v>
      </c>
      <c r="Y16" s="15">
        <v>128</v>
      </c>
      <c r="Z16" s="15">
        <v>368</v>
      </c>
      <c r="AA16" s="15">
        <v>233</v>
      </c>
      <c r="AB16" s="15">
        <v>136</v>
      </c>
      <c r="AC16" s="15">
        <v>117</v>
      </c>
      <c r="AD16" s="15">
        <v>185</v>
      </c>
      <c r="AE16" s="134">
        <v>146</v>
      </c>
      <c r="AF16" s="124"/>
      <c r="AG16" s="124">
        <f>7+35+40+45</f>
        <v>127</v>
      </c>
      <c r="AH16" s="195">
        <f>(1+2+1+2+2)+(1+1+1+1+1+1+2+2+2+3+2+2+2+1+1+2)+(2+2+4+2+4+1+3+2+1+2+3+2+5+4+1+1+4+1+1+2)+(6+1+3+5+1+2+3+2+1+4+2+1)+(6+4+2+1+2+2+1+3)+(2+2)</f>
        <v>136</v>
      </c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6"/>
      <c r="AY16" s="196"/>
      <c r="AZ16" s="196"/>
      <c r="BA16" s="196"/>
      <c r="BB16" s="197" t="e">
        <v>#N/A</v>
      </c>
      <c r="BC16" s="197" t="e">
        <v>#N/A</v>
      </c>
      <c r="BD16" s="197" t="e">
        <v>#N/A</v>
      </c>
      <c r="BE16" s="197" t="e">
        <v>#N/A</v>
      </c>
      <c r="BF16" s="197" t="e">
        <v>#N/A</v>
      </c>
      <c r="BG16" s="197" t="e">
        <v>#N/A</v>
      </c>
      <c r="BH16" s="197" t="e">
        <v>#N/A</v>
      </c>
      <c r="BI16" s="197" t="e">
        <v>#N/A</v>
      </c>
      <c r="BJ16" s="197" t="e">
        <v>#N/A</v>
      </c>
      <c r="BK16" s="197" t="e">
        <f t="shared" si="0"/>
        <v>#DIV/0!</v>
      </c>
      <c r="BL16" s="197" t="e">
        <f t="shared" si="1"/>
        <v>#DIV/0!</v>
      </c>
      <c r="BM16" s="197">
        <f t="shared" si="2"/>
        <v>11</v>
      </c>
      <c r="BN16" s="197">
        <f t="shared" si="3"/>
        <v>11</v>
      </c>
      <c r="BO16" s="197">
        <f t="shared" si="4"/>
        <v>11</v>
      </c>
      <c r="BP16" s="197">
        <f t="shared" si="5"/>
        <v>11</v>
      </c>
      <c r="BQ16" s="197">
        <f t="shared" si="6"/>
        <v>76</v>
      </c>
      <c r="BR16" s="197">
        <f t="shared" si="7"/>
        <v>71.666666666666671</v>
      </c>
      <c r="BS16" s="197">
        <f t="shared" si="8"/>
        <v>71.666666666666671</v>
      </c>
      <c r="BT16" s="197">
        <f t="shared" si="9"/>
        <v>71.666666666666671</v>
      </c>
      <c r="BU16" s="197">
        <f t="shared" si="10"/>
        <v>81.25</v>
      </c>
      <c r="BV16" s="197">
        <f t="shared" si="11"/>
        <v>81.25</v>
      </c>
      <c r="BW16" s="197">
        <f t="shared" si="12"/>
        <v>112</v>
      </c>
      <c r="BX16" s="197">
        <f t="shared" si="13"/>
        <v>100.6</v>
      </c>
      <c r="BY16" s="197">
        <f t="shared" si="14"/>
        <v>105.16666666666667</v>
      </c>
      <c r="BZ16" s="198"/>
      <c r="CA16">
        <f t="shared" si="15"/>
        <v>142.71428571428572</v>
      </c>
      <c r="CB16">
        <f t="shared" si="16"/>
        <v>155.85714285714286</v>
      </c>
      <c r="CC16">
        <f t="shared" si="17"/>
        <v>166.28571428571428</v>
      </c>
      <c r="CD16">
        <f t="shared" si="18"/>
        <v>160.125</v>
      </c>
      <c r="CE16">
        <f t="shared" si="19"/>
        <v>162.88888888888889</v>
      </c>
      <c r="CF16">
        <f t="shared" si="20"/>
        <v>166.88888888888889</v>
      </c>
      <c r="CG16">
        <f t="shared" si="21"/>
        <v>166.88888888888889</v>
      </c>
      <c r="CH16">
        <f t="shared" si="22"/>
        <v>166.11111111111111</v>
      </c>
      <c r="CI16">
        <f t="shared" si="23"/>
        <v>175.11111111111111</v>
      </c>
      <c r="CJ16">
        <f t="shared" si="24"/>
        <v>181</v>
      </c>
      <c r="CK16">
        <f t="shared" si="25"/>
        <v>154.28571428571428</v>
      </c>
      <c r="CL16">
        <f t="shared" si="26"/>
        <v>141.16666666666666</v>
      </c>
      <c r="CM16">
        <f t="shared" si="27"/>
        <v>142.19999999999999</v>
      </c>
      <c r="CN16">
        <f t="shared" si="28"/>
        <v>148.5</v>
      </c>
      <c r="CO16">
        <f t="shared" si="29"/>
        <v>136.33333333333334</v>
      </c>
      <c r="CP16">
        <f t="shared" si="30"/>
        <v>131.5</v>
      </c>
      <c r="CQ16">
        <f t="shared" si="31"/>
        <v>131.5</v>
      </c>
      <c r="CR16" t="e">
        <f t="shared" si="33"/>
        <v>#DIV/0!</v>
      </c>
      <c r="CS16" t="e">
        <f t="shared" si="34"/>
        <v>#DIV/0!</v>
      </c>
      <c r="CT16" t="e">
        <f t="shared" si="35"/>
        <v>#DIV/0!</v>
      </c>
      <c r="CU16" t="e">
        <f t="shared" si="36"/>
        <v>#DIV/0!</v>
      </c>
      <c r="CV16" t="e">
        <f t="shared" si="37"/>
        <v>#DIV/0!</v>
      </c>
      <c r="CW16" t="e">
        <f t="shared" si="38"/>
        <v>#DIV/0!</v>
      </c>
      <c r="CX16" t="e">
        <f t="shared" si="39"/>
        <v>#DIV/0!</v>
      </c>
      <c r="CY16" t="e">
        <f t="shared" si="40"/>
        <v>#DIV/0!</v>
      </c>
      <c r="CZ16" t="e">
        <f t="shared" si="41"/>
        <v>#DIV/0!</v>
      </c>
      <c r="DA16" t="e">
        <f t="shared" si="42"/>
        <v>#DIV/0!</v>
      </c>
      <c r="DB16" t="e">
        <f t="shared" si="43"/>
        <v>#N/A</v>
      </c>
      <c r="DC16" t="e">
        <f t="shared" si="44"/>
        <v>#N/A</v>
      </c>
      <c r="DD16" t="e">
        <f t="shared" si="45"/>
        <v>#N/A</v>
      </c>
      <c r="DE16" t="e">
        <f t="shared" si="46"/>
        <v>#N/A</v>
      </c>
      <c r="DF16" t="e">
        <f t="shared" si="47"/>
        <v>#N/A</v>
      </c>
      <c r="DI16" s="10"/>
    </row>
    <row r="17" spans="1:84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</row>
    <row r="18" spans="1:84" s="25" customFormat="1" ht="20" customHeight="1" x14ac:dyDescent="0.2">
      <c r="A18" s="21" t="s">
        <v>32</v>
      </c>
      <c r="B18" s="22">
        <f>SUM(B5:B16)</f>
        <v>0</v>
      </c>
      <c r="C18" s="22">
        <f t="shared" ref="C18:BA18" si="48">SUM(C5:C16)</f>
        <v>0</v>
      </c>
      <c r="D18" s="22">
        <f t="shared" si="48"/>
        <v>0</v>
      </c>
      <c r="E18" s="22">
        <f t="shared" si="48"/>
        <v>0</v>
      </c>
      <c r="F18" s="22">
        <f t="shared" si="48"/>
        <v>0</v>
      </c>
      <c r="G18" s="22">
        <f t="shared" si="48"/>
        <v>0</v>
      </c>
      <c r="H18" s="22">
        <f t="shared" si="48"/>
        <v>0</v>
      </c>
      <c r="I18" s="22">
        <f t="shared" si="48"/>
        <v>0</v>
      </c>
      <c r="J18" s="22">
        <f t="shared" si="48"/>
        <v>0</v>
      </c>
      <c r="K18" s="22">
        <f t="shared" si="48"/>
        <v>0</v>
      </c>
      <c r="L18" s="22">
        <f t="shared" si="48"/>
        <v>0</v>
      </c>
      <c r="M18" s="22">
        <f t="shared" si="48"/>
        <v>567</v>
      </c>
      <c r="N18" s="22">
        <f t="shared" si="48"/>
        <v>0</v>
      </c>
      <c r="O18" s="22">
        <f t="shared" si="48"/>
        <v>0</v>
      </c>
      <c r="P18" s="22">
        <f t="shared" si="48"/>
        <v>0</v>
      </c>
      <c r="Q18" s="22">
        <f t="shared" si="48"/>
        <v>1102</v>
      </c>
      <c r="R18" s="22">
        <f t="shared" si="48"/>
        <v>1887</v>
      </c>
      <c r="S18" s="22">
        <f t="shared" si="48"/>
        <v>0</v>
      </c>
      <c r="T18" s="22">
        <f t="shared" si="48"/>
        <v>0</v>
      </c>
      <c r="U18" s="22">
        <f t="shared" si="48"/>
        <v>1711</v>
      </c>
      <c r="V18" s="22">
        <f t="shared" si="48"/>
        <v>0</v>
      </c>
      <c r="W18" s="22">
        <f t="shared" si="48"/>
        <v>2359</v>
      </c>
      <c r="X18" s="22">
        <f t="shared" si="48"/>
        <v>2084</v>
      </c>
      <c r="Y18" s="22">
        <f t="shared" si="48"/>
        <v>2016</v>
      </c>
      <c r="Z18" s="22">
        <f t="shared" si="48"/>
        <v>2933</v>
      </c>
      <c r="AA18" s="22">
        <f t="shared" si="48"/>
        <v>3467</v>
      </c>
      <c r="AB18" s="22">
        <f t="shared" si="48"/>
        <v>3449</v>
      </c>
      <c r="AC18" s="22">
        <f t="shared" si="48"/>
        <v>3184</v>
      </c>
      <c r="AD18" s="22">
        <f t="shared" si="48"/>
        <v>3590</v>
      </c>
      <c r="AE18" s="22">
        <f t="shared" si="48"/>
        <v>3407.666666666667</v>
      </c>
      <c r="AF18" s="22">
        <f t="shared" si="48"/>
        <v>0</v>
      </c>
      <c r="AG18" s="22">
        <f>SUM(AG5:AG16)</f>
        <v>1836</v>
      </c>
      <c r="AH18" s="25">
        <f>SUM(AH5:AH16)</f>
        <v>1804</v>
      </c>
      <c r="AI18" s="22">
        <f t="shared" si="48"/>
        <v>0</v>
      </c>
      <c r="AJ18" s="22">
        <f t="shared" si="48"/>
        <v>0</v>
      </c>
      <c r="AK18" s="22">
        <f t="shared" si="48"/>
        <v>0</v>
      </c>
      <c r="AL18" s="22">
        <f t="shared" si="48"/>
        <v>0</v>
      </c>
      <c r="AM18" s="22">
        <f t="shared" si="48"/>
        <v>0</v>
      </c>
      <c r="AN18" s="22">
        <f t="shared" si="48"/>
        <v>0</v>
      </c>
      <c r="AO18" s="22">
        <f t="shared" si="48"/>
        <v>0</v>
      </c>
      <c r="AP18" s="22">
        <f t="shared" si="48"/>
        <v>0</v>
      </c>
      <c r="AQ18" s="22">
        <f t="shared" si="48"/>
        <v>0</v>
      </c>
      <c r="AR18" s="22">
        <f t="shared" si="48"/>
        <v>0</v>
      </c>
      <c r="AS18" s="22">
        <f t="shared" si="48"/>
        <v>0</v>
      </c>
      <c r="AT18" s="22">
        <f t="shared" si="48"/>
        <v>0</v>
      </c>
      <c r="AU18" s="22">
        <f t="shared" si="48"/>
        <v>0</v>
      </c>
      <c r="AV18" s="22">
        <f t="shared" si="48"/>
        <v>0</v>
      </c>
      <c r="AW18" s="22">
        <f t="shared" si="48"/>
        <v>0</v>
      </c>
      <c r="AX18" s="22">
        <f t="shared" si="48"/>
        <v>0</v>
      </c>
      <c r="AY18" s="22">
        <f t="shared" si="48"/>
        <v>0</v>
      </c>
      <c r="AZ18" s="22">
        <f t="shared" si="48"/>
        <v>0</v>
      </c>
      <c r="BA18" s="22">
        <f t="shared" si="48"/>
        <v>0</v>
      </c>
      <c r="BB18" s="24"/>
      <c r="BZ18" s="25">
        <f>SUM(BZ5:BZ16)</f>
        <v>1517</v>
      </c>
      <c r="CA18" s="25">
        <f>AVERAGE(Q18:Z18)</f>
        <v>1409.2</v>
      </c>
      <c r="CC18" s="25">
        <f>AVERAGE(T18:AD18)</f>
        <v>2253.909090909091</v>
      </c>
      <c r="CD18" s="25">
        <f>AVERAGE(U18:AC18)</f>
        <v>2355.8888888888887</v>
      </c>
      <c r="CE18" s="25">
        <f>AVERAGE(V18:AD18)</f>
        <v>2564.6666666666665</v>
      </c>
    </row>
    <row r="19" spans="1:84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</row>
    <row r="20" spans="1:84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</row>
    <row r="21" spans="1:84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</row>
    <row r="22" spans="1:84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</row>
    <row r="23" spans="1:84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</row>
    <row r="24" spans="1:84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</row>
    <row r="25" spans="1:84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</row>
    <row r="26" spans="1:84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</row>
    <row r="27" spans="1:84" ht="20" customHeight="1" x14ac:dyDescent="0.2">
      <c r="AD27" s="202" t="s">
        <v>138</v>
      </c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3"/>
      <c r="BL27" s="203"/>
      <c r="BM27" s="203"/>
      <c r="BN27" s="203"/>
      <c r="BO27" s="203"/>
      <c r="BP27" s="203"/>
      <c r="BQ27" s="203"/>
      <c r="BR27" s="203"/>
      <c r="BS27" s="203"/>
      <c r="BT27" s="203"/>
      <c r="BU27" s="203"/>
      <c r="BV27" s="203"/>
      <c r="BW27" s="203"/>
      <c r="BX27" s="203"/>
      <c r="BY27" s="203"/>
      <c r="BZ27" s="203"/>
      <c r="CA27" s="203"/>
      <c r="CB27" s="203"/>
      <c r="CC27" s="203"/>
      <c r="CD27" s="203"/>
      <c r="CE27" s="204"/>
    </row>
    <row r="28" spans="1:84" ht="20" customHeight="1" x14ac:dyDescent="0.2">
      <c r="A28" s="1"/>
      <c r="B28" s="1"/>
      <c r="C28" s="1"/>
      <c r="AD28" s="205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6"/>
      <c r="BK28" s="206"/>
      <c r="BL28" s="206"/>
      <c r="BM28" s="206"/>
      <c r="BN28" s="206"/>
      <c r="BO28" s="206"/>
      <c r="BP28" s="206"/>
      <c r="BQ28" s="206"/>
      <c r="BR28" s="206"/>
      <c r="BS28" s="206"/>
      <c r="BT28" s="206"/>
      <c r="BU28" s="206"/>
      <c r="BV28" s="206"/>
      <c r="BW28" s="206"/>
      <c r="BX28" s="206"/>
      <c r="BY28" s="206"/>
      <c r="BZ28" s="206"/>
      <c r="CA28" s="206"/>
      <c r="CB28" s="206"/>
      <c r="CC28" s="206"/>
      <c r="CD28" s="206"/>
      <c r="CE28" s="207"/>
    </row>
    <row r="29" spans="1:84" ht="20" customHeight="1" x14ac:dyDescent="0.2">
      <c r="A29" s="1"/>
      <c r="B29" s="1"/>
      <c r="C29" s="1"/>
      <c r="AD29" s="205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7"/>
      <c r="CF29" s="124"/>
    </row>
    <row r="30" spans="1:84" ht="20" customHeight="1" x14ac:dyDescent="0.2">
      <c r="A30" s="1"/>
      <c r="B30" s="1"/>
      <c r="C30" s="1"/>
      <c r="AD30" s="205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7"/>
      <c r="CF30" s="124"/>
    </row>
    <row r="31" spans="1:84" ht="20" customHeight="1" x14ac:dyDescent="0.2">
      <c r="A31" s="1"/>
      <c r="B31" s="1"/>
      <c r="C31" s="1"/>
      <c r="AD31" s="180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CA31" s="201" t="s">
        <v>136</v>
      </c>
      <c r="CB31" s="201"/>
      <c r="CE31" s="174"/>
      <c r="CF31" s="124"/>
    </row>
    <row r="32" spans="1:84" ht="20" customHeight="1" x14ac:dyDescent="0.2">
      <c r="A32" s="1"/>
      <c r="B32" s="1"/>
      <c r="C32" s="1"/>
      <c r="AD32" s="180"/>
      <c r="AE32" s="124"/>
      <c r="AF32" s="124"/>
      <c r="AG32" s="172"/>
      <c r="AH32" s="178">
        <v>2023</v>
      </c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79"/>
      <c r="BX32" s="179"/>
      <c r="BY32" s="179"/>
      <c r="BZ32" s="179">
        <v>2024</v>
      </c>
      <c r="CA32" s="179">
        <v>2023</v>
      </c>
      <c r="CB32" s="179">
        <v>2024</v>
      </c>
      <c r="CE32" s="181"/>
      <c r="CF32" s="124"/>
    </row>
    <row r="33" spans="1:84" ht="20" customHeight="1" x14ac:dyDescent="0.2">
      <c r="A33" s="1"/>
      <c r="B33" s="1"/>
      <c r="C33" s="1"/>
      <c r="AD33" s="180"/>
      <c r="AE33" s="124"/>
      <c r="AF33" s="124"/>
      <c r="AG33" s="9" t="s">
        <v>0</v>
      </c>
      <c r="AH33" s="182">
        <v>169</v>
      </c>
      <c r="AI33" s="182">
        <v>28</v>
      </c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>
        <v>28</v>
      </c>
      <c r="CA33" s="168">
        <f t="shared" ref="CA33:CA44" si="49">AH5-AH33</f>
        <v>-60</v>
      </c>
      <c r="CB33" s="169">
        <f t="shared" ref="CB33:CB42" si="50">BZ5-BZ33</f>
        <v>86</v>
      </c>
      <c r="CE33" s="174"/>
      <c r="CF33" s="124"/>
    </row>
    <row r="34" spans="1:84" ht="20" customHeight="1" x14ac:dyDescent="0.2">
      <c r="A34" s="1"/>
      <c r="B34" s="1"/>
      <c r="C34" s="1"/>
      <c r="AD34" s="180"/>
      <c r="AE34" s="124"/>
      <c r="AF34" s="124"/>
      <c r="AG34" s="7" t="s">
        <v>1</v>
      </c>
      <c r="AH34" s="124">
        <v>65</v>
      </c>
      <c r="AI34" s="124">
        <v>66</v>
      </c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Z34" s="5">
        <v>66</v>
      </c>
      <c r="CA34" s="170">
        <f t="shared" si="49"/>
        <v>81</v>
      </c>
      <c r="CB34" s="171">
        <f t="shared" si="50"/>
        <v>96</v>
      </c>
      <c r="CE34" s="181"/>
      <c r="CF34" s="124"/>
    </row>
    <row r="35" spans="1:84" ht="20" customHeight="1" x14ac:dyDescent="0.2">
      <c r="A35" s="1"/>
      <c r="B35" s="1"/>
      <c r="C35" s="1"/>
      <c r="AD35" s="180"/>
      <c r="AE35" s="124"/>
      <c r="AF35" s="124"/>
      <c r="AG35" s="9" t="s">
        <v>2</v>
      </c>
      <c r="AH35" s="182">
        <v>98</v>
      </c>
      <c r="AI35" s="182">
        <v>45</v>
      </c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>
        <v>45</v>
      </c>
      <c r="CA35" s="168">
        <f t="shared" si="49"/>
        <v>34</v>
      </c>
      <c r="CB35" s="169">
        <f t="shared" si="50"/>
        <v>75</v>
      </c>
      <c r="CE35" s="174"/>
      <c r="CF35" s="124"/>
    </row>
    <row r="36" spans="1:84" ht="20" customHeight="1" x14ac:dyDescent="0.2">
      <c r="A36" s="1"/>
      <c r="B36" s="1"/>
      <c r="C36" s="1"/>
      <c r="AD36" s="180"/>
      <c r="AE36" s="124"/>
      <c r="AF36" s="124"/>
      <c r="AG36" s="7" t="s">
        <v>3</v>
      </c>
      <c r="AH36" s="124">
        <v>170</v>
      </c>
      <c r="AI36" s="124">
        <v>95</v>
      </c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Z36" s="5">
        <v>95</v>
      </c>
      <c r="CA36" s="170">
        <f t="shared" si="49"/>
        <v>84</v>
      </c>
      <c r="CB36" s="171">
        <f t="shared" si="50"/>
        <v>164</v>
      </c>
      <c r="CE36" s="181"/>
      <c r="CF36" s="124"/>
    </row>
    <row r="37" spans="1:84" ht="20" customHeight="1" x14ac:dyDescent="0.2">
      <c r="A37" s="1"/>
      <c r="B37" s="1"/>
      <c r="C37" s="1"/>
      <c r="AD37" s="180"/>
      <c r="AE37" s="124"/>
      <c r="AF37" s="124"/>
      <c r="AG37" s="9" t="s">
        <v>4</v>
      </c>
      <c r="AH37" s="182">
        <v>154</v>
      </c>
      <c r="AI37" s="182">
        <v>140</v>
      </c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>
        <v>140</v>
      </c>
      <c r="CA37" s="168">
        <f t="shared" si="49"/>
        <v>67</v>
      </c>
      <c r="CB37" s="169">
        <f t="shared" si="50"/>
        <v>52</v>
      </c>
      <c r="CE37" s="174"/>
      <c r="CF37" s="124"/>
    </row>
    <row r="38" spans="1:84" ht="20" customHeight="1" x14ac:dyDescent="0.2">
      <c r="A38" s="1"/>
      <c r="B38" s="1"/>
      <c r="C38" s="1"/>
      <c r="AD38" s="180"/>
      <c r="AE38" s="124"/>
      <c r="AF38" s="124"/>
      <c r="AG38" s="7" t="s">
        <v>5</v>
      </c>
      <c r="AH38" s="124">
        <v>113</v>
      </c>
      <c r="AI38" s="124">
        <v>234</v>
      </c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Z38" s="5">
        <v>234</v>
      </c>
      <c r="CA38" s="170">
        <f t="shared" si="49"/>
        <v>34</v>
      </c>
      <c r="CB38" s="171">
        <f t="shared" si="50"/>
        <v>-109</v>
      </c>
      <c r="CE38" s="181"/>
      <c r="CF38" s="124"/>
    </row>
    <row r="39" spans="1:84" ht="20" customHeight="1" x14ac:dyDescent="0.2">
      <c r="A39" s="1"/>
      <c r="B39" s="1"/>
      <c r="C39" s="1"/>
      <c r="AD39" s="180"/>
      <c r="AE39" s="124"/>
      <c r="AF39" s="124"/>
      <c r="AG39" s="9" t="s">
        <v>6</v>
      </c>
      <c r="AH39" s="182">
        <v>190</v>
      </c>
      <c r="AI39" s="182">
        <v>227</v>
      </c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>
        <v>227</v>
      </c>
      <c r="CA39" s="168">
        <f t="shared" si="49"/>
        <v>-101</v>
      </c>
      <c r="CB39" s="169">
        <f t="shared" si="50"/>
        <v>-75</v>
      </c>
      <c r="CE39" s="174"/>
      <c r="CF39" s="124"/>
    </row>
    <row r="40" spans="1:84" ht="20" customHeight="1" x14ac:dyDescent="0.2">
      <c r="A40" s="1"/>
      <c r="B40" s="1"/>
      <c r="C40" s="1"/>
      <c r="AD40" s="180"/>
      <c r="AE40" s="124"/>
      <c r="AF40" s="124"/>
      <c r="AG40" s="7" t="s">
        <v>7</v>
      </c>
      <c r="AH40" s="124">
        <v>155</v>
      </c>
      <c r="AI40" s="124">
        <v>29</v>
      </c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Z40" s="5">
        <v>29</v>
      </c>
      <c r="CA40" s="170">
        <f t="shared" si="49"/>
        <v>-55</v>
      </c>
      <c r="CB40" s="171">
        <f t="shared" si="50"/>
        <v>213</v>
      </c>
      <c r="CE40" s="181"/>
      <c r="CF40" s="124"/>
    </row>
    <row r="41" spans="1:84" ht="20" customHeight="1" x14ac:dyDescent="0.2">
      <c r="A41" s="1"/>
      <c r="B41" s="1"/>
      <c r="C41" s="1"/>
      <c r="AD41" s="180"/>
      <c r="AE41" s="124"/>
      <c r="AF41" s="124"/>
      <c r="AG41" s="9" t="s">
        <v>8</v>
      </c>
      <c r="AH41" s="182">
        <v>96</v>
      </c>
      <c r="AI41" s="182">
        <v>102</v>
      </c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>
        <v>102</v>
      </c>
      <c r="CA41" s="168">
        <f t="shared" si="49"/>
        <v>17</v>
      </c>
      <c r="CB41" s="169">
        <f t="shared" si="50"/>
        <v>49</v>
      </c>
      <c r="CE41" s="174"/>
    </row>
    <row r="42" spans="1:84" ht="20" customHeight="1" x14ac:dyDescent="0.2">
      <c r="A42" s="1"/>
      <c r="B42" s="1"/>
      <c r="C42" s="1"/>
      <c r="AD42" s="180"/>
      <c r="AE42" s="124"/>
      <c r="AF42" s="124"/>
      <c r="AG42" s="7" t="s">
        <v>9</v>
      </c>
      <c r="AH42" s="124">
        <v>135</v>
      </c>
      <c r="AI42" s="124">
        <v>67</v>
      </c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Z42" s="5">
        <v>67</v>
      </c>
      <c r="CA42" s="170">
        <f t="shared" si="49"/>
        <v>81</v>
      </c>
      <c r="CB42" s="171">
        <f t="shared" si="50"/>
        <v>-67</v>
      </c>
      <c r="CE42" s="174"/>
    </row>
    <row r="43" spans="1:84" ht="20" customHeight="1" x14ac:dyDescent="0.2">
      <c r="A43" s="1"/>
      <c r="B43" s="1"/>
      <c r="C43" s="1"/>
      <c r="AD43" s="180"/>
      <c r="AE43" s="124"/>
      <c r="AF43" s="124"/>
      <c r="AG43" s="9" t="s">
        <v>10</v>
      </c>
      <c r="AH43" s="182">
        <v>105</v>
      </c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68">
        <f t="shared" si="49"/>
        <v>36</v>
      </c>
      <c r="CB43" s="169"/>
      <c r="CE43" s="174"/>
    </row>
    <row r="44" spans="1:84" ht="20" customHeight="1" x14ac:dyDescent="0.2">
      <c r="A44" s="1"/>
      <c r="B44" s="1"/>
      <c r="C44" s="1"/>
      <c r="AD44" s="180"/>
      <c r="AE44" s="124"/>
      <c r="AF44" s="124"/>
      <c r="AG44" s="177" t="s">
        <v>11</v>
      </c>
      <c r="AH44" s="172">
        <v>80</v>
      </c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3"/>
      <c r="BC44" s="173"/>
      <c r="BD44" s="173"/>
      <c r="BE44" s="173"/>
      <c r="BF44" s="173"/>
      <c r="BG44" s="173"/>
      <c r="BH44" s="173"/>
      <c r="BI44" s="173"/>
      <c r="BJ44" s="173"/>
      <c r="BK44" s="173"/>
      <c r="BL44" s="173"/>
      <c r="BM44" s="173"/>
      <c r="BN44" s="173"/>
      <c r="BO44" s="173"/>
      <c r="BP44" s="173"/>
      <c r="BQ44" s="173"/>
      <c r="BR44" s="173"/>
      <c r="BS44" s="173"/>
      <c r="BT44" s="173"/>
      <c r="BU44" s="173"/>
      <c r="BV44" s="173"/>
      <c r="BW44" s="173"/>
      <c r="BX44" s="173"/>
      <c r="BY44" s="173"/>
      <c r="BZ44" s="176"/>
      <c r="CA44" s="175">
        <f t="shared" si="49"/>
        <v>56</v>
      </c>
      <c r="CB44" s="176"/>
      <c r="CE44" s="174"/>
    </row>
    <row r="45" spans="1:84" ht="20" customHeight="1" x14ac:dyDescent="0.2">
      <c r="A45" s="1"/>
      <c r="B45" s="1"/>
      <c r="C45" s="1"/>
      <c r="AD45" s="180"/>
      <c r="AE45" s="124"/>
      <c r="AF45" s="124"/>
      <c r="AG45" s="7" t="s">
        <v>137</v>
      </c>
      <c r="AH45" s="124">
        <f>SUM(AH33:AH44)</f>
        <v>1530</v>
      </c>
      <c r="AI45" s="124">
        <f t="shared" ref="AI45:BZ45" si="51">SUM(AI33:AI44)</f>
        <v>1033</v>
      </c>
      <c r="AJ45" s="124">
        <f t="shared" si="51"/>
        <v>0</v>
      </c>
      <c r="AK45" s="124">
        <f t="shared" si="51"/>
        <v>0</v>
      </c>
      <c r="AL45" s="124">
        <f t="shared" si="51"/>
        <v>0</v>
      </c>
      <c r="AM45" s="124">
        <f t="shared" si="51"/>
        <v>0</v>
      </c>
      <c r="AN45" s="124">
        <f t="shared" si="51"/>
        <v>0</v>
      </c>
      <c r="AO45" s="124">
        <f t="shared" si="51"/>
        <v>0</v>
      </c>
      <c r="AP45" s="124">
        <f t="shared" si="51"/>
        <v>0</v>
      </c>
      <c r="AQ45" s="124">
        <f t="shared" si="51"/>
        <v>0</v>
      </c>
      <c r="AR45" s="124">
        <f t="shared" si="51"/>
        <v>0</v>
      </c>
      <c r="AS45" s="124">
        <f t="shared" si="51"/>
        <v>0</v>
      </c>
      <c r="AT45" s="124">
        <f t="shared" si="51"/>
        <v>0</v>
      </c>
      <c r="AU45" s="124">
        <f t="shared" si="51"/>
        <v>0</v>
      </c>
      <c r="AV45" s="124">
        <f t="shared" si="51"/>
        <v>0</v>
      </c>
      <c r="AW45" s="124">
        <f t="shared" si="51"/>
        <v>0</v>
      </c>
      <c r="AX45" s="124">
        <f t="shared" si="51"/>
        <v>0</v>
      </c>
      <c r="AY45" s="124">
        <f t="shared" si="51"/>
        <v>0</v>
      </c>
      <c r="AZ45" s="124">
        <f t="shared" si="51"/>
        <v>0</v>
      </c>
      <c r="BA45" s="124">
        <f t="shared" si="51"/>
        <v>0</v>
      </c>
      <c r="BB45" s="124">
        <f t="shared" si="51"/>
        <v>0</v>
      </c>
      <c r="BC45" s="124">
        <f t="shared" si="51"/>
        <v>0</v>
      </c>
      <c r="BD45" s="124">
        <f t="shared" si="51"/>
        <v>0</v>
      </c>
      <c r="BE45" s="124">
        <f t="shared" si="51"/>
        <v>0</v>
      </c>
      <c r="BF45" s="124">
        <f t="shared" si="51"/>
        <v>0</v>
      </c>
      <c r="BG45" s="124">
        <f t="shared" si="51"/>
        <v>0</v>
      </c>
      <c r="BH45" s="124">
        <f t="shared" si="51"/>
        <v>0</v>
      </c>
      <c r="BI45" s="124">
        <f t="shared" si="51"/>
        <v>0</v>
      </c>
      <c r="BJ45" s="124">
        <f t="shared" si="51"/>
        <v>0</v>
      </c>
      <c r="BK45" s="124">
        <f t="shared" si="51"/>
        <v>0</v>
      </c>
      <c r="BL45" s="124">
        <f t="shared" si="51"/>
        <v>0</v>
      </c>
      <c r="BM45" s="124">
        <f t="shared" si="51"/>
        <v>0</v>
      </c>
      <c r="BN45" s="124">
        <f t="shared" si="51"/>
        <v>0</v>
      </c>
      <c r="BO45" s="124">
        <f t="shared" si="51"/>
        <v>0</v>
      </c>
      <c r="BP45" s="124">
        <f t="shared" si="51"/>
        <v>0</v>
      </c>
      <c r="BQ45" s="124">
        <f t="shared" si="51"/>
        <v>0</v>
      </c>
      <c r="BR45" s="124">
        <f t="shared" si="51"/>
        <v>0</v>
      </c>
      <c r="BS45" s="124">
        <f t="shared" si="51"/>
        <v>0</v>
      </c>
      <c r="BT45" s="124">
        <f t="shared" si="51"/>
        <v>0</v>
      </c>
      <c r="BU45" s="124">
        <f t="shared" si="51"/>
        <v>0</v>
      </c>
      <c r="BV45" s="124">
        <f t="shared" si="51"/>
        <v>0</v>
      </c>
      <c r="BW45" s="124">
        <f t="shared" si="51"/>
        <v>0</v>
      </c>
      <c r="BX45" s="124">
        <f t="shared" si="51"/>
        <v>0</v>
      </c>
      <c r="BY45" s="124">
        <f t="shared" si="51"/>
        <v>0</v>
      </c>
      <c r="BZ45" s="124">
        <f t="shared" si="51"/>
        <v>1033</v>
      </c>
      <c r="CA45" s="167">
        <f>SUM(CA33:CA44)</f>
        <v>274</v>
      </c>
      <c r="CB45" s="5">
        <f>SUM(CB33:CB44)</f>
        <v>484</v>
      </c>
      <c r="CE45" s="174"/>
    </row>
    <row r="46" spans="1:84" ht="20" customHeight="1" x14ac:dyDescent="0.2">
      <c r="A46" s="1"/>
      <c r="B46" s="1"/>
      <c r="C46" s="1"/>
      <c r="AD46" s="183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3"/>
      <c r="BC46" s="173"/>
      <c r="BD46" s="173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173"/>
      <c r="BV46" s="173"/>
      <c r="BW46" s="173"/>
      <c r="BX46" s="173"/>
      <c r="BY46" s="173"/>
      <c r="BZ46" s="173"/>
      <c r="CA46" s="173"/>
      <c r="CB46" s="173"/>
      <c r="CC46" s="173"/>
      <c r="CD46" s="173"/>
      <c r="CE46" s="176"/>
    </row>
    <row r="47" spans="1:84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</row>
    <row r="48" spans="1:84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E48" s="1"/>
    </row>
    <row r="49" spans="1:53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</row>
    <row r="50" spans="1:53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</row>
    <row r="51" spans="1:53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</row>
    <row r="52" spans="1:53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</row>
    <row r="53" spans="1:53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</row>
    <row r="54" spans="1:53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</row>
    <row r="55" spans="1:53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</row>
    <row r="56" spans="1:53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</row>
    <row r="57" spans="1:53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</row>
    <row r="58" spans="1:53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</row>
    <row r="59" spans="1:53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</row>
    <row r="60" spans="1:53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</row>
    <row r="61" spans="1:53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</row>
    <row r="62" spans="1:53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</row>
    <row r="63" spans="1:53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</row>
    <row r="64" spans="1:53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</row>
    <row r="65" spans="31:53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</row>
    <row r="66" spans="31:53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</row>
    <row r="67" spans="31:53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</row>
    <row r="68" spans="31:53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</row>
    <row r="69" spans="31:53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</row>
    <row r="70" spans="31:53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</row>
    <row r="71" spans="31:53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</row>
    <row r="72" spans="31:53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</row>
    <row r="73" spans="31:53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</row>
    <row r="74" spans="31:53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</row>
    <row r="75" spans="31:53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</row>
    <row r="76" spans="31:53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</row>
    <row r="77" spans="31:53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</row>
    <row r="78" spans="31:53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</row>
    <row r="79" spans="31:53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</row>
    <row r="80" spans="31:53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</row>
    <row r="81" spans="31:53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</row>
    <row r="82" spans="31:53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</row>
    <row r="83" spans="31:53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</row>
    <row r="84" spans="31:53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</row>
    <row r="85" spans="31:53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</row>
    <row r="86" spans="31:53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</row>
    <row r="87" spans="31:53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</row>
    <row r="88" spans="31:53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</row>
    <row r="89" spans="31:53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</row>
    <row r="90" spans="31:53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</row>
    <row r="91" spans="31:53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</row>
    <row r="92" spans="31:53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</row>
    <row r="93" spans="31:53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</row>
    <row r="94" spans="31:53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</row>
    <row r="95" spans="31:53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</row>
    <row r="96" spans="31:53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</row>
    <row r="97" spans="31:53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</row>
    <row r="98" spans="31:53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</row>
    <row r="99" spans="31:53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</row>
    <row r="100" spans="31:53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</row>
    <row r="101" spans="31:53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</row>
    <row r="102" spans="31:53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</row>
    <row r="103" spans="31:53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</row>
    <row r="104" spans="31:53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</row>
    <row r="105" spans="31:53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</row>
    <row r="106" spans="31:53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</row>
    <row r="107" spans="31:53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</row>
    <row r="108" spans="31:53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</row>
    <row r="109" spans="31:53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</row>
    <row r="110" spans="31:53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</row>
    <row r="111" spans="31:53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</row>
    <row r="112" spans="31:53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</row>
    <row r="113" spans="31:53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</row>
    <row r="114" spans="31:53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</row>
    <row r="115" spans="31:53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</row>
    <row r="116" spans="31:53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</row>
    <row r="117" spans="31:53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</row>
    <row r="118" spans="31:53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</row>
    <row r="119" spans="31:53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</row>
    <row r="120" spans="31:53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</row>
    <row r="121" spans="31:53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</row>
    <row r="122" spans="31:53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</row>
    <row r="123" spans="31:53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</row>
    <row r="124" spans="31:53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</row>
    <row r="125" spans="31:53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</row>
    <row r="126" spans="31:53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</row>
    <row r="127" spans="31:53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</row>
    <row r="128" spans="31:53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</row>
    <row r="129" spans="31:53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</row>
    <row r="130" spans="31:53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</row>
    <row r="131" spans="31:53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</row>
    <row r="132" spans="31:53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</row>
    <row r="133" spans="31:53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</row>
    <row r="134" spans="31:53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</row>
    <row r="135" spans="31:53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/>
    </row>
    <row r="136" spans="31:53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</row>
    <row r="137" spans="31:53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</row>
    <row r="138" spans="31:53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</row>
    <row r="139" spans="31:53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</row>
    <row r="140" spans="31:53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</row>
    <row r="141" spans="31:53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</row>
    <row r="142" spans="31:53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</row>
    <row r="143" spans="31:53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</row>
    <row r="144" spans="31:53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</row>
    <row r="145" spans="31:53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</row>
    <row r="146" spans="31:53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/>
    </row>
    <row r="147" spans="31:53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/>
    </row>
    <row r="148" spans="31:53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</row>
    <row r="149" spans="31:53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/>
    </row>
    <row r="150" spans="31:53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/>
    </row>
    <row r="151" spans="31:53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/>
    </row>
    <row r="152" spans="31:53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</row>
    <row r="153" spans="31:53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</row>
    <row r="154" spans="31:53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</row>
    <row r="155" spans="31:53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</row>
    <row r="156" spans="31:53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</row>
    <row r="157" spans="31:53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</row>
    <row r="158" spans="31:53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</row>
    <row r="159" spans="31:53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</row>
    <row r="160" spans="31:53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</row>
    <row r="161" spans="31:53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</row>
    <row r="162" spans="31:53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</row>
    <row r="163" spans="31:53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</row>
    <row r="164" spans="31:53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</row>
    <row r="165" spans="31:53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</row>
    <row r="166" spans="31:53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</row>
    <row r="167" spans="31:53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</row>
    <row r="168" spans="31:53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</row>
    <row r="169" spans="31:53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</row>
    <row r="170" spans="31:53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</row>
    <row r="171" spans="31:53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</row>
    <row r="172" spans="31:53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/>
    </row>
    <row r="173" spans="31:53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/>
    </row>
    <row r="174" spans="31:53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/>
    </row>
    <row r="175" spans="31:53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/>
    </row>
    <row r="176" spans="31:53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/>
    </row>
    <row r="177" spans="31:53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</row>
    <row r="178" spans="31:53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/>
    </row>
    <row r="179" spans="31:53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</row>
    <row r="180" spans="31:53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/>
    </row>
    <row r="181" spans="31:53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</row>
    <row r="182" spans="31:53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/>
    </row>
    <row r="183" spans="31:53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/>
    </row>
    <row r="184" spans="31:53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</row>
    <row r="185" spans="31:53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/>
    </row>
    <row r="186" spans="31:53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</row>
    <row r="187" spans="31:53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/>
    </row>
    <row r="188" spans="31:53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</row>
    <row r="189" spans="31:53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/>
    </row>
    <row r="190" spans="31:53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</row>
    <row r="191" spans="31:53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</row>
    <row r="192" spans="31:53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</row>
  </sheetData>
  <mergeCells count="2">
    <mergeCell ref="CA31:CB31"/>
    <mergeCell ref="AD27:CE30"/>
  </mergeCells>
  <pageMargins left="0.7" right="0.7" top="1" bottom="0.7" header="0.5" footer="0.5"/>
  <pageSetup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16">
    <tabColor rgb="FFFFFF00"/>
  </sheetPr>
  <dimension ref="A1:DD192"/>
  <sheetViews>
    <sheetView defaultGridColor="0" colorId="22" zoomScale="120" zoomScaleNormal="120" workbookViewId="0">
      <pane xSplit="1" topLeftCell="Z1" activePane="topRight" state="frozen"/>
      <selection activeCell="A2" sqref="A2"/>
      <selection pane="topRight" activeCell="AF6" sqref="AF6"/>
    </sheetView>
  </sheetViews>
  <sheetFormatPr baseColWidth="10" defaultColWidth="9.42578125" defaultRowHeight="20" customHeight="1" x14ac:dyDescent="0.2"/>
  <cols>
    <col min="1" max="1" width="48.7109375" style="5" bestFit="1" customWidth="1"/>
    <col min="2" max="24" width="5.7109375" style="5" customWidth="1"/>
    <col min="25" max="25" width="6.85546875" style="5" customWidth="1"/>
    <col min="26" max="26" width="7.28515625" style="5" customWidth="1"/>
    <col min="27" max="29" width="8.7109375" style="5" customWidth="1"/>
    <col min="30" max="30" width="6.7109375" style="5" customWidth="1"/>
    <col min="31" max="31" width="6.85546875" customWidth="1"/>
    <col min="32" max="52" width="9.42578125" customWidth="1"/>
    <col min="53" max="74" width="9.42578125" style="5" customWidth="1"/>
    <col min="75" max="75" width="4.7109375" style="5" customWidth="1"/>
    <col min="76" max="76" width="11.28515625" style="5" customWidth="1"/>
    <col min="77" max="77" width="13.28515625" style="5" customWidth="1"/>
    <col min="78" max="78" width="9.42578125" style="5" customWidth="1"/>
    <col min="79" max="79" width="21.7109375" style="5" customWidth="1"/>
    <col min="80" max="80" width="16.140625" style="5" customWidth="1"/>
    <col min="81" max="81" width="17.7109375" style="5" customWidth="1"/>
    <col min="82" max="82" width="16.85546875" style="5" customWidth="1"/>
    <col min="83" max="84" width="9.42578125" style="5" customWidth="1"/>
    <col min="85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39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BA1" s="35"/>
      <c r="BE1" s="35"/>
    </row>
    <row r="2" spans="1:108" s="34" customFormat="1" ht="25" customHeight="1" x14ac:dyDescent="0.25">
      <c r="A2" s="36" t="s">
        <v>106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61</v>
      </c>
      <c r="C5" s="16">
        <v>77</v>
      </c>
      <c r="D5" s="16">
        <v>97</v>
      </c>
      <c r="E5" s="16">
        <v>40</v>
      </c>
      <c r="F5" s="16">
        <v>180</v>
      </c>
      <c r="G5" s="16">
        <v>23</v>
      </c>
      <c r="H5" s="16">
        <v>110</v>
      </c>
      <c r="I5" s="16">
        <v>229</v>
      </c>
      <c r="J5" s="16">
        <v>122</v>
      </c>
      <c r="K5" s="16">
        <v>216</v>
      </c>
      <c r="L5" s="16">
        <v>206</v>
      </c>
      <c r="M5" s="16">
        <v>220</v>
      </c>
      <c r="N5" s="16">
        <v>226</v>
      </c>
      <c r="O5" s="16">
        <v>206</v>
      </c>
      <c r="P5" s="16">
        <v>165</v>
      </c>
      <c r="Q5" s="16">
        <v>170</v>
      </c>
      <c r="R5" s="16">
        <v>207</v>
      </c>
      <c r="S5" s="16"/>
      <c r="T5" s="16"/>
      <c r="U5" s="17">
        <v>152</v>
      </c>
      <c r="V5" s="17"/>
      <c r="W5" s="17">
        <v>290</v>
      </c>
      <c r="X5" s="17">
        <v>193</v>
      </c>
      <c r="Y5" s="17">
        <v>154</v>
      </c>
      <c r="Z5" s="17">
        <v>148</v>
      </c>
      <c r="AA5" s="76">
        <v>165</v>
      </c>
      <c r="AB5" s="17">
        <v>372</v>
      </c>
      <c r="AC5" s="17">
        <v>200</v>
      </c>
      <c r="AD5" s="17">
        <v>53</v>
      </c>
      <c r="AE5" s="10">
        <v>383</v>
      </c>
      <c r="AF5" s="112">
        <v>409</v>
      </c>
      <c r="AG5" s="10">
        <v>34</v>
      </c>
      <c r="AH5" s="10">
        <f>36+29+39+30+41+46+43+39+50+77+50+6+2</f>
        <v>488</v>
      </c>
      <c r="AI5" s="10">
        <v>266</v>
      </c>
      <c r="AJ5" s="182">
        <f>(1+1+2+2+3)+(2+4+3+2+2+2+1+2)+(4+2+1+8+8+2+4+2+4+2+2+2+2+2+2+2+4+2+2+1+1+1+2+3+2+4+2+6+3+2+2+1+2+3)+(2+2+3+3+2+2+2+3+2+1+2+6+1+2+2+2+2+2+3+3+4+3+2+1+1+2+1+1+3+2+1+1+1+1+1+1+2+2+2)+(2+2+1+2+1+1+22+3+2+5+2+3+1+3+2+1+1+1+2+1+2+2+3)+(8+2+21+2+2+2+2+2+1+2+2+2+2+2+4+4+1+5+2+5+2+2+3+3+1+1+2+1+1+1+2+1+2)</f>
        <v>358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115.5</v>
      </c>
      <c r="BK5">
        <f t="shared" ref="BK5:DD16" si="0">AVERAGE(C5:L5)</f>
        <v>130</v>
      </c>
      <c r="BL5">
        <f>AVERAGE(D5:M5)</f>
        <v>144.30000000000001</v>
      </c>
      <c r="BM5">
        <f t="shared" si="0"/>
        <v>157.19999999999999</v>
      </c>
      <c r="BN5">
        <f t="shared" si="0"/>
        <v>173.8</v>
      </c>
      <c r="BO5">
        <f t="shared" si="0"/>
        <v>172.3</v>
      </c>
      <c r="BP5">
        <f t="shared" si="0"/>
        <v>187</v>
      </c>
      <c r="BQ5">
        <f t="shared" si="0"/>
        <v>196.7</v>
      </c>
      <c r="BR5">
        <f t="shared" si="0"/>
        <v>193.11111111111111</v>
      </c>
      <c r="BS5">
        <f t="shared" si="0"/>
        <v>202</v>
      </c>
      <c r="BT5">
        <f t="shared" si="0"/>
        <v>194</v>
      </c>
      <c r="BU5">
        <f t="shared" si="0"/>
        <v>192.28571428571428</v>
      </c>
      <c r="BV5">
        <f t="shared" si="0"/>
        <v>202.28571428571428</v>
      </c>
      <c r="BW5">
        <f t="shared" si="0"/>
        <v>197.57142857142858</v>
      </c>
      <c r="BX5">
        <f t="shared" si="0"/>
        <v>190.14285714285714</v>
      </c>
      <c r="BY5">
        <f t="shared" si="0"/>
        <v>187.71428571428572</v>
      </c>
      <c r="BZ5">
        <f t="shared" si="0"/>
        <v>187</v>
      </c>
      <c r="CA5">
        <f t="shared" si="0"/>
        <v>210.57142857142858</v>
      </c>
      <c r="CB5">
        <f t="shared" si="0"/>
        <v>209.25</v>
      </c>
      <c r="CC5">
        <f t="shared" si="0"/>
        <v>191.88888888888889</v>
      </c>
      <c r="CD5">
        <f t="shared" si="0"/>
        <v>217.55555555555554</v>
      </c>
      <c r="CE5">
        <f t="shared" si="0"/>
        <v>236.7</v>
      </c>
      <c r="CF5">
        <f t="shared" si="0"/>
        <v>211.1</v>
      </c>
      <c r="CG5">
        <f t="shared" si="0"/>
        <v>240.6</v>
      </c>
      <c r="CH5">
        <f t="shared" si="0"/>
        <v>251.8</v>
      </c>
      <c r="CI5">
        <f t="shared" si="0"/>
        <v>272.8</v>
      </c>
      <c r="CJ5">
        <f t="shared" si="0"/>
        <v>284.77777777777777</v>
      </c>
      <c r="CK5">
        <f t="shared" si="0"/>
        <v>273.875</v>
      </c>
      <c r="CL5">
        <f t="shared" si="0"/>
        <v>284.42857142857144</v>
      </c>
      <c r="CM5">
        <f t="shared" si="0"/>
        <v>323</v>
      </c>
      <c r="CN5">
        <f t="shared" si="0"/>
        <v>311</v>
      </c>
      <c r="CO5">
        <f t="shared" si="0"/>
        <v>286.5</v>
      </c>
      <c r="CP5">
        <f t="shared" si="0"/>
        <v>370.66666666666669</v>
      </c>
      <c r="CQ5">
        <f t="shared" si="0"/>
        <v>312</v>
      </c>
      <c r="CR5">
        <f t="shared" si="0"/>
        <v>358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#N/A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243</v>
      </c>
      <c r="C6" s="14">
        <v>151</v>
      </c>
      <c r="D6" s="14">
        <v>38</v>
      </c>
      <c r="E6" s="14">
        <v>21</v>
      </c>
      <c r="F6" s="14">
        <v>82</v>
      </c>
      <c r="G6" s="14">
        <v>45</v>
      </c>
      <c r="H6" s="14">
        <v>231</v>
      </c>
      <c r="I6" s="14">
        <v>255</v>
      </c>
      <c r="J6" s="14">
        <v>264</v>
      </c>
      <c r="K6" s="14">
        <v>91</v>
      </c>
      <c r="L6" s="14">
        <v>122</v>
      </c>
      <c r="M6" s="14">
        <v>322</v>
      </c>
      <c r="N6" s="14">
        <v>301</v>
      </c>
      <c r="O6" s="14">
        <v>290</v>
      </c>
      <c r="P6" s="14">
        <v>232</v>
      </c>
      <c r="Q6" s="14">
        <v>167</v>
      </c>
      <c r="R6" s="14">
        <v>142</v>
      </c>
      <c r="S6" s="14"/>
      <c r="T6" s="14"/>
      <c r="U6" s="15">
        <v>117</v>
      </c>
      <c r="V6" s="15"/>
      <c r="W6" s="15">
        <v>248</v>
      </c>
      <c r="X6" s="15">
        <v>176</v>
      </c>
      <c r="Y6" s="15">
        <v>183</v>
      </c>
      <c r="Z6" s="15">
        <v>145</v>
      </c>
      <c r="AA6" s="76">
        <v>168</v>
      </c>
      <c r="AB6" s="15">
        <v>491</v>
      </c>
      <c r="AC6" s="15">
        <v>428</v>
      </c>
      <c r="AD6" s="15">
        <v>33</v>
      </c>
      <c r="AE6" s="124">
        <v>438</v>
      </c>
      <c r="AF6" s="160">
        <v>326</v>
      </c>
      <c r="AG6" s="124">
        <f>30+40+37+39+40+39+46+5</f>
        <v>276</v>
      </c>
      <c r="AH6" s="124">
        <f>30+32+46+43+46+34+47+38+37</f>
        <v>353</v>
      </c>
      <c r="AI6" s="124">
        <v>511</v>
      </c>
      <c r="AJ6" s="124">
        <f>(2+3+2)+(2+5+2+3+2+1)+(1+2+1)+(2+1+2+2+2+1+5+2+1+2+1+2+4+2+2+1+2+1+4+1+1+2+1+2+1+3+1+1+1+4+2+1+2+2+2+1+2)+(2+2+3+3+2+2+2+1+2+2+2+2+2+1+1+1+1+2+4+2+1+2+1+1+2+2+1+2+1+1+1+1+3+1+2+1)+(1+1+1+1+2+1+1+2+2+1+2+1+2+2+1+1+2+1)</f>
        <v>182</v>
      </c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142.1</v>
      </c>
      <c r="BK6">
        <f t="shared" si="0"/>
        <v>130</v>
      </c>
      <c r="BL6">
        <f t="shared" ref="BL6:BL16" si="2">AVERAGE(D6:M6)</f>
        <v>147.1</v>
      </c>
      <c r="BM6">
        <f t="shared" si="0"/>
        <v>173.4</v>
      </c>
      <c r="BN6">
        <f t="shared" si="0"/>
        <v>200.3</v>
      </c>
      <c r="BO6">
        <f t="shared" si="0"/>
        <v>215.3</v>
      </c>
      <c r="BP6">
        <f t="shared" si="0"/>
        <v>227.5</v>
      </c>
      <c r="BQ6">
        <f t="shared" si="0"/>
        <v>218.6</v>
      </c>
      <c r="BR6">
        <f t="shared" ref="BR6:BS16" si="3">AVERAGE(J6:S6)</f>
        <v>214.55555555555554</v>
      </c>
      <c r="BS6">
        <f t="shared" si="3"/>
        <v>208.375</v>
      </c>
      <c r="BT6">
        <f t="shared" si="0"/>
        <v>211.625</v>
      </c>
      <c r="BU6">
        <f t="shared" si="0"/>
        <v>224.42857142857142</v>
      </c>
      <c r="BV6">
        <f t="shared" si="0"/>
        <v>213.85714285714286</v>
      </c>
      <c r="BW6">
        <f t="shared" si="0"/>
        <v>196</v>
      </c>
      <c r="BX6">
        <f t="shared" si="0"/>
        <v>180.71428571428572</v>
      </c>
      <c r="BY6">
        <f t="shared" si="0"/>
        <v>168.28571428571428</v>
      </c>
      <c r="BZ6">
        <f t="shared" si="0"/>
        <v>168.42857142857142</v>
      </c>
      <c r="CA6">
        <f t="shared" si="0"/>
        <v>218.28571428571428</v>
      </c>
      <c r="CB6">
        <f t="shared" si="0"/>
        <v>244.5</v>
      </c>
      <c r="CC6">
        <f t="shared" si="0"/>
        <v>221</v>
      </c>
      <c r="CD6">
        <f t="shared" si="0"/>
        <v>256.66666666666669</v>
      </c>
      <c r="CE6">
        <f t="shared" si="0"/>
        <v>263.60000000000002</v>
      </c>
      <c r="CF6">
        <f t="shared" ref="CF6:CF16" si="4">AVERAGE(X6:AG6)</f>
        <v>266.39999999999998</v>
      </c>
      <c r="CG6">
        <f t="shared" ref="CG6:CG16" si="5">AVERAGE(Y6:AH6)</f>
        <v>284.10000000000002</v>
      </c>
      <c r="CH6">
        <f t="shared" ref="CH6:CH16" si="6">AVERAGE(Z6:AI6)</f>
        <v>316.89999999999998</v>
      </c>
      <c r="CI6">
        <f t="shared" ref="CI6:CI16" si="7">AVERAGE(AA6:AJ6)</f>
        <v>320.60000000000002</v>
      </c>
      <c r="CJ6">
        <f t="shared" ref="CJ6:CJ16" si="8">AVERAGE(AB6:AK6)</f>
        <v>337.55555555555554</v>
      </c>
      <c r="CK6">
        <f t="shared" ref="CK6:CK16" si="9">AVERAGE(AC6:AL6)</f>
        <v>318.375</v>
      </c>
      <c r="CL6">
        <f t="shared" ref="CL6:CL16" si="10">AVERAGE(AD6:AM6)</f>
        <v>302.71428571428572</v>
      </c>
      <c r="CM6">
        <f t="shared" ref="CM6:CM16" si="11">AVERAGE(AE6:AN6)</f>
        <v>347.66666666666669</v>
      </c>
      <c r="CN6">
        <f t="shared" ref="CN6:CN16" si="12">AVERAGE(AF6:AO6)</f>
        <v>329.6</v>
      </c>
      <c r="CO6">
        <f t="shared" ref="CO6:CO16" si="13">AVERAGE(AG6:AP6)</f>
        <v>330.5</v>
      </c>
      <c r="CP6">
        <f t="shared" ref="CP6:CP16" si="14">AVERAGE(AH6:AQ6)</f>
        <v>348.66666666666669</v>
      </c>
      <c r="CQ6">
        <f t="shared" ref="CQ6:CQ17" si="15">AVERAGE(AI6:AR6)</f>
        <v>346.5</v>
      </c>
      <c r="CR6">
        <f t="shared" ref="CR6:CR16" si="16">AVERAGE(AJ6:AS6)</f>
        <v>182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211</v>
      </c>
      <c r="C7" s="16">
        <v>103</v>
      </c>
      <c r="D7" s="16">
        <v>44</v>
      </c>
      <c r="E7" s="16">
        <v>38</v>
      </c>
      <c r="F7" s="16">
        <v>270</v>
      </c>
      <c r="G7" s="16">
        <v>201</v>
      </c>
      <c r="H7" s="16">
        <v>179</v>
      </c>
      <c r="I7" s="16">
        <v>271</v>
      </c>
      <c r="J7" s="16">
        <v>460</v>
      </c>
      <c r="K7" s="16">
        <v>330</v>
      </c>
      <c r="L7" s="16">
        <v>120</v>
      </c>
      <c r="M7" s="16">
        <v>392</v>
      </c>
      <c r="N7" s="16">
        <v>388</v>
      </c>
      <c r="O7" s="16">
        <v>370</v>
      </c>
      <c r="P7" s="16">
        <v>296</v>
      </c>
      <c r="Q7" s="16">
        <v>349</v>
      </c>
      <c r="R7" s="16">
        <v>254</v>
      </c>
      <c r="S7" s="16"/>
      <c r="T7" s="16"/>
      <c r="U7" s="17">
        <v>273</v>
      </c>
      <c r="V7" s="17"/>
      <c r="W7" s="17">
        <v>507</v>
      </c>
      <c r="X7" s="17">
        <v>414</v>
      </c>
      <c r="Y7" s="17">
        <v>177</v>
      </c>
      <c r="Z7" s="17">
        <v>284</v>
      </c>
      <c r="AA7" s="76">
        <v>291.66666666666669</v>
      </c>
      <c r="AB7" s="17">
        <v>301</v>
      </c>
      <c r="AC7" s="17">
        <v>551</v>
      </c>
      <c r="AD7" s="17">
        <v>61</v>
      </c>
      <c r="AE7" s="10">
        <v>678</v>
      </c>
      <c r="AF7" s="112">
        <v>387</v>
      </c>
      <c r="AG7" s="10">
        <f>35+37+29+46+32+38+37+35+37+37+44+14</f>
        <v>421</v>
      </c>
      <c r="AH7" s="10">
        <f>8+28+34+33+41+39+25+41+52+26</f>
        <v>327</v>
      </c>
      <c r="AI7" s="10">
        <v>571</v>
      </c>
      <c r="AJ7" s="182">
        <f>(1+2+2+2+1+1+1+2+4+2+2+1)+(6+2+2+2+1+1+1+3+2+3+1+3+1+2+1+1+2+3+2+1+4+2+4+1+2+1+1+2+1+1+2+2+2+2+1)+(1+2+1+4+8+1+1+4+2+2+2+2+1+2+14+2+1+1+2+1+2+5+2+2+5+2+1+2+2+2+4+2+2+1+2+3+1+1)+(3+2+2+1+2+4+2+4+1+1+4+1+2+1+3+1+21+1+2+3+1+2+4+2+3+1+2+5+3+6+4+2+2+1+1)+(1+1+1+11+1+9+3+1+1+2+3+2+1+1+1+1+1+4+2+2+2+2+2+2)+(1+1+1+2+1+1+1+2+22+4+1+2+3+3+3+2+2+5+3+2+2+1+3+2+2+2+2+2+2+2+2+1)</f>
        <v>426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210.7</v>
      </c>
      <c r="BK7">
        <f t="shared" si="0"/>
        <v>201.6</v>
      </c>
      <c r="BL7">
        <f t="shared" si="2"/>
        <v>230.5</v>
      </c>
      <c r="BM7">
        <f t="shared" si="0"/>
        <v>264.89999999999998</v>
      </c>
      <c r="BN7">
        <f t="shared" si="0"/>
        <v>298.10000000000002</v>
      </c>
      <c r="BO7">
        <f t="shared" si="0"/>
        <v>300.7</v>
      </c>
      <c r="BP7">
        <f t="shared" si="0"/>
        <v>315.5</v>
      </c>
      <c r="BQ7">
        <f t="shared" si="0"/>
        <v>323</v>
      </c>
      <c r="BR7">
        <f t="shared" si="3"/>
        <v>328.77777777777777</v>
      </c>
      <c r="BS7">
        <f t="shared" si="3"/>
        <v>312.375</v>
      </c>
      <c r="BT7">
        <f t="shared" si="0"/>
        <v>305.25</v>
      </c>
      <c r="BU7">
        <f t="shared" si="0"/>
        <v>331.71428571428572</v>
      </c>
      <c r="BV7">
        <f t="shared" si="0"/>
        <v>348.14285714285717</v>
      </c>
      <c r="BW7">
        <f t="shared" si="0"/>
        <v>351.85714285714283</v>
      </c>
      <c r="BX7">
        <f>AVERAGE(P7:Y7)</f>
        <v>324.28571428571428</v>
      </c>
      <c r="BY7">
        <f t="shared" si="0"/>
        <v>322.57142857142856</v>
      </c>
      <c r="BZ7">
        <f t="shared" si="0"/>
        <v>314.38095238095235</v>
      </c>
      <c r="CA7">
        <f t="shared" si="0"/>
        <v>321.09523809523813</v>
      </c>
      <c r="CB7">
        <f t="shared" si="0"/>
        <v>349.83333333333337</v>
      </c>
      <c r="CC7">
        <f t="shared" si="0"/>
        <v>317.74074074074076</v>
      </c>
      <c r="CD7">
        <f t="shared" si="0"/>
        <v>362.74074074074076</v>
      </c>
      <c r="CE7">
        <f>AVERAGE(W7:AF7)</f>
        <v>365.16666666666669</v>
      </c>
      <c r="CF7">
        <f t="shared" si="4"/>
        <v>356.56666666666672</v>
      </c>
      <c r="CG7">
        <f t="shared" si="5"/>
        <v>347.86666666666667</v>
      </c>
      <c r="CH7">
        <f t="shared" si="6"/>
        <v>387.26666666666671</v>
      </c>
      <c r="CI7">
        <f t="shared" si="7"/>
        <v>401.4666666666667</v>
      </c>
      <c r="CJ7">
        <f t="shared" si="8"/>
        <v>413.66666666666669</v>
      </c>
      <c r="CK7">
        <f t="shared" si="9"/>
        <v>427.75</v>
      </c>
      <c r="CL7">
        <f t="shared" si="10"/>
        <v>410.14285714285717</v>
      </c>
      <c r="CM7">
        <f t="shared" si="11"/>
        <v>468.33333333333331</v>
      </c>
      <c r="CN7">
        <f t="shared" si="12"/>
        <v>426.4</v>
      </c>
      <c r="CO7">
        <f t="shared" si="13"/>
        <v>436.25</v>
      </c>
      <c r="CP7">
        <f t="shared" si="14"/>
        <v>441.33333333333331</v>
      </c>
      <c r="CQ7">
        <f t="shared" si="15"/>
        <v>498.5</v>
      </c>
      <c r="CR7">
        <f t="shared" si="16"/>
        <v>426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363</v>
      </c>
      <c r="C8" s="14">
        <v>137</v>
      </c>
      <c r="D8" s="14">
        <v>202</v>
      </c>
      <c r="E8" s="14">
        <v>261</v>
      </c>
      <c r="F8" s="14">
        <v>612</v>
      </c>
      <c r="G8" s="14">
        <v>346</v>
      </c>
      <c r="H8" s="14">
        <v>444</v>
      </c>
      <c r="I8" s="14">
        <v>464</v>
      </c>
      <c r="J8" s="14">
        <v>639</v>
      </c>
      <c r="K8" s="14">
        <v>477</v>
      </c>
      <c r="L8" s="14">
        <v>597</v>
      </c>
      <c r="M8" s="14">
        <v>427</v>
      </c>
      <c r="N8" s="14">
        <v>454</v>
      </c>
      <c r="O8" s="14">
        <v>480</v>
      </c>
      <c r="P8" s="14">
        <v>384</v>
      </c>
      <c r="Q8" s="14">
        <v>665</v>
      </c>
      <c r="R8" s="14">
        <v>515</v>
      </c>
      <c r="S8" s="14"/>
      <c r="T8" s="14"/>
      <c r="U8" s="15">
        <v>777</v>
      </c>
      <c r="V8" s="15"/>
      <c r="W8" s="15">
        <v>719</v>
      </c>
      <c r="X8" s="15">
        <v>706</v>
      </c>
      <c r="Y8" s="15">
        <v>750</v>
      </c>
      <c r="Z8" s="15">
        <v>878</v>
      </c>
      <c r="AA8" s="76">
        <v>778</v>
      </c>
      <c r="AB8" s="15">
        <v>1453</v>
      </c>
      <c r="AC8" s="15">
        <v>1068</v>
      </c>
      <c r="AD8" s="15">
        <v>35</v>
      </c>
      <c r="AE8" s="124">
        <v>384</v>
      </c>
      <c r="AF8" s="160">
        <v>569</v>
      </c>
      <c r="AG8" s="124">
        <f>19+64+35+39+34+17+49+36+28+43+56+58+39+57+44+36+47+51+36+41+37+40</f>
        <v>906</v>
      </c>
      <c r="AH8" s="124">
        <f>8+36+35+43+32+42+33+55+37+17+51+31+41+25+44+40+41+48+35+37+53+26</f>
        <v>810</v>
      </c>
      <c r="AI8" s="124">
        <v>643</v>
      </c>
      <c r="AJ8" s="124">
        <f>(1+3+2+2+2+1+1+2+4+1+1+5+2+2+2+2+2)+(1+1+1+1+1+1+2+1+4+1+2+2+1+1+1+1+9+2+1+2+1+2+6+1+2+2+1+1+1+3+2+2+2+3+1+2+1)+(2+2+2+2+1+2+2+2+2+2+1+1+2+2+2+3+5+2+2+1+2+1+1+1+1+5+5+2+1+4+1+3+2+2+3+2+2)+(3+3+1+2+4+2+2+7+3+3+1+1+1+1+1+1+2+2+3+1+2+2+1+3+1+1+2+5+1+1+1+2+2+4+2+2+2+1+2)+(2+1+1+4+6+5+2+2+1+2+6+1+1+1+1+1+4+2+1+1)+(1+2+1+1+3+2+4+2+2+1+2+2+1+3+1+2+2+2+1+2+2+3+3+1+3+3+13+2+2+2+6+1+2+1+2+1)+(2+2+2+1+1+1+2+3+3+2+2+1+3+2+2+2+3+2+2+1+1+1+2+1+2+2+2+1+4+4+2+1+1+2+1+3+6+2)+(3+1+2+4+2+10+2+7+4+3+2+3+1+4+4+4+4+2+1+2+1+1+2+2+2+4+1+1+1+2+1+1+1+2+2+2+1+1+1+2+1+2+2+1+1+1+2+1)</f>
        <v>576</v>
      </c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394.5</v>
      </c>
      <c r="BK8">
        <f t="shared" si="0"/>
        <v>417.9</v>
      </c>
      <c r="BL8">
        <f t="shared" si="2"/>
        <v>446.9</v>
      </c>
      <c r="BM8">
        <f t="shared" si="0"/>
        <v>472.1</v>
      </c>
      <c r="BN8">
        <f t="shared" si="0"/>
        <v>494</v>
      </c>
      <c r="BO8">
        <f t="shared" si="0"/>
        <v>471.2</v>
      </c>
      <c r="BP8">
        <f t="shared" si="0"/>
        <v>503.1</v>
      </c>
      <c r="BQ8">
        <f t="shared" si="0"/>
        <v>510.2</v>
      </c>
      <c r="BR8">
        <f t="shared" si="3"/>
        <v>515.33333333333337</v>
      </c>
      <c r="BS8">
        <f t="shared" si="3"/>
        <v>499.875</v>
      </c>
      <c r="BT8">
        <f>AVERAGE(L8:U8)</f>
        <v>537.375</v>
      </c>
      <c r="BU8">
        <f t="shared" si="0"/>
        <v>528.85714285714289</v>
      </c>
      <c r="BV8">
        <f t="shared" si="0"/>
        <v>570.57142857142856</v>
      </c>
      <c r="BW8">
        <f t="shared" si="0"/>
        <v>606.57142857142856</v>
      </c>
      <c r="BX8">
        <f t="shared" si="0"/>
        <v>645.14285714285711</v>
      </c>
      <c r="BY8">
        <f t="shared" si="0"/>
        <v>715.71428571428567</v>
      </c>
      <c r="BZ8">
        <f t="shared" si="0"/>
        <v>731.85714285714289</v>
      </c>
      <c r="CA8">
        <f t="shared" si="0"/>
        <v>865.85714285714289</v>
      </c>
      <c r="CB8">
        <f t="shared" si="0"/>
        <v>891.125</v>
      </c>
      <c r="CC8">
        <f t="shared" si="0"/>
        <v>796</v>
      </c>
      <c r="CD8">
        <f t="shared" si="0"/>
        <v>752.33333333333337</v>
      </c>
      <c r="CE8">
        <f t="shared" si="0"/>
        <v>734</v>
      </c>
      <c r="CF8">
        <f t="shared" si="4"/>
        <v>752.7</v>
      </c>
      <c r="CG8">
        <f t="shared" si="5"/>
        <v>763.1</v>
      </c>
      <c r="CH8">
        <f t="shared" si="6"/>
        <v>752.4</v>
      </c>
      <c r="CI8">
        <f t="shared" si="7"/>
        <v>722.2</v>
      </c>
      <c r="CJ8">
        <f t="shared" si="8"/>
        <v>716</v>
      </c>
      <c r="CK8">
        <f t="shared" si="9"/>
        <v>623.875</v>
      </c>
      <c r="CL8">
        <f t="shared" si="10"/>
        <v>560.42857142857144</v>
      </c>
      <c r="CM8">
        <f t="shared" si="11"/>
        <v>648</v>
      </c>
      <c r="CN8">
        <f t="shared" si="12"/>
        <v>700.8</v>
      </c>
      <c r="CO8">
        <f t="shared" si="13"/>
        <v>733.75</v>
      </c>
      <c r="CP8">
        <f t="shared" si="14"/>
        <v>676.33333333333337</v>
      </c>
      <c r="CQ8">
        <f t="shared" si="15"/>
        <v>609.5</v>
      </c>
      <c r="CR8">
        <f t="shared" si="16"/>
        <v>576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534</v>
      </c>
      <c r="C9" s="16">
        <v>400</v>
      </c>
      <c r="D9" s="16">
        <v>463</v>
      </c>
      <c r="E9" s="16">
        <v>681</v>
      </c>
      <c r="F9" s="16">
        <v>707</v>
      </c>
      <c r="G9" s="16">
        <v>588</v>
      </c>
      <c r="H9" s="16">
        <v>916</v>
      </c>
      <c r="I9" s="16">
        <v>803</v>
      </c>
      <c r="J9" s="16">
        <v>730</v>
      </c>
      <c r="K9" s="16">
        <v>642</v>
      </c>
      <c r="L9" s="16">
        <v>622</v>
      </c>
      <c r="M9" s="16">
        <v>618</v>
      </c>
      <c r="N9" s="16">
        <v>640</v>
      </c>
      <c r="O9" s="16">
        <v>660</v>
      </c>
      <c r="P9" s="16">
        <v>485</v>
      </c>
      <c r="Q9" s="16">
        <v>622</v>
      </c>
      <c r="R9" s="16">
        <v>790</v>
      </c>
      <c r="S9" s="16"/>
      <c r="T9" s="16"/>
      <c r="U9" s="17">
        <v>755</v>
      </c>
      <c r="V9" s="17"/>
      <c r="W9" s="17">
        <v>620</v>
      </c>
      <c r="X9" s="17">
        <v>932</v>
      </c>
      <c r="Y9" s="17">
        <v>1322</v>
      </c>
      <c r="Z9" s="17">
        <v>1626</v>
      </c>
      <c r="AA9" s="76">
        <v>1293.3333333333301</v>
      </c>
      <c r="AB9" s="17">
        <v>1620</v>
      </c>
      <c r="AC9" s="17">
        <v>1605</v>
      </c>
      <c r="AD9" s="17">
        <v>1502</v>
      </c>
      <c r="AE9" s="10">
        <v>1007</v>
      </c>
      <c r="AF9" s="112">
        <v>776</v>
      </c>
      <c r="AG9" s="10">
        <f>6+49+26+31+43+37+53+51+33+38+42+40+52+49+41+45+32+31+51+33+42+43+37+57+34+33</f>
        <v>1029</v>
      </c>
      <c r="AH9" s="10">
        <f>4+45+51+42+39+30+40+49+49+33+37+41+41+27+27+45+45+32+47+33+30+46+58+42+39+34+41</f>
        <v>1047</v>
      </c>
      <c r="AI9" s="10">
        <v>927</v>
      </c>
      <c r="AJ9" s="10">
        <f>SUM(2+2+1+1+3+1+1+2+1+2+1+2+3+2+1+2+1+3+2+3+1+2+2+2+1+2+2+7+2+2+2+2+2+2+2+1+1+2+2+1+1+1+2+2+1+20+2+1+2+2+2+2+2+1+1+2+2+6+4+2+4+4+2+2+2+1+3+2+2+1+2+2+2+4+2+2+1+2+4+2+3+2+3+2+2+3+5+4+4+1+2+3+8+1+2+2+2+2+1+2+2+1+1+1+4+1+1+1+1+4+1+2+2+2+2+2+1+1+1+2+2+1+2+2+1+1+3+1+1+4+2+2+6+2+2+2+1+1+2+2+2+2+2+1+2+2+4+1+3+2+8+8+4+4+2+2+3+2+2+2+5+1+1+3+8+1+3+1+3+2+1+3+2+2+2+3+3+2+2+1+2+1+2+3+2+5+3+2+2+2+2+2+2+1+2+4+3+1+4+2+2+2+2+1+2+1+2+2+1+2+1+2+1+2+2+1+1+2+2+1+2+2+1+2+2+3+2+1+2+2+4+2+8+2+12+1+2+2+2+5+1+3+2+2+3+4+2+7+2+3+2+1+2+2+1+2+2+3+2+2+2+1+1+1+1+1+6+3+2+2+4+5+2+2+2+6+2+2+2+4+3+4+6+2+9+2+2+3+2+4+1+1+1+1+1+1+1+2+2+3+1+2+1+2+2+1+3+3+2+1+5+3+2+1+1+3+3+2+2+1+5+1+4+2+2+1+2+1+1+2+1+1+2+2+2+7+2+1+2+1+1+1+6+1+1+2+2+1+2+2+2+2+1+2+2+2+3+4+3+2+1)</f>
        <v>828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646.4</v>
      </c>
      <c r="BK9">
        <f t="shared" si="0"/>
        <v>655.20000000000005</v>
      </c>
      <c r="BL9">
        <f t="shared" si="2"/>
        <v>677</v>
      </c>
      <c r="BM9">
        <f t="shared" si="0"/>
        <v>694.7</v>
      </c>
      <c r="BN9">
        <f t="shared" si="0"/>
        <v>692.6</v>
      </c>
      <c r="BO9">
        <f t="shared" si="0"/>
        <v>670.4</v>
      </c>
      <c r="BP9">
        <f t="shared" si="0"/>
        <v>673.8</v>
      </c>
      <c r="BQ9">
        <f t="shared" si="0"/>
        <v>661.2</v>
      </c>
      <c r="BR9">
        <f t="shared" si="3"/>
        <v>645.44444444444446</v>
      </c>
      <c r="BS9">
        <f t="shared" si="3"/>
        <v>634.875</v>
      </c>
      <c r="BT9">
        <f t="shared" si="0"/>
        <v>649</v>
      </c>
      <c r="BU9">
        <f t="shared" si="0"/>
        <v>652.85714285714289</v>
      </c>
      <c r="BV9">
        <f t="shared" si="0"/>
        <v>653.14285714285711</v>
      </c>
      <c r="BW9">
        <f t="shared" si="0"/>
        <v>694.85714285714289</v>
      </c>
      <c r="BX9">
        <f t="shared" si="0"/>
        <v>789.42857142857144</v>
      </c>
      <c r="BY9">
        <f t="shared" si="0"/>
        <v>952.42857142857144</v>
      </c>
      <c r="BZ9">
        <f t="shared" si="0"/>
        <v>1048.3333333333328</v>
      </c>
      <c r="CA9">
        <f t="shared" si="0"/>
        <v>1166.9047619047615</v>
      </c>
      <c r="CB9">
        <f t="shared" si="0"/>
        <v>1221.6666666666663</v>
      </c>
      <c r="CC9">
        <f t="shared" si="0"/>
        <v>1252.8148148148146</v>
      </c>
      <c r="CD9">
        <f t="shared" si="0"/>
        <v>1280.8148148148146</v>
      </c>
      <c r="CE9">
        <f t="shared" si="0"/>
        <v>1230.333333333333</v>
      </c>
      <c r="CF9">
        <f t="shared" si="4"/>
        <v>1271.2333333333331</v>
      </c>
      <c r="CG9">
        <f t="shared" si="5"/>
        <v>1282.7333333333331</v>
      </c>
      <c r="CH9">
        <f t="shared" si="6"/>
        <v>1243.2333333333331</v>
      </c>
      <c r="CI9">
        <f t="shared" si="7"/>
        <v>1163.4333333333329</v>
      </c>
      <c r="CJ9">
        <f t="shared" si="8"/>
        <v>1149</v>
      </c>
      <c r="CK9">
        <f t="shared" si="9"/>
        <v>1090.125</v>
      </c>
      <c r="CL9">
        <f t="shared" si="10"/>
        <v>1016.5714285714286</v>
      </c>
      <c r="CM9">
        <f t="shared" si="11"/>
        <v>935.66666666666663</v>
      </c>
      <c r="CN9">
        <f t="shared" si="12"/>
        <v>921.4</v>
      </c>
      <c r="CO9">
        <f t="shared" si="13"/>
        <v>957.75</v>
      </c>
      <c r="CP9">
        <f t="shared" si="14"/>
        <v>934</v>
      </c>
      <c r="CQ9">
        <f t="shared" si="15"/>
        <v>877.5</v>
      </c>
      <c r="CR9">
        <f t="shared" si="16"/>
        <v>828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386</v>
      </c>
      <c r="C10" s="14">
        <v>356</v>
      </c>
      <c r="D10" s="14">
        <v>351</v>
      </c>
      <c r="E10" s="14">
        <v>500</v>
      </c>
      <c r="F10" s="14">
        <v>417</v>
      </c>
      <c r="G10" s="14">
        <v>591</v>
      </c>
      <c r="H10" s="14">
        <v>534</v>
      </c>
      <c r="I10" s="14">
        <v>467</v>
      </c>
      <c r="J10" s="14">
        <v>556</v>
      </c>
      <c r="K10" s="14">
        <v>420</v>
      </c>
      <c r="L10" s="14">
        <v>680</v>
      </c>
      <c r="M10" s="14">
        <v>786</v>
      </c>
      <c r="N10" s="14">
        <v>770</v>
      </c>
      <c r="O10" s="14">
        <v>704</v>
      </c>
      <c r="P10" s="14">
        <v>534</v>
      </c>
      <c r="Q10" s="14">
        <v>480</v>
      </c>
      <c r="R10" s="14">
        <v>530</v>
      </c>
      <c r="S10" s="14"/>
      <c r="T10" s="14"/>
      <c r="U10" s="15">
        <v>951</v>
      </c>
      <c r="V10" s="15"/>
      <c r="W10" s="15">
        <v>787</v>
      </c>
      <c r="X10" s="15">
        <v>899</v>
      </c>
      <c r="Y10" s="15">
        <v>1158</v>
      </c>
      <c r="Z10" s="15">
        <v>896</v>
      </c>
      <c r="AA10" s="76">
        <v>984.33333333333337</v>
      </c>
      <c r="AB10" s="15">
        <v>1663</v>
      </c>
      <c r="AC10" s="15">
        <v>1108</v>
      </c>
      <c r="AD10" s="15">
        <v>1606</v>
      </c>
      <c r="AE10" s="124">
        <v>902</v>
      </c>
      <c r="AF10" s="160">
        <v>1014</v>
      </c>
      <c r="AG10" s="124">
        <f>35+41+37+52+41+36+42+53+27+36+39+41+52+64+42+32+42+36+44+35+23+27+42+35+5</f>
        <v>959</v>
      </c>
      <c r="AH10" s="124">
        <f>2+64+38+48+34+53+90+37+39+41+42+31+42+48+42+51+41+38+33+49+22</f>
        <v>885</v>
      </c>
      <c r="AI10" s="124">
        <v>856</v>
      </c>
      <c r="AJ10" s="124">
        <f>SUM(1+3+1+1+1+1+2+2+2+4+1+1+2+2+1+3+3+1+2+2+4+1+2+2+1+4+6+5+1+1+6+12+7+2+1+2+1+1+2+2+2+2+1+2+2+2+1+1+7+2+1+3+4+2+2+2+2+1+2+2+2+1+1+2+7+3+10+2+1+2+3+2+3+4+2+2+4+1+2+2+2+2+2+3+3+3+2+2+3+2+1+2+2+1+4+2+1+1+2+1+1+1+1+1+2+3+1+1+1+2+2+2+2+1+8+2+1+2+17+2+2+5+1+2+1+1+2+2+2+1+2+1+1+1+2+1+4+2+3+2+9+3+2+2+1+2+2+2+4+8+7+7+1+2+2+2+2+2+2+2+2+2+4+4+2+1+3+2+2+1+4+2+1+9+2+1+1+1+2+2+2+1+2+2+1+2+2+2+2+1+2+1+2+4+4+2+2+4+2+2+1+4+2+1+2+1+5+4+4+1+1+2+1+4+2+2+2+2+5+1+2+2+1+1+2+2+2+2+3+3+2+2+2+1+2+2+3+1+4+1+1+1+2+2+3+1+3+2+3+2+2+2+2+4+2+2+2+2+4+1+2+2+2+2+2+2+2+1+4+2+2+2+1+1+1+1+2+1+1+1+2+1+2+1+2+1+2+1+2+2+1+1+2+2+5+2+2+5+2+3+2+7+3+2+2+1+2+2+4+1+2+2+7+2+2+2+4+2+1+2+4+2+4+2+2+2+11+1+2+2+2+4+5+2+2+1+23+2+1+2+2+1+4+2+1+1+2+2+2+2+2+2+2+1+3+4+1+3)</f>
        <v>854</v>
      </c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457.8</v>
      </c>
      <c r="BK10">
        <f t="shared" si="0"/>
        <v>487.2</v>
      </c>
      <c r="BL10">
        <f t="shared" si="2"/>
        <v>530.20000000000005</v>
      </c>
      <c r="BM10">
        <f t="shared" si="0"/>
        <v>572.1</v>
      </c>
      <c r="BN10">
        <f t="shared" si="0"/>
        <v>592.5</v>
      </c>
      <c r="BO10">
        <f t="shared" si="0"/>
        <v>604.20000000000005</v>
      </c>
      <c r="BP10">
        <f t="shared" si="0"/>
        <v>593.1</v>
      </c>
      <c r="BQ10">
        <f t="shared" si="0"/>
        <v>592.70000000000005</v>
      </c>
      <c r="BR10">
        <f t="shared" si="3"/>
        <v>606.66666666666663</v>
      </c>
      <c r="BS10">
        <f t="shared" si="3"/>
        <v>613</v>
      </c>
      <c r="BT10">
        <f t="shared" si="0"/>
        <v>679.375</v>
      </c>
      <c r="BU10">
        <f t="shared" si="0"/>
        <v>679.28571428571433</v>
      </c>
      <c r="BV10">
        <f t="shared" si="0"/>
        <v>679.42857142857144</v>
      </c>
      <c r="BW10">
        <f t="shared" si="0"/>
        <v>697.85714285714289</v>
      </c>
      <c r="BX10">
        <f t="shared" si="0"/>
        <v>762.71428571428567</v>
      </c>
      <c r="BY10">
        <f t="shared" si="0"/>
        <v>814.42857142857144</v>
      </c>
      <c r="BZ10">
        <f t="shared" si="0"/>
        <v>886.47619047619048</v>
      </c>
      <c r="CA10">
        <f t="shared" si="0"/>
        <v>1048.3333333333333</v>
      </c>
      <c r="CB10">
        <f t="shared" si="0"/>
        <v>1055.7916666666665</v>
      </c>
      <c r="CC10">
        <f t="shared" si="0"/>
        <v>1116.9259259259259</v>
      </c>
      <c r="CD10">
        <f t="shared" si="0"/>
        <v>1111.4814814814813</v>
      </c>
      <c r="CE10">
        <f t="shared" si="0"/>
        <v>1101.7333333333331</v>
      </c>
      <c r="CF10">
        <f t="shared" si="4"/>
        <v>1118.9333333333334</v>
      </c>
      <c r="CG10">
        <f t="shared" si="5"/>
        <v>1117.5333333333333</v>
      </c>
      <c r="CH10">
        <f t="shared" si="6"/>
        <v>1087.3333333333335</v>
      </c>
      <c r="CI10">
        <f t="shared" si="7"/>
        <v>1083.1333333333334</v>
      </c>
      <c r="CJ10">
        <f t="shared" si="8"/>
        <v>1094.1111111111111</v>
      </c>
      <c r="CK10">
        <f t="shared" si="9"/>
        <v>1023</v>
      </c>
      <c r="CL10">
        <f t="shared" si="10"/>
        <v>1010.8571428571429</v>
      </c>
      <c r="CM10">
        <f t="shared" si="11"/>
        <v>911.66666666666663</v>
      </c>
      <c r="CN10">
        <f t="shared" si="12"/>
        <v>913.6</v>
      </c>
      <c r="CO10">
        <f t="shared" si="13"/>
        <v>888.5</v>
      </c>
      <c r="CP10">
        <f t="shared" si="14"/>
        <v>865</v>
      </c>
      <c r="CQ10">
        <f t="shared" si="15"/>
        <v>855</v>
      </c>
      <c r="CR10">
        <f t="shared" si="16"/>
        <v>854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287</v>
      </c>
      <c r="C11" s="16">
        <v>370</v>
      </c>
      <c r="D11" s="16">
        <v>385</v>
      </c>
      <c r="E11" s="16">
        <v>483</v>
      </c>
      <c r="F11" s="16">
        <v>300</v>
      </c>
      <c r="G11" s="16">
        <v>806</v>
      </c>
      <c r="H11" s="16">
        <v>816</v>
      </c>
      <c r="I11" s="16">
        <v>764</v>
      </c>
      <c r="J11" s="16">
        <v>620</v>
      </c>
      <c r="K11" s="16">
        <v>813</v>
      </c>
      <c r="L11" s="16">
        <v>1225</v>
      </c>
      <c r="M11" s="16">
        <v>940</v>
      </c>
      <c r="N11" s="16">
        <v>900</v>
      </c>
      <c r="O11" s="16">
        <v>960</v>
      </c>
      <c r="P11" s="16">
        <v>804</v>
      </c>
      <c r="Q11" s="16">
        <v>814</v>
      </c>
      <c r="R11" s="16">
        <v>1061</v>
      </c>
      <c r="S11" s="16"/>
      <c r="T11" s="16"/>
      <c r="U11" s="17">
        <v>844</v>
      </c>
      <c r="V11" s="17"/>
      <c r="W11" s="17">
        <v>799</v>
      </c>
      <c r="X11" s="17">
        <v>1070</v>
      </c>
      <c r="Y11" s="17">
        <v>1484</v>
      </c>
      <c r="Z11" s="17">
        <v>1816</v>
      </c>
      <c r="AA11" s="76">
        <v>1456.6666666666667</v>
      </c>
      <c r="AB11" s="17">
        <v>2690</v>
      </c>
      <c r="AC11" s="17">
        <v>2690</v>
      </c>
      <c r="AD11" s="17">
        <v>1528</v>
      </c>
      <c r="AE11" s="10">
        <v>1007</v>
      </c>
      <c r="AF11" s="112">
        <v>988</v>
      </c>
      <c r="AG11" s="10">
        <f>29+44+66+47+45+30+39+38+55+51+52+57+36+39+32+54+53+42+47+42+32+45+47+57+43+54-9+50</f>
        <v>1217</v>
      </c>
      <c r="AH11" s="10">
        <f>25+29+38+17+39+33+47+47+39+40+45+43+42+47+37+44+43+44+43+38+39+45+43+31+50</f>
        <v>988</v>
      </c>
      <c r="AI11" s="10">
        <v>1030</v>
      </c>
      <c r="AJ11" s="10">
        <f>SUM(1+6+2+2+2+2+1+1+1+1+2+1+12+4+2+2+2+2+1+12+1+1+1+2+2+2+1+6+1+2+1+2+3+2+1+3+2+2+2+5+1+2+4+2+1+2+7+2+6+3+2+2+2+2+1+2+2+1+2+1+5+2+2+3+2+2+2+8+2+4+2+2+2+1+2+2+2+2+4+2+2+6+1+1+9+1+2+2+2+2+2+2+2+2+2+2+2+3+2+2+2+3+2+2+1+2+2+1+2+2+2+4+2+4+4+2+6+2+2+2+4+2+3+2+6+2+2+2+2+3+3+2+1+3+3+2+1+3+2+2+2+2+2+1+1+2+4+3+1+2+1+1+3+2+6+1+4+2+2+4+2+2+6+2+2+2+2+1+2+2+4+2+2+1+1+7+2+2+4+2+1+3+2+5+2+2+2+2+4+3+2+3+2+1+4+1+3+1+1+1+1+1+4+1+1+2+2+2+1+2+1+1+2+2+3+2+1+1+6+2+2+2+2+3+1+5+3+1+1+2+2+3+1+2+7+7+7+2+4+3+10+4+2+2+2+2+2+8+2+2+2+3+1+7+2+2+2+5+1+2+2+3+2+2+2+2+1+2+1+5+5+2+2+1+4+2+1+2+2+2+3+2+4+2+2+1+2+1+2+1+3+1+2+1+2+1+1+2+4+2+2+2+2+2+2+2+1+2+1+2+1+1+1+1+4+2+2+1+2+4+2+1+1+2+1+2+2+2+2+2+2+2+6+2+2+1+1+4+7+3+2+2+1+2+1+4+2+2+8+1+1+2+1+2+1+2+4+14+2+2+3+4+2+2+2+2+2+2+2+2+3+2+1+1+2+4+1+1+1+1+1+3+1+5+4+2+4+2+1+1+2+2+1+2+1+3+2+4+2+5+1+2+1+2+2+2+2+1+1+2+1+4+2+3+8+2+7+2+2+7+1+2+2+2+4+2+1+2+1+2+2)</f>
        <v>1038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564.4</v>
      </c>
      <c r="BK11">
        <f t="shared" si="0"/>
        <v>658.2</v>
      </c>
      <c r="BL11">
        <f t="shared" si="2"/>
        <v>715.2</v>
      </c>
      <c r="BM11">
        <f t="shared" si="0"/>
        <v>766.7</v>
      </c>
      <c r="BN11">
        <f t="shared" si="0"/>
        <v>814.4</v>
      </c>
      <c r="BO11">
        <f t="shared" si="0"/>
        <v>864.8</v>
      </c>
      <c r="BP11">
        <f t="shared" si="0"/>
        <v>865.6</v>
      </c>
      <c r="BQ11">
        <f t="shared" si="0"/>
        <v>890.1</v>
      </c>
      <c r="BR11">
        <f t="shared" si="3"/>
        <v>904.11111111111109</v>
      </c>
      <c r="BS11">
        <f t="shared" si="3"/>
        <v>939.625</v>
      </c>
      <c r="BT11">
        <f t="shared" si="0"/>
        <v>943.5</v>
      </c>
      <c r="BU11">
        <f t="shared" si="0"/>
        <v>903.28571428571433</v>
      </c>
      <c r="BV11">
        <f t="shared" si="0"/>
        <v>883.14285714285711</v>
      </c>
      <c r="BW11">
        <f t="shared" si="0"/>
        <v>907.42857142857144</v>
      </c>
      <c r="BX11">
        <f t="shared" si="0"/>
        <v>982.28571428571433</v>
      </c>
      <c r="BY11">
        <f t="shared" si="0"/>
        <v>1126.8571428571429</v>
      </c>
      <c r="BZ11">
        <f t="shared" si="0"/>
        <v>1218.6666666666665</v>
      </c>
      <c r="CA11">
        <f t="shared" si="0"/>
        <v>1451.3809523809525</v>
      </c>
      <c r="CB11">
        <f t="shared" si="0"/>
        <v>1606.2083333333335</v>
      </c>
      <c r="CC11">
        <f t="shared" si="0"/>
        <v>1597.5185185185187</v>
      </c>
      <c r="CD11">
        <f t="shared" si="0"/>
        <v>1615.6296296296298</v>
      </c>
      <c r="CE11">
        <f t="shared" si="0"/>
        <v>1552.8666666666668</v>
      </c>
      <c r="CF11">
        <f t="shared" si="4"/>
        <v>1594.6666666666667</v>
      </c>
      <c r="CG11">
        <f t="shared" si="5"/>
        <v>1586.4666666666667</v>
      </c>
      <c r="CH11">
        <f t="shared" si="6"/>
        <v>1541.0666666666668</v>
      </c>
      <c r="CI11">
        <f t="shared" si="7"/>
        <v>1463.2666666666669</v>
      </c>
      <c r="CJ11">
        <f t="shared" si="8"/>
        <v>1464</v>
      </c>
      <c r="CK11">
        <f t="shared" si="9"/>
        <v>1310.75</v>
      </c>
      <c r="CL11">
        <f t="shared" si="10"/>
        <v>1113.7142857142858</v>
      </c>
      <c r="CM11">
        <f t="shared" si="11"/>
        <v>1044.6666666666667</v>
      </c>
      <c r="CN11">
        <f t="shared" si="12"/>
        <v>1052.2</v>
      </c>
      <c r="CO11">
        <f t="shared" si="13"/>
        <v>1068.25</v>
      </c>
      <c r="CP11">
        <f t="shared" si="14"/>
        <v>1018.6666666666666</v>
      </c>
      <c r="CQ11">
        <f t="shared" si="15"/>
        <v>1034</v>
      </c>
      <c r="CR11">
        <f t="shared" si="16"/>
        <v>1038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453</v>
      </c>
      <c r="C12" s="14">
        <v>445</v>
      </c>
      <c r="D12" s="14">
        <v>572</v>
      </c>
      <c r="E12" s="14">
        <v>917</v>
      </c>
      <c r="F12" s="14">
        <v>787</v>
      </c>
      <c r="G12" s="14">
        <v>769</v>
      </c>
      <c r="H12" s="14">
        <v>918</v>
      </c>
      <c r="I12" s="14">
        <v>691</v>
      </c>
      <c r="J12" s="14">
        <v>733</v>
      </c>
      <c r="K12" s="14">
        <v>559</v>
      </c>
      <c r="L12" s="14">
        <v>770</v>
      </c>
      <c r="M12" s="14">
        <v>846</v>
      </c>
      <c r="N12" s="14">
        <v>830</v>
      </c>
      <c r="O12" s="14">
        <v>860</v>
      </c>
      <c r="P12" s="14">
        <v>815</v>
      </c>
      <c r="Q12" s="14">
        <v>875</v>
      </c>
      <c r="R12" s="14">
        <v>937</v>
      </c>
      <c r="S12" s="14"/>
      <c r="T12" s="14"/>
      <c r="U12" s="162">
        <v>1195</v>
      </c>
      <c r="V12" s="15"/>
      <c r="W12" s="15">
        <v>1240</v>
      </c>
      <c r="X12" s="15">
        <v>1457</v>
      </c>
      <c r="Y12" s="15">
        <v>1870</v>
      </c>
      <c r="Z12" s="15">
        <v>1956</v>
      </c>
      <c r="AA12" s="76">
        <v>1761</v>
      </c>
      <c r="AB12" s="15">
        <v>2202</v>
      </c>
      <c r="AC12" s="15">
        <v>2202</v>
      </c>
      <c r="AD12" s="15">
        <v>2575</v>
      </c>
      <c r="AE12" s="124">
        <v>1028</v>
      </c>
      <c r="AF12" s="160">
        <v>727</v>
      </c>
      <c r="AG12" s="124">
        <f>9+43+72+40+43+30+36+37+37+43+35+47+52+42+54+41+44+48+23+42+51+50+32+6+40</f>
        <v>997</v>
      </c>
      <c r="AH12" s="124">
        <f>28+33+53+40+45+48+39+38+36+47+39+48+44+49+51+43+45+30+42+40+42+48+52+7+44+26+47+35+44+19+25</f>
        <v>1227</v>
      </c>
      <c r="AI12" s="124">
        <v>1035</v>
      </c>
      <c r="AJ12" s="124">
        <f>SUM(2+2+1+1+2+4+2+2+1+2+1+4+1+2+1+2+2+2+2+4+8+2+5+5+2+2+5+2+1+2+1+6+2+4+3+2+2+4+3+4+4+1+1+3+2+1+1+2+2+3+4+2+2+3+2+3+2+2+2+3+2+2+2+2+2+2+2+2+2+1+1+2+2+2+2+2+1+2+2+2+2+2+4+2+6+2+2+3+5+2+2+2+2+2+3+2+3+1+2+3+2+3+2+2+2+2+1+4+4+2+2+3+2+1+1+1+1+2+1+2+2+2+2+2+1+4+2+2+1+1+1+2+1+2+4+2+3+2+3+1+4+2+2+2+2+3+6+2+2+5+2+1+1+2+2+2+2+5+2+2+2+2+2+1+1+2+2+2+2+3+2+2+1+2+3+2+8+2+6+2+6+2+3+2+4+3+2+1+1+3+2+3+4+2+2+2+3+2+2+4+2+2+5+3+1+1+11+1+3+2+2+1+2+2+3+3+2+3+2+2+6+4+2+4+4+6+2+2+2+3+1+1+2+2+2+1+4+4+2+2+2+1+2+2+1+4+2+1+1+2+1+2+3+3+4+3+1+4+4+2+6+2+4+1+2+2+3+2+4+3+3+6+2+2+4+2+1+2+1+2+2+2+2+1+3+4+4)</f>
        <v>698</v>
      </c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684.4</v>
      </c>
      <c r="BK12">
        <f t="shared" si="0"/>
        <v>716.1</v>
      </c>
      <c r="BL12">
        <f t="shared" si="2"/>
        <v>756.2</v>
      </c>
      <c r="BM12">
        <f t="shared" si="0"/>
        <v>782</v>
      </c>
      <c r="BN12">
        <f t="shared" si="0"/>
        <v>776.3</v>
      </c>
      <c r="BO12">
        <f t="shared" si="0"/>
        <v>779.1</v>
      </c>
      <c r="BP12">
        <f t="shared" si="0"/>
        <v>789.7</v>
      </c>
      <c r="BQ12">
        <f t="shared" si="0"/>
        <v>791.6</v>
      </c>
      <c r="BR12">
        <f t="shared" si="3"/>
        <v>802.77777777777783</v>
      </c>
      <c r="BS12">
        <f t="shared" si="3"/>
        <v>811.5</v>
      </c>
      <c r="BT12">
        <f t="shared" si="0"/>
        <v>891</v>
      </c>
      <c r="BU12">
        <f t="shared" si="0"/>
        <v>908.28571428571433</v>
      </c>
      <c r="BV12">
        <f t="shared" si="0"/>
        <v>964.57142857142856</v>
      </c>
      <c r="BW12">
        <f t="shared" si="0"/>
        <v>1054.1428571428571</v>
      </c>
      <c r="BX12">
        <f t="shared" si="0"/>
        <v>1198.4285714285713</v>
      </c>
      <c r="BY12">
        <f t="shared" si="0"/>
        <v>1361.4285714285713</v>
      </c>
      <c r="BZ12">
        <f t="shared" si="0"/>
        <v>1488</v>
      </c>
      <c r="CA12">
        <f t="shared" si="0"/>
        <v>1668.7142857142858</v>
      </c>
      <c r="CB12">
        <f t="shared" si="0"/>
        <v>1735.375</v>
      </c>
      <c r="CC12">
        <f t="shared" si="0"/>
        <v>1828.6666666666667</v>
      </c>
      <c r="CD12">
        <f t="shared" si="0"/>
        <v>1810.1111111111111</v>
      </c>
      <c r="CE12">
        <f t="shared" si="0"/>
        <v>1701.8</v>
      </c>
      <c r="CF12">
        <f t="shared" si="4"/>
        <v>1677.5</v>
      </c>
      <c r="CG12">
        <f t="shared" si="5"/>
        <v>1654.5</v>
      </c>
      <c r="CH12">
        <f t="shared" si="6"/>
        <v>1571</v>
      </c>
      <c r="CI12">
        <f t="shared" si="7"/>
        <v>1445.2</v>
      </c>
      <c r="CJ12">
        <f t="shared" si="8"/>
        <v>1410.1111111111111</v>
      </c>
      <c r="CK12">
        <f t="shared" si="9"/>
        <v>1311.125</v>
      </c>
      <c r="CL12">
        <f t="shared" si="10"/>
        <v>1183.8571428571429</v>
      </c>
      <c r="CM12">
        <f t="shared" si="11"/>
        <v>952</v>
      </c>
      <c r="CN12">
        <f t="shared" si="12"/>
        <v>936.8</v>
      </c>
      <c r="CO12">
        <f t="shared" si="13"/>
        <v>989.25</v>
      </c>
      <c r="CP12">
        <f t="shared" si="14"/>
        <v>986.66666666666663</v>
      </c>
      <c r="CQ12">
        <f t="shared" si="15"/>
        <v>866.5</v>
      </c>
      <c r="CR12">
        <f t="shared" si="16"/>
        <v>698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569</v>
      </c>
      <c r="C13" s="16">
        <v>249</v>
      </c>
      <c r="D13" s="16">
        <v>322</v>
      </c>
      <c r="E13" s="16">
        <v>914</v>
      </c>
      <c r="F13" s="16">
        <v>690</v>
      </c>
      <c r="G13" s="16">
        <v>451</v>
      </c>
      <c r="H13" s="16">
        <v>586</v>
      </c>
      <c r="I13" s="16">
        <v>765</v>
      </c>
      <c r="J13" s="16">
        <v>450</v>
      </c>
      <c r="K13" s="16">
        <v>663</v>
      </c>
      <c r="L13" s="16">
        <v>559</v>
      </c>
      <c r="M13" s="16">
        <v>723</v>
      </c>
      <c r="N13" s="16">
        <v>405</v>
      </c>
      <c r="O13" s="16">
        <v>860</v>
      </c>
      <c r="P13" s="16">
        <v>906</v>
      </c>
      <c r="Q13" s="16">
        <v>785</v>
      </c>
      <c r="R13" s="16">
        <v>1005</v>
      </c>
      <c r="S13" s="16"/>
      <c r="T13" s="16"/>
      <c r="U13" s="17">
        <v>961</v>
      </c>
      <c r="V13" s="17"/>
      <c r="W13" s="17">
        <v>818</v>
      </c>
      <c r="X13" s="17">
        <v>1018</v>
      </c>
      <c r="Y13" s="17">
        <v>1262</v>
      </c>
      <c r="Z13" s="17">
        <v>1591</v>
      </c>
      <c r="AA13" s="76">
        <v>1290.3333333333333</v>
      </c>
      <c r="AB13" s="17">
        <v>1625</v>
      </c>
      <c r="AC13" s="17">
        <v>1884</v>
      </c>
      <c r="AD13" s="17">
        <v>2161</v>
      </c>
      <c r="AE13" s="10">
        <v>1446</v>
      </c>
      <c r="AF13" s="112">
        <v>822</v>
      </c>
      <c r="AG13" s="10">
        <f>4+36+43+42+58+35+43+47+34+59+35+36+24+43+40+58+34+49+3+37+42</f>
        <v>802</v>
      </c>
      <c r="AH13" s="10">
        <f>3+34+57+56+35+34+40+50+31+50+38+37+32+39+39+27+34+39+8+6+20</f>
        <v>709</v>
      </c>
      <c r="AI13" s="182">
        <f>(617)+(1+2+7+4+1+2+2+2+1)+(2+2+2+2+1+2+2+1+2+1)+(2+1+1)+(1+1+1)+(1+1+1+2+1+1+1+1+1+2+5+3+2+2)+(2+2+2+2+4)+(1+1+2+1+1+2+1+2+1+1+2+2+1)</f>
        <v>717</v>
      </c>
      <c r="AJ13" s="10">
        <f>SUM(2+10+2+8+2+3)</f>
        <v>27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565.9</v>
      </c>
      <c r="BK13">
        <f t="shared" si="0"/>
        <v>564.9</v>
      </c>
      <c r="BL13">
        <f t="shared" si="2"/>
        <v>612.29999999999995</v>
      </c>
      <c r="BM13">
        <f t="shared" si="0"/>
        <v>620.6</v>
      </c>
      <c r="BN13">
        <f t="shared" si="0"/>
        <v>615.20000000000005</v>
      </c>
      <c r="BO13">
        <f t="shared" si="0"/>
        <v>636.79999999999995</v>
      </c>
      <c r="BP13">
        <f t="shared" si="0"/>
        <v>670.2</v>
      </c>
      <c r="BQ13">
        <f t="shared" si="0"/>
        <v>712.1</v>
      </c>
      <c r="BR13">
        <f t="shared" si="3"/>
        <v>706.22222222222217</v>
      </c>
      <c r="BS13">
        <f t="shared" si="3"/>
        <v>738.25</v>
      </c>
      <c r="BT13">
        <f t="shared" si="0"/>
        <v>775.5</v>
      </c>
      <c r="BU13">
        <f t="shared" si="0"/>
        <v>806.42857142857144</v>
      </c>
      <c r="BV13">
        <f t="shared" si="0"/>
        <v>820</v>
      </c>
      <c r="BW13">
        <f t="shared" si="0"/>
        <v>907.57142857142856</v>
      </c>
      <c r="BX13">
        <f t="shared" si="0"/>
        <v>965</v>
      </c>
      <c r="BY13">
        <f t="shared" si="0"/>
        <v>1062.8571428571429</v>
      </c>
      <c r="BZ13">
        <f t="shared" si="0"/>
        <v>1135.047619047619</v>
      </c>
      <c r="CA13">
        <f t="shared" si="0"/>
        <v>1223.6190476190475</v>
      </c>
      <c r="CB13">
        <f t="shared" si="0"/>
        <v>1306.1666666666665</v>
      </c>
      <c r="CC13">
        <f t="shared" si="0"/>
        <v>1401.148148148148</v>
      </c>
      <c r="CD13">
        <f t="shared" si="0"/>
        <v>1455.037037037037</v>
      </c>
      <c r="CE13">
        <f t="shared" si="0"/>
        <v>1391.7333333333331</v>
      </c>
      <c r="CF13">
        <f t="shared" si="4"/>
        <v>1390.1333333333332</v>
      </c>
      <c r="CG13">
        <f t="shared" si="5"/>
        <v>1359.2333333333331</v>
      </c>
      <c r="CH13">
        <f t="shared" si="6"/>
        <v>1304.7333333333331</v>
      </c>
      <c r="CI13">
        <f t="shared" si="7"/>
        <v>1148.3333333333333</v>
      </c>
      <c r="CJ13">
        <f t="shared" si="8"/>
        <v>1132.5555555555557</v>
      </c>
      <c r="CK13">
        <f t="shared" si="9"/>
        <v>1071</v>
      </c>
      <c r="CL13">
        <f t="shared" si="10"/>
        <v>954.85714285714289</v>
      </c>
      <c r="CM13">
        <f t="shared" si="11"/>
        <v>753.83333333333337</v>
      </c>
      <c r="CN13">
        <f t="shared" si="12"/>
        <v>615.4</v>
      </c>
      <c r="CO13">
        <f t="shared" si="13"/>
        <v>563.75</v>
      </c>
      <c r="CP13">
        <f t="shared" si="14"/>
        <v>484.33333333333331</v>
      </c>
      <c r="CQ13">
        <f t="shared" si="15"/>
        <v>372</v>
      </c>
      <c r="CR13">
        <f t="shared" si="16"/>
        <v>27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628</v>
      </c>
      <c r="C14" s="14">
        <v>510</v>
      </c>
      <c r="D14" s="14">
        <v>544</v>
      </c>
      <c r="E14" s="14">
        <v>883</v>
      </c>
      <c r="F14" s="14">
        <v>589</v>
      </c>
      <c r="G14" s="14">
        <v>798</v>
      </c>
      <c r="H14" s="14">
        <v>1253</v>
      </c>
      <c r="I14" s="14">
        <v>1320</v>
      </c>
      <c r="J14" s="14">
        <v>1260</v>
      </c>
      <c r="K14" s="14">
        <v>1001</v>
      </c>
      <c r="L14" s="14">
        <v>1182</v>
      </c>
      <c r="M14" s="14">
        <v>843</v>
      </c>
      <c r="N14" s="14">
        <v>1222</v>
      </c>
      <c r="O14" s="14">
        <v>1065</v>
      </c>
      <c r="P14" s="14">
        <v>810</v>
      </c>
      <c r="Q14" s="14">
        <v>1078</v>
      </c>
      <c r="R14" s="14">
        <v>1172</v>
      </c>
      <c r="S14" s="14"/>
      <c r="T14" s="14"/>
      <c r="U14" s="162">
        <v>1353</v>
      </c>
      <c r="V14" s="15"/>
      <c r="W14" s="15">
        <v>810</v>
      </c>
      <c r="X14" s="15">
        <v>1473</v>
      </c>
      <c r="Y14" s="15">
        <v>1451</v>
      </c>
      <c r="Z14" s="15">
        <v>1998</v>
      </c>
      <c r="AA14" s="76">
        <v>1640.6666666666667</v>
      </c>
      <c r="AB14" s="15">
        <v>2725</v>
      </c>
      <c r="AC14" s="15">
        <v>1636</v>
      </c>
      <c r="AD14" s="15">
        <v>1911</v>
      </c>
      <c r="AE14" s="124">
        <v>1155</v>
      </c>
      <c r="AF14" s="160">
        <v>1203</v>
      </c>
      <c r="AG14" s="124">
        <f>4+49+47+41+37+52+18+25+36+34+52+37+37+42</f>
        <v>511</v>
      </c>
      <c r="AH14" s="124">
        <f>34+48+36+37+30+50+67+53+49+39+33+52+42+40+37+40+43+36+32+46+33+24+6</f>
        <v>907</v>
      </c>
      <c r="AI14" s="124">
        <f>(1+1+2+2+2+2+2+1+1+3+2+2+1+1+3+2+2+1)+(1+4+1+2+1+2+2+2+2+2+2+2+2+3+2+2+4+1+1+2+1+4+2+1+3+2+2+3+2+2+2+1+2+2+2+1+2+2)+(4+2+19+19+19+2+3+3+3+2+2+2+2+3+2+6+3+3+3+2)+(1+1+1+1+2+2+2+6+1+2+2+2+2+1+2+5+1+24+2+7+2+2+2+2+4+4+2+2+8+2+2+4+2+3+3+2+1)+(2+6+1+2+3+5+3+1+1+1+2+3+3+2+1+4+2+1+2+5+1+2+2+2+2+2+1+2+2+2+2+1+2+2+2+1+1)+(1+3+2+1+1+4+1+2+2+2+1+1+4+1+3+2+1+1+1+2+2+1+2+2+1+2+1+3+3+1+2+2+2+1+2)+(1+4+2+3+4+1+1+2+2+1+1+2+2+2+1+2+1+2+1+16+1+3+2+2+2+2+1+2+1+2+2+2+2+1+1+2+2+4)+(2+2+2+2+4+2+7+5+3+2+2+2+2+2+2+1+9+5+2+2+2+1+3+2+2+2+2+8+3+2+1+2+9+2+2+2+2+2)+(8+2+1+3+1+2+1+4+2+2+1+1+1+4+5+2+2+2+4+2+1+2+8+2+4+2+2+3+25+5+4+2+5+2+2+5)+(4+2+1+1+2+6+4+2+2+2+3+1+6+1+4+2+2+2+1+1+2+2+2+2+1+2+2+1+2+2+1+4+1+2+1+1)+(2+5+1+2+1+1+2+1+1+2+2+1+2+2+1+1+12+3+2+2+2+2+2+1+7+2+4+3+11+4+2+2)+(8+2+4+2+3+2+1+2+3+2+1+1+5+5+2+2+2+2+2+2+1+1+2+2+3+3+2+2+4+4+2+3+4)+(12+2+3+4+3+2+1+4+1+2+1+4+3+2+2+2+2+2+2+2+1+2+2+6+2+2+5+1+1+3+3+2+1+2+1+1+4+1)+(1)+(2+1+2+2+1+2)</f>
        <v>1143</v>
      </c>
      <c r="AJ14" s="124">
        <f>SUM(1+2+1)</f>
        <v>4</v>
      </c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878.6</v>
      </c>
      <c r="BK14">
        <f t="shared" si="0"/>
        <v>934</v>
      </c>
      <c r="BL14">
        <f t="shared" si="2"/>
        <v>967.3</v>
      </c>
      <c r="BM14">
        <f t="shared" si="0"/>
        <v>1035.0999999999999</v>
      </c>
      <c r="BN14">
        <f t="shared" si="0"/>
        <v>1053.3</v>
      </c>
      <c r="BO14">
        <f t="shared" si="0"/>
        <v>1075.4000000000001</v>
      </c>
      <c r="BP14">
        <f t="shared" si="0"/>
        <v>1103.4000000000001</v>
      </c>
      <c r="BQ14">
        <f t="shared" si="0"/>
        <v>1095.3</v>
      </c>
      <c r="BR14">
        <f t="shared" si="3"/>
        <v>1070.3333333333333</v>
      </c>
      <c r="BS14">
        <f t="shared" si="3"/>
        <v>1046.625</v>
      </c>
      <c r="BT14">
        <f t="shared" si="0"/>
        <v>1090.625</v>
      </c>
      <c r="BU14">
        <f t="shared" si="0"/>
        <v>1077.5714285714287</v>
      </c>
      <c r="BV14">
        <f t="shared" si="0"/>
        <v>1072.8571428571429</v>
      </c>
      <c r="BW14">
        <f t="shared" si="0"/>
        <v>1108.7142857142858</v>
      </c>
      <c r="BX14">
        <f t="shared" si="0"/>
        <v>1163.8571428571429</v>
      </c>
      <c r="BY14">
        <f t="shared" si="0"/>
        <v>1333.5714285714287</v>
      </c>
      <c r="BZ14">
        <f t="shared" si="0"/>
        <v>1413.952380952381</v>
      </c>
      <c r="CA14">
        <f t="shared" si="0"/>
        <v>1635.8095238095236</v>
      </c>
      <c r="CB14">
        <f t="shared" si="0"/>
        <v>1635.8333333333333</v>
      </c>
      <c r="CC14">
        <f t="shared" si="0"/>
        <v>1666.4074074074074</v>
      </c>
      <c r="CD14">
        <f t="shared" si="0"/>
        <v>1644.4074074074076</v>
      </c>
      <c r="CE14">
        <f t="shared" si="0"/>
        <v>1600.2666666666669</v>
      </c>
      <c r="CF14">
        <f t="shared" si="4"/>
        <v>1570.3666666666668</v>
      </c>
      <c r="CG14">
        <f t="shared" si="5"/>
        <v>1513.7666666666669</v>
      </c>
      <c r="CH14">
        <f t="shared" si="6"/>
        <v>1482.9666666666667</v>
      </c>
      <c r="CI14">
        <f t="shared" si="7"/>
        <v>1283.5666666666668</v>
      </c>
      <c r="CJ14">
        <f t="shared" si="8"/>
        <v>1243.8888888888889</v>
      </c>
      <c r="CK14">
        <f t="shared" si="9"/>
        <v>1058.75</v>
      </c>
      <c r="CL14">
        <f t="shared" si="10"/>
        <v>976.28571428571433</v>
      </c>
      <c r="CM14">
        <f t="shared" si="11"/>
        <v>820.5</v>
      </c>
      <c r="CN14">
        <f t="shared" si="12"/>
        <v>753.6</v>
      </c>
      <c r="CO14">
        <f t="shared" si="13"/>
        <v>641.25</v>
      </c>
      <c r="CP14">
        <f t="shared" si="14"/>
        <v>684.66666666666663</v>
      </c>
      <c r="CQ14">
        <f t="shared" si="15"/>
        <v>573.5</v>
      </c>
      <c r="CR14">
        <f t="shared" si="16"/>
        <v>4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222</v>
      </c>
      <c r="C15" s="16">
        <v>137</v>
      </c>
      <c r="D15" s="16">
        <v>179</v>
      </c>
      <c r="E15" s="16">
        <v>321</v>
      </c>
      <c r="F15" s="16">
        <v>180</v>
      </c>
      <c r="G15" s="16">
        <v>265</v>
      </c>
      <c r="H15" s="16">
        <v>247</v>
      </c>
      <c r="I15" s="16">
        <v>541</v>
      </c>
      <c r="J15" s="16">
        <v>124</v>
      </c>
      <c r="K15" s="16">
        <v>376</v>
      </c>
      <c r="L15" s="16">
        <v>573</v>
      </c>
      <c r="M15" s="16">
        <v>421</v>
      </c>
      <c r="N15" s="16">
        <v>454</v>
      </c>
      <c r="O15" s="16">
        <v>417</v>
      </c>
      <c r="P15" s="16">
        <v>469</v>
      </c>
      <c r="Q15" s="16">
        <v>547</v>
      </c>
      <c r="R15" s="16">
        <v>536</v>
      </c>
      <c r="S15" s="16"/>
      <c r="T15" s="16"/>
      <c r="U15" s="17">
        <v>531</v>
      </c>
      <c r="V15" s="17"/>
      <c r="W15" s="17">
        <v>397</v>
      </c>
      <c r="X15" s="17">
        <v>626</v>
      </c>
      <c r="Y15" s="17">
        <v>686</v>
      </c>
      <c r="Z15" s="100">
        <v>1005</v>
      </c>
      <c r="AA15" s="76">
        <v>772.33333333333337</v>
      </c>
      <c r="AB15" s="17">
        <v>1088</v>
      </c>
      <c r="AC15" s="17">
        <v>1088</v>
      </c>
      <c r="AD15" s="17">
        <v>946</v>
      </c>
      <c r="AE15" s="10">
        <v>481</v>
      </c>
      <c r="AF15" s="112">
        <v>698</v>
      </c>
      <c r="AG15" s="10">
        <f>14+41+36+50+51+14+39+35+55+37+37+41+43+59</f>
        <v>552</v>
      </c>
      <c r="AH15" s="10">
        <f>45+14+49+13+45+46</f>
        <v>212</v>
      </c>
      <c r="AI15" s="182">
        <f>(1+1+3+1+1+2+3+2+2+4+7+1+2+2+2+2+2+10+2+4+4+2+3+3+2+4+2+2+1+2+3+2+5+5+1+2+2+3)+(1+1)+(3+3+1+2+4+7+2+2+1+2)+(1+1+1+2+2+2+4+1+3+2+2+2+2+2+2+2+3+1+2+2+2+5+2)+(3+2+2+4+4+3+4+2+2+3+2+1+1+9+1+1+2+5+5+3+1+1+5+4+5+6+1+2+2+1+2+1+1+1+4+2+1+2+1+1+3+5)+(2+5+2+2+2+1+2+1+1+3+2+2+3+3+1+2+2+3+3+2+2+1+2+1+1+3+4+2+1+2+2+2+3+2+2+2+2)+(1+3+2+2+2+2+1+3+3+1+3+1+2+1+2+2+2+2+2+2+2+3+4+2+2+3+1+2+4+6+2+2+2+4+1+2+2+1+2)+(6+4+16+1+4+2+3+1+1+1+4+2+3+4+2+2+4+2+2+3+1+2+1+3+4+1+1+5+1+1+2+1+1+2)+(1+2+1+18+2+2+2+1+1+1+2+2+6+1+2+2+7+3+4+2+1+6+3+1+3+2+2+2+2+4+3+11+2+2+1)+(2+2+1+1+1+2+3+2+1+1+1+2+1+1+1+1+2+2+1+1+1+2+2+1+2+2+5+1+5+2+2)+(2+1+2+1+2+2+2+2+4+2+2+2+2+2+3+2+5)+(5+3+2+2+5+5+2+1+1+2+2+5)+(1+11+8+2+4+1+1+2+2+2+1+3+1+4+2+1+6+2+2+3+3)</f>
        <v>843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259.2</v>
      </c>
      <c r="BK15">
        <f t="shared" si="0"/>
        <v>294.3</v>
      </c>
      <c r="BL15">
        <f t="shared" si="2"/>
        <v>322.7</v>
      </c>
      <c r="BM15">
        <f t="shared" si="0"/>
        <v>350.2</v>
      </c>
      <c r="BN15">
        <f t="shared" si="0"/>
        <v>359.8</v>
      </c>
      <c r="BO15">
        <f t="shared" si="0"/>
        <v>388.7</v>
      </c>
      <c r="BP15">
        <f t="shared" si="0"/>
        <v>416.9</v>
      </c>
      <c r="BQ15">
        <f t="shared" si="0"/>
        <v>445.8</v>
      </c>
      <c r="BR15">
        <f t="shared" si="3"/>
        <v>435.22222222222223</v>
      </c>
      <c r="BS15">
        <f t="shared" si="3"/>
        <v>474.125</v>
      </c>
      <c r="BT15">
        <f t="shared" si="0"/>
        <v>493.5</v>
      </c>
      <c r="BU15">
        <f t="shared" si="0"/>
        <v>482.14285714285717</v>
      </c>
      <c r="BV15">
        <f t="shared" si="0"/>
        <v>478.71428571428572</v>
      </c>
      <c r="BW15">
        <f t="shared" si="0"/>
        <v>503.28571428571428</v>
      </c>
      <c r="BX15">
        <f t="shared" si="0"/>
        <v>541.71428571428567</v>
      </c>
      <c r="BY15">
        <f t="shared" si="0"/>
        <v>618.28571428571433</v>
      </c>
      <c r="BZ15">
        <f t="shared" si="0"/>
        <v>650.47619047619048</v>
      </c>
      <c r="CA15">
        <f t="shared" si="0"/>
        <v>729.33333333333337</v>
      </c>
      <c r="CB15">
        <f t="shared" si="0"/>
        <v>774.16666666666674</v>
      </c>
      <c r="CC15">
        <f t="shared" si="0"/>
        <v>793.25925925925935</v>
      </c>
      <c r="CD15">
        <f t="shared" si="0"/>
        <v>787.70370370370381</v>
      </c>
      <c r="CE15">
        <f t="shared" si="0"/>
        <v>778.73333333333335</v>
      </c>
      <c r="CF15">
        <f t="shared" si="4"/>
        <v>794.23333333333335</v>
      </c>
      <c r="CG15">
        <f t="shared" si="5"/>
        <v>752.83333333333337</v>
      </c>
      <c r="CH15">
        <f>AVERAGE(Z15:AI15)</f>
        <v>768.53333333333342</v>
      </c>
      <c r="CI15">
        <f t="shared" si="7"/>
        <v>742.25925925925935</v>
      </c>
      <c r="CJ15">
        <f t="shared" si="8"/>
        <v>738.5</v>
      </c>
      <c r="CK15">
        <f t="shared" si="9"/>
        <v>688.57142857142856</v>
      </c>
      <c r="CL15">
        <f t="shared" si="10"/>
        <v>622</v>
      </c>
      <c r="CM15">
        <f t="shared" si="11"/>
        <v>557.20000000000005</v>
      </c>
      <c r="CN15">
        <f t="shared" si="12"/>
        <v>576.25</v>
      </c>
      <c r="CO15">
        <f t="shared" si="13"/>
        <v>535.66666666666663</v>
      </c>
      <c r="CP15">
        <f t="shared" si="14"/>
        <v>527.5</v>
      </c>
      <c r="CQ15">
        <f>AVERAGE(AI15:AR15)</f>
        <v>843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73</v>
      </c>
      <c r="C16" s="14">
        <v>58</v>
      </c>
      <c r="D16" s="14">
        <v>54</v>
      </c>
      <c r="E16" s="14">
        <v>197</v>
      </c>
      <c r="F16" s="14">
        <v>62</v>
      </c>
      <c r="G16" s="14">
        <v>122</v>
      </c>
      <c r="H16" s="14">
        <v>158</v>
      </c>
      <c r="I16" s="14">
        <v>299</v>
      </c>
      <c r="J16" s="14">
        <v>130</v>
      </c>
      <c r="K16" s="14">
        <v>88</v>
      </c>
      <c r="L16" s="14">
        <v>398</v>
      </c>
      <c r="M16" s="14">
        <v>135</v>
      </c>
      <c r="N16" s="14">
        <v>338</v>
      </c>
      <c r="O16" s="14">
        <v>182</v>
      </c>
      <c r="P16" s="14">
        <v>142</v>
      </c>
      <c r="Q16" s="14">
        <v>401</v>
      </c>
      <c r="R16" s="14">
        <v>156</v>
      </c>
      <c r="S16" s="14"/>
      <c r="T16" s="14"/>
      <c r="U16" s="15">
        <v>179</v>
      </c>
      <c r="V16" s="15"/>
      <c r="W16" s="15">
        <v>256</v>
      </c>
      <c r="X16" s="15">
        <v>282</v>
      </c>
      <c r="Y16" s="15">
        <v>363</v>
      </c>
      <c r="Z16" s="101">
        <v>267</v>
      </c>
      <c r="AA16" s="15">
        <v>332</v>
      </c>
      <c r="AB16" s="15">
        <v>428</v>
      </c>
      <c r="AC16" s="15">
        <v>428</v>
      </c>
      <c r="AD16" s="15">
        <v>351</v>
      </c>
      <c r="AE16" s="124">
        <v>198</v>
      </c>
      <c r="AF16" s="161">
        <v>325</v>
      </c>
      <c r="AG16" s="124">
        <f>35+28+26+33+35+25+49+41+30</f>
        <v>302</v>
      </c>
      <c r="AH16" s="124">
        <v>200</v>
      </c>
      <c r="AI16" s="124">
        <f>(1+3+1+4)+(4+2+4+2+2+3+2+2+1+2+2+6+2+2+2+4+1)+(4+2+1+2+1+2+1+11+2+3+1+1+6+2+1+1+2+2+2)+(2+1+2+5+1+1+1+2+2+2+3+2+1+2+2+3+2+2+1+2+1+2+3+3+4+1+1+2+1+3+4+4+1+2+2+1+1)+(2+2+4+1+3+1+2+6+4+3+1+5+2+1+1+4+5+3+2+2+3+3+2+3+2+2+4+3+4+5+3+2+1+2+1+2+3+2)+(1+2+9)+(2+1+1)</f>
        <v>291</v>
      </c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124.1</v>
      </c>
      <c r="BK16">
        <f t="shared" si="0"/>
        <v>156.6</v>
      </c>
      <c r="BL16">
        <f t="shared" si="2"/>
        <v>164.3</v>
      </c>
      <c r="BM16">
        <f t="shared" si="0"/>
        <v>192.7</v>
      </c>
      <c r="BN16">
        <f t="shared" si="0"/>
        <v>191.2</v>
      </c>
      <c r="BO16">
        <f t="shared" si="0"/>
        <v>199.2</v>
      </c>
      <c r="BP16">
        <f t="shared" si="0"/>
        <v>227.1</v>
      </c>
      <c r="BQ16">
        <f t="shared" si="0"/>
        <v>226.9</v>
      </c>
      <c r="BR16">
        <f t="shared" si="3"/>
        <v>218.88888888888889</v>
      </c>
      <c r="BS16">
        <f t="shared" si="3"/>
        <v>230</v>
      </c>
      <c r="BT16">
        <f t="shared" si="0"/>
        <v>241.375</v>
      </c>
      <c r="BU16">
        <f t="shared" si="0"/>
        <v>219</v>
      </c>
      <c r="BV16">
        <f t="shared" si="0"/>
        <v>236.28571428571428</v>
      </c>
      <c r="BW16">
        <f t="shared" si="0"/>
        <v>228.28571428571428</v>
      </c>
      <c r="BX16">
        <f t="shared" si="0"/>
        <v>254.14285714285714</v>
      </c>
      <c r="BY16">
        <f t="shared" si="0"/>
        <v>272</v>
      </c>
      <c r="BZ16">
        <f t="shared" si="0"/>
        <v>262.14285714285717</v>
      </c>
      <c r="CA16">
        <f t="shared" si="0"/>
        <v>301</v>
      </c>
      <c r="CB16">
        <f t="shared" si="0"/>
        <v>316.875</v>
      </c>
      <c r="CC16">
        <f t="shared" si="0"/>
        <v>320.66666666666669</v>
      </c>
      <c r="CD16">
        <f t="shared" si="0"/>
        <v>322.77777777777777</v>
      </c>
      <c r="CE16">
        <f t="shared" si="0"/>
        <v>323</v>
      </c>
      <c r="CF16">
        <f t="shared" si="4"/>
        <v>327.60000000000002</v>
      </c>
      <c r="CG16">
        <f t="shared" si="5"/>
        <v>319.39999999999998</v>
      </c>
      <c r="CH16">
        <f t="shared" si="6"/>
        <v>312.2</v>
      </c>
      <c r="CI16">
        <f t="shared" si="7"/>
        <v>317.22222222222223</v>
      </c>
      <c r="CJ16">
        <f t="shared" si="8"/>
        <v>315.375</v>
      </c>
      <c r="CK16">
        <f t="shared" si="9"/>
        <v>299.28571428571428</v>
      </c>
      <c r="CL16">
        <f t="shared" si="10"/>
        <v>277.83333333333331</v>
      </c>
      <c r="CM16">
        <f t="shared" si="11"/>
        <v>263.2</v>
      </c>
      <c r="CN16">
        <f t="shared" si="12"/>
        <v>279.5</v>
      </c>
      <c r="CO16">
        <f t="shared" si="13"/>
        <v>264.33333333333331</v>
      </c>
      <c r="CP16">
        <f t="shared" si="14"/>
        <v>245.5</v>
      </c>
      <c r="CQ16">
        <f t="shared" si="15"/>
        <v>291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95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CQ17" s="121" t="e">
        <f t="shared" si="15"/>
        <v>#DIV/0!</v>
      </c>
    </row>
    <row r="18" spans="1:95" s="25" customFormat="1" ht="20" customHeight="1" x14ac:dyDescent="0.2">
      <c r="A18" s="21" t="s">
        <v>32</v>
      </c>
      <c r="B18" s="22">
        <f>SUM(B5:B16)</f>
        <v>4030</v>
      </c>
      <c r="C18" s="22">
        <f t="shared" ref="C18:AZ18" si="29">SUM(C5:C16)</f>
        <v>2993</v>
      </c>
      <c r="D18" s="22">
        <f t="shared" si="29"/>
        <v>3251</v>
      </c>
      <c r="E18" s="22">
        <f t="shared" si="29"/>
        <v>5256</v>
      </c>
      <c r="F18" s="22">
        <f t="shared" si="29"/>
        <v>4876</v>
      </c>
      <c r="G18" s="22">
        <f t="shared" si="29"/>
        <v>5005</v>
      </c>
      <c r="H18" s="22">
        <f t="shared" si="29"/>
        <v>6392</v>
      </c>
      <c r="I18" s="22">
        <f t="shared" si="29"/>
        <v>6869</v>
      </c>
      <c r="J18" s="22">
        <f t="shared" si="29"/>
        <v>6088</v>
      </c>
      <c r="K18" s="22">
        <f t="shared" si="29"/>
        <v>5676</v>
      </c>
      <c r="L18" s="22">
        <f t="shared" si="29"/>
        <v>7054</v>
      </c>
      <c r="M18" s="22">
        <f t="shared" si="29"/>
        <v>6673</v>
      </c>
      <c r="N18" s="22">
        <f t="shared" si="29"/>
        <v>6928</v>
      </c>
      <c r="O18" s="22">
        <f t="shared" si="29"/>
        <v>7054</v>
      </c>
      <c r="P18" s="22">
        <f t="shared" si="29"/>
        <v>6042</v>
      </c>
      <c r="Q18" s="22">
        <f t="shared" si="29"/>
        <v>6953</v>
      </c>
      <c r="R18" s="22">
        <f t="shared" si="29"/>
        <v>7305</v>
      </c>
      <c r="S18" s="22">
        <f t="shared" si="29"/>
        <v>0</v>
      </c>
      <c r="T18" s="22">
        <f t="shared" si="29"/>
        <v>0</v>
      </c>
      <c r="U18" s="27">
        <f t="shared" si="29"/>
        <v>8088</v>
      </c>
      <c r="V18" s="22">
        <f t="shared" si="29"/>
        <v>0</v>
      </c>
      <c r="W18" s="22">
        <f t="shared" si="29"/>
        <v>7491</v>
      </c>
      <c r="X18" s="22">
        <f t="shared" si="29"/>
        <v>9246</v>
      </c>
      <c r="Y18" s="22">
        <f t="shared" si="29"/>
        <v>10860</v>
      </c>
      <c r="Z18" s="22">
        <f t="shared" si="29"/>
        <v>12610</v>
      </c>
      <c r="AA18" s="22">
        <f t="shared" si="29"/>
        <v>10933.33333333333</v>
      </c>
      <c r="AB18" s="22">
        <f t="shared" si="29"/>
        <v>16658</v>
      </c>
      <c r="AC18" s="22">
        <f t="shared" si="29"/>
        <v>14888</v>
      </c>
      <c r="AD18" s="22">
        <f t="shared" si="29"/>
        <v>12762</v>
      </c>
      <c r="AE18" s="22">
        <f t="shared" si="29"/>
        <v>9107</v>
      </c>
      <c r="AF18" s="22">
        <f t="shared" si="29"/>
        <v>8244</v>
      </c>
      <c r="AG18" s="22">
        <f t="shared" si="29"/>
        <v>8006</v>
      </c>
      <c r="AH18" s="22">
        <f t="shared" si="29"/>
        <v>8153</v>
      </c>
      <c r="AI18" s="22">
        <f>SUM(AI5:AI17)</f>
        <v>8833</v>
      </c>
      <c r="AJ18" s="22">
        <f t="shared" si="29"/>
        <v>4991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6255.3</v>
      </c>
      <c r="BZ18" s="25">
        <f>AVERAGE(R18:AA18)</f>
        <v>6653.333333333333</v>
      </c>
      <c r="CA18" s="25">
        <f>AVERAGE(S18:AB18)</f>
        <v>7588.6333333333332</v>
      </c>
      <c r="CB18" s="25">
        <f>AVERAGE(T18:AC18)</f>
        <v>9077.4333333333325</v>
      </c>
      <c r="CC18" s="25">
        <f>AVERAGE(U18:AD18)</f>
        <v>10353.633333333333</v>
      </c>
    </row>
    <row r="19" spans="1:95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95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95" ht="20" customHeight="1" x14ac:dyDescent="0.2">
      <c r="AD21" s="99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99"/>
      <c r="BB21" s="99"/>
    </row>
    <row r="22" spans="1:95" ht="20" customHeight="1" x14ac:dyDescent="0.2">
      <c r="A22" s="1"/>
      <c r="B22" s="1"/>
      <c r="C22" s="1"/>
      <c r="AD22" s="99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99"/>
      <c r="BB22" s="99"/>
    </row>
    <row r="23" spans="1:95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95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95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95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95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95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95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95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95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95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80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80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80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80" ht="20" customHeight="1" x14ac:dyDescent="0.2">
      <c r="A36" s="1"/>
      <c r="B36" s="1"/>
      <c r="C36" s="1"/>
      <c r="X36" s="99" t="s">
        <v>82</v>
      </c>
      <c r="Y36" s="99"/>
      <c r="Z36" s="99"/>
      <c r="AA36" s="99"/>
      <c r="AB36" s="99"/>
      <c r="AC36" s="99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Z36" s="99"/>
      <c r="CA36" s="99"/>
      <c r="CB36" s="99"/>
    </row>
    <row r="37" spans="1:80" ht="20" customHeight="1" x14ac:dyDescent="0.2">
      <c r="A37" s="1"/>
      <c r="B37" s="1"/>
      <c r="C37" s="1"/>
      <c r="X37" s="99" t="s">
        <v>90</v>
      </c>
      <c r="Y37" s="99"/>
      <c r="Z37" s="99"/>
      <c r="AA37" s="99"/>
      <c r="AB37" s="99"/>
      <c r="AC37" s="99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Z37" s="99"/>
      <c r="CA37" s="99"/>
      <c r="CB37" s="99"/>
    </row>
    <row r="38" spans="1:80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80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80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80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80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80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80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80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80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80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80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7">
    <tabColor theme="7"/>
  </sheetPr>
  <dimension ref="A1:DJ192"/>
  <sheetViews>
    <sheetView defaultGridColor="0" colorId="22" zoomScale="70" zoomScaleNormal="70" workbookViewId="0">
      <pane xSplit="1" topLeftCell="BH1" activePane="topRight" state="frozen"/>
      <selection activeCell="A2" sqref="A2"/>
      <selection pane="topRight" activeCell="BJ14" sqref="BJ14"/>
    </sheetView>
  </sheetViews>
  <sheetFormatPr baseColWidth="10" defaultColWidth="9.42578125" defaultRowHeight="20" customHeight="1" x14ac:dyDescent="0.2"/>
  <cols>
    <col min="1" max="1" width="43.42578125" style="5" customWidth="1"/>
    <col min="2" max="17" width="5.7109375" style="5" hidden="1" customWidth="1"/>
    <col min="18" max="18" width="6.7109375" style="5" hidden="1" customWidth="1"/>
    <col min="19" max="20" width="5.7109375" style="5" hidden="1" customWidth="1"/>
    <col min="21" max="21" width="13.7109375" style="5" customWidth="1"/>
    <col min="22" max="22" width="15.7109375" style="5" customWidth="1"/>
    <col min="23" max="26" width="5.7109375" style="5" customWidth="1"/>
    <col min="27" max="29" width="5.85546875" style="5" customWidth="1"/>
    <col min="30" max="30" width="7.28515625" style="5" customWidth="1"/>
    <col min="31" max="31" width="6.42578125" customWidth="1"/>
    <col min="32" max="52" width="9.42578125" customWidth="1"/>
    <col min="53" max="74" width="9.42578125" style="5" customWidth="1"/>
    <col min="75" max="75" width="4.7109375" style="5" customWidth="1"/>
    <col min="76" max="76" width="9" style="5" customWidth="1"/>
    <col min="77" max="77" width="17.28515625" style="5" customWidth="1"/>
    <col min="78" max="78" width="12.7109375" style="5" customWidth="1"/>
    <col min="79" max="79" width="12.28515625" style="5" customWidth="1"/>
    <col min="80" max="80" width="17" style="5" customWidth="1"/>
    <col min="81" max="81" width="16.28515625" style="5" customWidth="1"/>
    <col min="82" max="82" width="16.85546875" style="5" customWidth="1"/>
    <col min="83" max="114" width="9.42578125" style="5" hidden="1" customWidth="1"/>
    <col min="115" max="115" width="0.7109375" style="5" customWidth="1"/>
    <col min="116" max="16384" width="9.42578125" style="5"/>
  </cols>
  <sheetData>
    <row r="1" spans="1:108" s="34" customFormat="1" ht="25" customHeight="1" x14ac:dyDescent="0.2">
      <c r="A1" s="31" t="s">
        <v>41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BA1" s="35"/>
      <c r="BE1" s="35"/>
      <c r="CA1" s="33"/>
    </row>
    <row r="2" spans="1:108" s="34" customFormat="1" ht="25" customHeight="1" x14ac:dyDescent="0.25">
      <c r="A2" s="36" t="s">
        <v>105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BA2" s="35"/>
      <c r="BB2" s="35"/>
      <c r="BE2" s="35"/>
      <c r="CA2" s="33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50</v>
      </c>
      <c r="C5" s="16">
        <v>57</v>
      </c>
      <c r="D5" s="16">
        <v>62</v>
      </c>
      <c r="E5" s="16">
        <v>19</v>
      </c>
      <c r="F5" s="16">
        <v>51</v>
      </c>
      <c r="G5" s="16">
        <v>13</v>
      </c>
      <c r="H5" s="16">
        <v>53</v>
      </c>
      <c r="I5" s="16">
        <v>61</v>
      </c>
      <c r="J5" s="16">
        <v>41</v>
      </c>
      <c r="K5" s="16">
        <v>72</v>
      </c>
      <c r="L5" s="16">
        <v>12</v>
      </c>
      <c r="M5" s="16">
        <v>118</v>
      </c>
      <c r="N5" s="16">
        <v>42</v>
      </c>
      <c r="O5" s="16">
        <v>39</v>
      </c>
      <c r="P5" s="16">
        <v>18</v>
      </c>
      <c r="Q5" s="16">
        <v>90</v>
      </c>
      <c r="R5" s="16">
        <v>83</v>
      </c>
      <c r="S5" s="16"/>
      <c r="T5" s="16"/>
      <c r="U5" s="17">
        <v>117</v>
      </c>
      <c r="V5" s="17"/>
      <c r="W5" s="17">
        <v>88</v>
      </c>
      <c r="X5" s="17">
        <v>48</v>
      </c>
      <c r="Y5" s="17">
        <v>129</v>
      </c>
      <c r="Z5" s="17">
        <v>153</v>
      </c>
      <c r="AA5" s="76">
        <v>110</v>
      </c>
      <c r="AB5" s="16">
        <v>160</v>
      </c>
      <c r="AC5" s="16">
        <v>95</v>
      </c>
      <c r="AD5" s="16">
        <v>122</v>
      </c>
      <c r="AE5" s="10">
        <v>153</v>
      </c>
      <c r="AF5" s="99">
        <v>123.33333333333333</v>
      </c>
      <c r="AG5" s="10">
        <v>143</v>
      </c>
      <c r="AH5" s="10">
        <f>32+32+3</f>
        <v>67</v>
      </c>
      <c r="AI5" s="10">
        <f>(2+1+1+3+2+2+1+2+4+2+2+3+2+1+2+2+2)+(1+1+2+1+1+1+1+2+2+2+3+1+1+2+1+1+2+1+2+3)+(13+3+4+7+2+2+1+1)+(1+1+2+1+2)+(2)</f>
        <v>107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47.9</v>
      </c>
      <c r="BK5">
        <f t="shared" ref="BK5:DD16" si="0">AVERAGE(C5:L5)</f>
        <v>44.1</v>
      </c>
      <c r="BL5">
        <f>AVERAGE(D5:M5)</f>
        <v>50.2</v>
      </c>
      <c r="BM5">
        <f t="shared" si="0"/>
        <v>48.2</v>
      </c>
      <c r="BN5">
        <f t="shared" si="0"/>
        <v>50.2</v>
      </c>
      <c r="BO5">
        <f t="shared" si="0"/>
        <v>46.9</v>
      </c>
      <c r="BP5">
        <f t="shared" si="0"/>
        <v>54.6</v>
      </c>
      <c r="BQ5">
        <f t="shared" si="0"/>
        <v>57.6</v>
      </c>
      <c r="BR5">
        <f t="shared" si="0"/>
        <v>57.222222222222221</v>
      </c>
      <c r="BS5">
        <f t="shared" si="0"/>
        <v>59.25</v>
      </c>
      <c r="BT5">
        <f t="shared" si="0"/>
        <v>64.875</v>
      </c>
      <c r="BU5">
        <f t="shared" si="0"/>
        <v>72.428571428571431</v>
      </c>
      <c r="BV5">
        <f t="shared" si="0"/>
        <v>68.142857142857139</v>
      </c>
      <c r="BW5">
        <f t="shared" si="0"/>
        <v>69</v>
      </c>
      <c r="BX5">
        <f t="shared" si="0"/>
        <v>81.857142857142861</v>
      </c>
      <c r="BY5">
        <f t="shared" si="0"/>
        <v>101.14285714285714</v>
      </c>
      <c r="BZ5">
        <f t="shared" si="0"/>
        <v>104</v>
      </c>
      <c r="CA5">
        <f t="shared" si="0"/>
        <v>115</v>
      </c>
      <c r="CB5">
        <f t="shared" si="0"/>
        <v>112.5</v>
      </c>
      <c r="CC5">
        <f t="shared" si="0"/>
        <v>113.55555555555556</v>
      </c>
      <c r="CD5">
        <f t="shared" si="0"/>
        <v>117.55555555555556</v>
      </c>
      <c r="CE5">
        <f t="shared" si="0"/>
        <v>118.13333333333333</v>
      </c>
      <c r="CF5">
        <f t="shared" si="0"/>
        <v>123.63333333333333</v>
      </c>
      <c r="CG5">
        <f t="shared" si="0"/>
        <v>125.53333333333333</v>
      </c>
      <c r="CH5">
        <f t="shared" si="0"/>
        <v>123.33333333333334</v>
      </c>
      <c r="CI5">
        <f t="shared" si="0"/>
        <v>120.03703703703705</v>
      </c>
      <c r="CJ5">
        <f t="shared" si="0"/>
        <v>121.29166666666667</v>
      </c>
      <c r="CK5">
        <f t="shared" si="0"/>
        <v>115.76190476190474</v>
      </c>
      <c r="CL5">
        <f t="shared" si="0"/>
        <v>119.22222222222221</v>
      </c>
      <c r="CM5">
        <f t="shared" si="0"/>
        <v>118.66666666666666</v>
      </c>
      <c r="CN5">
        <f t="shared" si="0"/>
        <v>110.08333333333333</v>
      </c>
      <c r="CO5">
        <f t="shared" si="0"/>
        <v>105.66666666666667</v>
      </c>
      <c r="CP5">
        <f t="shared" si="0"/>
        <v>87</v>
      </c>
      <c r="CQ5">
        <f t="shared" si="0"/>
        <v>107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48</v>
      </c>
      <c r="C6" s="14">
        <v>67</v>
      </c>
      <c r="D6" s="14">
        <v>16</v>
      </c>
      <c r="E6" s="14">
        <v>9</v>
      </c>
      <c r="F6" s="14">
        <v>48</v>
      </c>
      <c r="G6" s="14">
        <v>43</v>
      </c>
      <c r="H6" s="14">
        <v>44</v>
      </c>
      <c r="I6" s="14">
        <v>85</v>
      </c>
      <c r="J6" s="14">
        <v>76</v>
      </c>
      <c r="K6" s="14">
        <v>36</v>
      </c>
      <c r="L6" s="14">
        <v>32</v>
      </c>
      <c r="M6" s="14">
        <v>171</v>
      </c>
      <c r="N6" s="14">
        <v>25</v>
      </c>
      <c r="O6" s="14">
        <v>64</v>
      </c>
      <c r="P6" s="14">
        <v>49</v>
      </c>
      <c r="Q6" s="14">
        <v>93</v>
      </c>
      <c r="R6" s="14">
        <v>50</v>
      </c>
      <c r="S6" s="14"/>
      <c r="T6" s="14"/>
      <c r="U6" s="15">
        <v>59</v>
      </c>
      <c r="V6" s="15"/>
      <c r="W6" s="15">
        <v>106</v>
      </c>
      <c r="X6" s="15">
        <v>109</v>
      </c>
      <c r="Y6" s="15">
        <v>56</v>
      </c>
      <c r="Z6" s="15">
        <v>63</v>
      </c>
      <c r="AA6" s="76">
        <v>76</v>
      </c>
      <c r="AB6" s="14">
        <v>127</v>
      </c>
      <c r="AC6" s="14">
        <v>158</v>
      </c>
      <c r="AD6" s="14">
        <v>134</v>
      </c>
      <c r="AE6" s="124">
        <v>184</v>
      </c>
      <c r="AF6" s="99">
        <v>158.66666666666666</v>
      </c>
      <c r="AG6" s="124">
        <v>122</v>
      </c>
      <c r="AH6" s="124">
        <f>41+37+33+38+35-13+52+21</f>
        <v>244</v>
      </c>
      <c r="AI6" s="124">
        <f>(2+3+4+1+1+2+1+2+2+1+1+2)+(1+1+1+2+1+2+1+2+10+1+2+2+2+2+1+1+1+1+2)+(2+1+2+2+1+10+2+1+2+2+1)+(1+3+2+1+2+2+1)+(1+1+2)+(3)</f>
        <v>103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47.2</v>
      </c>
      <c r="BK6">
        <f t="shared" si="0"/>
        <v>45.6</v>
      </c>
      <c r="BL6">
        <f t="shared" ref="BL6:BL16" si="2">AVERAGE(D6:M6)</f>
        <v>56</v>
      </c>
      <c r="BM6">
        <f t="shared" si="0"/>
        <v>56.9</v>
      </c>
      <c r="BN6">
        <f t="shared" si="0"/>
        <v>62.4</v>
      </c>
      <c r="BO6">
        <f t="shared" si="0"/>
        <v>62.5</v>
      </c>
      <c r="BP6">
        <f t="shared" si="0"/>
        <v>67.5</v>
      </c>
      <c r="BQ6">
        <f t="shared" si="0"/>
        <v>68.099999999999994</v>
      </c>
      <c r="BR6">
        <f t="shared" ref="BR6:BS16" si="3">AVERAGE(J6:S6)</f>
        <v>66.222222222222229</v>
      </c>
      <c r="BS6">
        <f t="shared" si="3"/>
        <v>65</v>
      </c>
      <c r="BT6">
        <f t="shared" si="0"/>
        <v>67.875</v>
      </c>
      <c r="BU6">
        <f t="shared" si="0"/>
        <v>73</v>
      </c>
      <c r="BV6">
        <f t="shared" si="0"/>
        <v>63.714285714285715</v>
      </c>
      <c r="BW6">
        <f t="shared" si="0"/>
        <v>75.714285714285708</v>
      </c>
      <c r="BX6">
        <f t="shared" si="0"/>
        <v>74.571428571428569</v>
      </c>
      <c r="BY6">
        <f t="shared" si="0"/>
        <v>76.571428571428569</v>
      </c>
      <c r="BZ6">
        <f t="shared" si="0"/>
        <v>74.142857142857139</v>
      </c>
      <c r="CA6">
        <f t="shared" si="0"/>
        <v>85.142857142857139</v>
      </c>
      <c r="CB6">
        <f t="shared" si="0"/>
        <v>94.25</v>
      </c>
      <c r="CC6">
        <f t="shared" si="0"/>
        <v>98.666666666666671</v>
      </c>
      <c r="CD6">
        <f t="shared" si="0"/>
        <v>112.55555555555556</v>
      </c>
      <c r="CE6">
        <f t="shared" si="0"/>
        <v>117.16666666666667</v>
      </c>
      <c r="CF6">
        <f t="shared" ref="CF6:CF16" si="4">AVERAGE(X6:AG6)</f>
        <v>118.76666666666668</v>
      </c>
      <c r="CG6">
        <f t="shared" ref="CG6:CG16" si="5">AVERAGE(Y6:AH6)</f>
        <v>132.26666666666665</v>
      </c>
      <c r="CH6">
        <f t="shared" ref="CH6:CH16" si="6">AVERAGE(Z6:AI6)</f>
        <v>136.96666666666664</v>
      </c>
      <c r="CI6">
        <f t="shared" ref="CI6:CI16" si="7">AVERAGE(AA6:AJ6)</f>
        <v>145.18518518518516</v>
      </c>
      <c r="CJ6">
        <f t="shared" ref="CJ6:CJ16" si="8">AVERAGE(AB6:AK6)</f>
        <v>153.83333333333331</v>
      </c>
      <c r="CK6">
        <f t="shared" ref="CK6:CK16" si="9">AVERAGE(AC6:AL6)</f>
        <v>157.66666666666666</v>
      </c>
      <c r="CL6">
        <f t="shared" ref="CL6:CL16" si="10">AVERAGE(AD6:AM6)</f>
        <v>157.61111111111111</v>
      </c>
      <c r="CM6">
        <f t="shared" ref="CM6:CM16" si="11">AVERAGE(AE6:AN6)</f>
        <v>162.33333333333331</v>
      </c>
      <c r="CN6">
        <f t="shared" ref="CN6:CN16" si="12">AVERAGE(AF6:AO6)</f>
        <v>156.91666666666666</v>
      </c>
      <c r="CO6">
        <f t="shared" ref="CO6:CO16" si="13">AVERAGE(AG6:AP6)</f>
        <v>156.33333333333334</v>
      </c>
      <c r="CP6">
        <f t="shared" ref="CP6:CP16" si="14">AVERAGE(AH6:AQ6)</f>
        <v>173.5</v>
      </c>
      <c r="CQ6">
        <f t="shared" ref="CQ6:CQ16" si="15">AVERAGE(AI6:AR6)</f>
        <v>103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122</v>
      </c>
      <c r="C7" s="16">
        <v>89</v>
      </c>
      <c r="D7" s="16">
        <v>20</v>
      </c>
      <c r="E7" s="16">
        <v>19</v>
      </c>
      <c r="F7" s="16">
        <v>162</v>
      </c>
      <c r="G7" s="16">
        <v>69</v>
      </c>
      <c r="H7" s="16">
        <v>102</v>
      </c>
      <c r="I7" s="16">
        <v>95</v>
      </c>
      <c r="J7" s="16">
        <v>121</v>
      </c>
      <c r="K7" s="16">
        <v>135</v>
      </c>
      <c r="L7" s="16">
        <v>62</v>
      </c>
      <c r="M7" s="16">
        <v>286</v>
      </c>
      <c r="N7" s="16">
        <v>94</v>
      </c>
      <c r="O7" s="16">
        <v>79</v>
      </c>
      <c r="P7" s="16">
        <v>76</v>
      </c>
      <c r="Q7" s="16">
        <v>116</v>
      </c>
      <c r="R7" s="16">
        <v>89</v>
      </c>
      <c r="S7" s="16"/>
      <c r="T7" s="16"/>
      <c r="U7" s="17">
        <v>110</v>
      </c>
      <c r="V7" s="17"/>
      <c r="W7" s="17">
        <v>171</v>
      </c>
      <c r="X7" s="17">
        <v>150</v>
      </c>
      <c r="Y7" s="17">
        <v>79</v>
      </c>
      <c r="Z7" s="17">
        <v>105</v>
      </c>
      <c r="AA7" s="76">
        <v>111.33333333333333</v>
      </c>
      <c r="AB7" s="16">
        <v>78</v>
      </c>
      <c r="AC7" s="16">
        <v>170</v>
      </c>
      <c r="AD7" s="16">
        <v>134</v>
      </c>
      <c r="AE7" s="10">
        <v>229</v>
      </c>
      <c r="AF7" s="99">
        <v>177.66666666666666</v>
      </c>
      <c r="AG7" s="10">
        <v>123</v>
      </c>
      <c r="AH7" s="10">
        <f>13+31+43+27+3</f>
        <v>117</v>
      </c>
      <c r="AI7" s="10">
        <f>(1+2+2+1+3+1+2+1)+(1)+(1+3+2+2+1+1+1+2+1+2+2+2+1+2+2+1+2+1)+(2+2+2+2+5+1+2+2+3+1+1+1+2+2+2+1+1+3+2+2+2+2+2)+(1+1+2+4+1+3+1+1+1+2+2+3+1)+(4+2)+(2+2+2)</f>
        <v>123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93.4</v>
      </c>
      <c r="BK7">
        <f t="shared" si="0"/>
        <v>87.4</v>
      </c>
      <c r="BL7">
        <f t="shared" si="2"/>
        <v>107.1</v>
      </c>
      <c r="BM7">
        <f t="shared" si="0"/>
        <v>114.5</v>
      </c>
      <c r="BN7">
        <f t="shared" si="0"/>
        <v>120.5</v>
      </c>
      <c r="BO7">
        <f t="shared" si="0"/>
        <v>111.9</v>
      </c>
      <c r="BP7">
        <f t="shared" si="0"/>
        <v>116.6</v>
      </c>
      <c r="BQ7">
        <f t="shared" si="0"/>
        <v>115.3</v>
      </c>
      <c r="BR7">
        <f t="shared" si="3"/>
        <v>117.55555555555556</v>
      </c>
      <c r="BS7">
        <f t="shared" si="3"/>
        <v>117.125</v>
      </c>
      <c r="BT7">
        <f t="shared" si="0"/>
        <v>114</v>
      </c>
      <c r="BU7">
        <f t="shared" si="0"/>
        <v>121.42857142857143</v>
      </c>
      <c r="BV7">
        <f t="shared" si="0"/>
        <v>105</v>
      </c>
      <c r="BW7">
        <f t="shared" si="0"/>
        <v>113</v>
      </c>
      <c r="BX7">
        <f>AVERAGE(P7:Y7)</f>
        <v>113</v>
      </c>
      <c r="BY7">
        <f t="shared" si="0"/>
        <v>117.14285714285714</v>
      </c>
      <c r="BZ7">
        <f t="shared" si="0"/>
        <v>116.47619047619048</v>
      </c>
      <c r="CA7">
        <f t="shared" si="0"/>
        <v>114.90476190476191</v>
      </c>
      <c r="CB7">
        <f t="shared" si="0"/>
        <v>121.79166666666667</v>
      </c>
      <c r="CC7">
        <f t="shared" si="0"/>
        <v>123.14814814814817</v>
      </c>
      <c r="CD7">
        <f t="shared" si="0"/>
        <v>136.37037037037038</v>
      </c>
      <c r="CE7">
        <f>AVERAGE(W7:AF7)</f>
        <v>140.50000000000003</v>
      </c>
      <c r="CF7">
        <f t="shared" si="4"/>
        <v>135.69999999999999</v>
      </c>
      <c r="CG7">
        <f t="shared" si="5"/>
        <v>132.4</v>
      </c>
      <c r="CH7">
        <f t="shared" si="6"/>
        <v>136.80000000000001</v>
      </c>
      <c r="CI7">
        <f t="shared" si="7"/>
        <v>140.33333333333334</v>
      </c>
      <c r="CJ7">
        <f t="shared" si="8"/>
        <v>143.95833333333331</v>
      </c>
      <c r="CK7">
        <f t="shared" si="9"/>
        <v>153.38095238095235</v>
      </c>
      <c r="CL7">
        <f t="shared" si="10"/>
        <v>150.61111111111111</v>
      </c>
      <c r="CM7">
        <f t="shared" si="11"/>
        <v>153.93333333333334</v>
      </c>
      <c r="CN7">
        <f t="shared" si="12"/>
        <v>135.16666666666666</v>
      </c>
      <c r="CO7">
        <f t="shared" si="13"/>
        <v>121</v>
      </c>
      <c r="CP7">
        <f t="shared" si="14"/>
        <v>120</v>
      </c>
      <c r="CQ7">
        <f t="shared" si="15"/>
        <v>123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93</v>
      </c>
      <c r="C8" s="14">
        <v>193</v>
      </c>
      <c r="D8" s="14">
        <v>102</v>
      </c>
      <c r="E8" s="14">
        <v>117</v>
      </c>
      <c r="F8" s="14">
        <v>127</v>
      </c>
      <c r="G8" s="14">
        <v>117</v>
      </c>
      <c r="H8" s="14">
        <v>130</v>
      </c>
      <c r="I8" s="14">
        <v>95</v>
      </c>
      <c r="J8" s="14">
        <v>123</v>
      </c>
      <c r="K8" s="14">
        <v>27</v>
      </c>
      <c r="L8" s="14">
        <v>119</v>
      </c>
      <c r="M8" s="14">
        <v>192</v>
      </c>
      <c r="N8" s="14">
        <v>125</v>
      </c>
      <c r="O8" s="14">
        <v>147</v>
      </c>
      <c r="P8" s="14">
        <v>172</v>
      </c>
      <c r="Q8" s="14">
        <v>156</v>
      </c>
      <c r="R8" s="14">
        <v>142</v>
      </c>
      <c r="S8" s="14"/>
      <c r="T8" s="14"/>
      <c r="U8" s="15">
        <v>263</v>
      </c>
      <c r="V8" s="15"/>
      <c r="W8" s="15">
        <v>265</v>
      </c>
      <c r="X8" s="15">
        <v>194</v>
      </c>
      <c r="Y8" s="15">
        <v>266</v>
      </c>
      <c r="Z8" s="15">
        <v>207</v>
      </c>
      <c r="AA8" s="76">
        <v>222.333333333333</v>
      </c>
      <c r="AB8" s="14">
        <v>380</v>
      </c>
      <c r="AC8" s="14">
        <v>252</v>
      </c>
      <c r="AD8" s="14">
        <v>259</v>
      </c>
      <c r="AE8" s="124">
        <v>124</v>
      </c>
      <c r="AF8" s="99">
        <v>211.66666666666666</v>
      </c>
      <c r="AG8" s="124">
        <v>364</v>
      </c>
      <c r="AH8" s="124">
        <f>3+32+33+47+32+25+15+3+13</f>
        <v>203</v>
      </c>
      <c r="AI8" s="124">
        <f>(3+2)+(2)+(2)+(2+2+2+5)+(1+1+1+1+1+2+2+1+1+1)+(2+1+1+2+2)+(2+3+1+4+1+5)+(2)+(2+4)</f>
        <v>64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112.4</v>
      </c>
      <c r="BK8">
        <f t="shared" si="0"/>
        <v>115</v>
      </c>
      <c r="BL8">
        <f t="shared" si="2"/>
        <v>114.9</v>
      </c>
      <c r="BM8">
        <f t="shared" si="0"/>
        <v>117.2</v>
      </c>
      <c r="BN8">
        <f t="shared" si="0"/>
        <v>120.2</v>
      </c>
      <c r="BO8">
        <f t="shared" si="0"/>
        <v>124.7</v>
      </c>
      <c r="BP8">
        <f t="shared" si="0"/>
        <v>128.6</v>
      </c>
      <c r="BQ8">
        <f t="shared" si="0"/>
        <v>129.80000000000001</v>
      </c>
      <c r="BR8">
        <f t="shared" si="3"/>
        <v>133.66666666666666</v>
      </c>
      <c r="BS8">
        <f t="shared" si="3"/>
        <v>135</v>
      </c>
      <c r="BT8">
        <f>AVERAGE(L8:U8)</f>
        <v>164.5</v>
      </c>
      <c r="BU8">
        <f t="shared" si="0"/>
        <v>171</v>
      </c>
      <c r="BV8">
        <f t="shared" si="0"/>
        <v>181.42857142857142</v>
      </c>
      <c r="BW8">
        <f t="shared" si="0"/>
        <v>191.28571428571428</v>
      </c>
      <c r="BX8">
        <f t="shared" si="0"/>
        <v>208.28571428571428</v>
      </c>
      <c r="BY8">
        <f t="shared" si="0"/>
        <v>213.28571428571428</v>
      </c>
      <c r="BZ8">
        <f t="shared" si="0"/>
        <v>222.76190476190473</v>
      </c>
      <c r="CA8">
        <f t="shared" si="0"/>
        <v>256.7619047619047</v>
      </c>
      <c r="CB8">
        <f t="shared" si="0"/>
        <v>256.16666666666663</v>
      </c>
      <c r="CC8">
        <f t="shared" si="0"/>
        <v>256.48148148148147</v>
      </c>
      <c r="CD8">
        <f t="shared" si="0"/>
        <v>241.03703703703701</v>
      </c>
      <c r="CE8">
        <f t="shared" si="0"/>
        <v>238.09999999999997</v>
      </c>
      <c r="CF8">
        <f t="shared" si="4"/>
        <v>247.99999999999994</v>
      </c>
      <c r="CG8">
        <f t="shared" si="5"/>
        <v>248.9</v>
      </c>
      <c r="CH8">
        <f t="shared" si="6"/>
        <v>228.7</v>
      </c>
      <c r="CI8">
        <f t="shared" si="7"/>
        <v>231.11111111111111</v>
      </c>
      <c r="CJ8">
        <f t="shared" si="8"/>
        <v>232.20833333333334</v>
      </c>
      <c r="CK8">
        <f t="shared" si="9"/>
        <v>211.09523809523807</v>
      </c>
      <c r="CL8">
        <f t="shared" si="10"/>
        <v>204.27777777777774</v>
      </c>
      <c r="CM8">
        <f t="shared" si="11"/>
        <v>193.33333333333331</v>
      </c>
      <c r="CN8">
        <f t="shared" si="12"/>
        <v>210.66666666666666</v>
      </c>
      <c r="CO8">
        <f t="shared" si="13"/>
        <v>210.33333333333334</v>
      </c>
      <c r="CP8">
        <f t="shared" si="14"/>
        <v>133.5</v>
      </c>
      <c r="CQ8">
        <f t="shared" si="15"/>
        <v>64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125</v>
      </c>
      <c r="C9" s="16">
        <v>143</v>
      </c>
      <c r="D9" s="16">
        <v>161</v>
      </c>
      <c r="E9" s="16">
        <v>222</v>
      </c>
      <c r="F9" s="16">
        <v>189</v>
      </c>
      <c r="G9" s="16">
        <v>119</v>
      </c>
      <c r="H9" s="16">
        <v>176</v>
      </c>
      <c r="I9" s="16">
        <v>177</v>
      </c>
      <c r="J9" s="16">
        <v>185</v>
      </c>
      <c r="K9" s="16">
        <v>157</v>
      </c>
      <c r="L9" s="16">
        <v>176</v>
      </c>
      <c r="M9" s="16">
        <v>225</v>
      </c>
      <c r="N9" s="16">
        <v>213</v>
      </c>
      <c r="O9" s="16">
        <v>261</v>
      </c>
      <c r="P9" s="16">
        <v>286</v>
      </c>
      <c r="Q9" s="16">
        <v>174</v>
      </c>
      <c r="R9" s="16">
        <v>274</v>
      </c>
      <c r="S9" s="16"/>
      <c r="T9" s="16"/>
      <c r="U9" s="17">
        <v>311</v>
      </c>
      <c r="V9" s="17"/>
      <c r="W9" s="17">
        <v>204</v>
      </c>
      <c r="X9" s="17">
        <v>276</v>
      </c>
      <c r="Y9" s="17">
        <v>330</v>
      </c>
      <c r="Z9" s="17">
        <v>352</v>
      </c>
      <c r="AA9" s="76">
        <v>319.33333333333331</v>
      </c>
      <c r="AB9" s="16">
        <v>217</v>
      </c>
      <c r="AC9" s="16">
        <v>301</v>
      </c>
      <c r="AD9" s="16">
        <v>298</v>
      </c>
      <c r="AE9" s="10">
        <v>193</v>
      </c>
      <c r="AF9" s="10">
        <v>309</v>
      </c>
      <c r="AG9" s="10">
        <v>389</v>
      </c>
      <c r="AH9" s="10">
        <f>14+32+42+33+29+47+37+22+16+7+18</f>
        <v>297</v>
      </c>
      <c r="AI9" s="10">
        <f>(3)+(2)+(2)+(2)+(1+1+1+1+1+1)+(2)+(2)</f>
        <v>19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165.4</v>
      </c>
      <c r="BK9">
        <f t="shared" si="0"/>
        <v>170.5</v>
      </c>
      <c r="BL9">
        <f t="shared" si="2"/>
        <v>178.7</v>
      </c>
      <c r="BM9">
        <f t="shared" si="0"/>
        <v>183.9</v>
      </c>
      <c r="BN9">
        <f t="shared" si="0"/>
        <v>187.8</v>
      </c>
      <c r="BO9">
        <f t="shared" si="0"/>
        <v>197.5</v>
      </c>
      <c r="BP9">
        <f t="shared" si="0"/>
        <v>203</v>
      </c>
      <c r="BQ9">
        <f t="shared" si="0"/>
        <v>212.8</v>
      </c>
      <c r="BR9">
        <f t="shared" si="3"/>
        <v>216.77777777777777</v>
      </c>
      <c r="BS9">
        <f t="shared" si="3"/>
        <v>220.75</v>
      </c>
      <c r="BT9">
        <f t="shared" si="0"/>
        <v>240</v>
      </c>
      <c r="BU9">
        <f t="shared" si="0"/>
        <v>249.14285714285714</v>
      </c>
      <c r="BV9">
        <f t="shared" si="0"/>
        <v>246.14285714285714</v>
      </c>
      <c r="BW9">
        <f t="shared" si="0"/>
        <v>255.14285714285714</v>
      </c>
      <c r="BX9">
        <f t="shared" si="0"/>
        <v>265</v>
      </c>
      <c r="BY9">
        <f t="shared" si="0"/>
        <v>274.42857142857144</v>
      </c>
      <c r="BZ9">
        <f t="shared" si="0"/>
        <v>295.1904761904762</v>
      </c>
      <c r="CA9">
        <f t="shared" si="0"/>
        <v>287.04761904761904</v>
      </c>
      <c r="CB9">
        <f t="shared" si="0"/>
        <v>288.79166666666663</v>
      </c>
      <c r="CC9">
        <f t="shared" si="0"/>
        <v>289.81481481481478</v>
      </c>
      <c r="CD9">
        <f t="shared" si="0"/>
        <v>276.7037037037037</v>
      </c>
      <c r="CE9">
        <f t="shared" si="0"/>
        <v>279.93333333333328</v>
      </c>
      <c r="CF9">
        <f t="shared" si="4"/>
        <v>298.43333333333328</v>
      </c>
      <c r="CG9">
        <f t="shared" si="5"/>
        <v>300.5333333333333</v>
      </c>
      <c r="CH9">
        <f t="shared" si="6"/>
        <v>269.43333333333328</v>
      </c>
      <c r="CI9">
        <f t="shared" si="7"/>
        <v>260.25925925925924</v>
      </c>
      <c r="CJ9">
        <f t="shared" si="8"/>
        <v>252.875</v>
      </c>
      <c r="CK9">
        <f t="shared" si="9"/>
        <v>258</v>
      </c>
      <c r="CL9">
        <f t="shared" si="10"/>
        <v>250.83333333333334</v>
      </c>
      <c r="CM9">
        <f t="shared" si="11"/>
        <v>241.4</v>
      </c>
      <c r="CN9">
        <f t="shared" si="12"/>
        <v>253.5</v>
      </c>
      <c r="CO9">
        <f t="shared" si="13"/>
        <v>235</v>
      </c>
      <c r="CP9">
        <f t="shared" si="14"/>
        <v>158</v>
      </c>
      <c r="CQ9">
        <f t="shared" si="15"/>
        <v>19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121</v>
      </c>
      <c r="C10" s="14">
        <v>117</v>
      </c>
      <c r="D10" s="14">
        <v>108</v>
      </c>
      <c r="E10" s="14">
        <v>107</v>
      </c>
      <c r="F10" s="14">
        <v>162</v>
      </c>
      <c r="G10" s="14">
        <v>153</v>
      </c>
      <c r="H10" s="14">
        <v>124</v>
      </c>
      <c r="I10" s="14">
        <v>102</v>
      </c>
      <c r="J10" s="14">
        <v>155</v>
      </c>
      <c r="K10" s="14">
        <v>120</v>
      </c>
      <c r="L10" s="14">
        <v>238</v>
      </c>
      <c r="M10" s="14">
        <v>232</v>
      </c>
      <c r="N10" s="14">
        <v>220</v>
      </c>
      <c r="O10" s="14">
        <v>200</v>
      </c>
      <c r="P10" s="14">
        <v>154</v>
      </c>
      <c r="Q10" s="14">
        <v>136</v>
      </c>
      <c r="R10" s="14">
        <v>252</v>
      </c>
      <c r="S10" s="14"/>
      <c r="T10" s="14"/>
      <c r="U10" s="15">
        <v>221</v>
      </c>
      <c r="V10" s="15"/>
      <c r="W10" s="15">
        <v>242</v>
      </c>
      <c r="X10" s="15">
        <v>233</v>
      </c>
      <c r="Y10" s="15">
        <v>287</v>
      </c>
      <c r="Z10" s="15">
        <v>314</v>
      </c>
      <c r="AA10" s="76">
        <v>278</v>
      </c>
      <c r="AB10" s="14">
        <v>256</v>
      </c>
      <c r="AC10" s="14">
        <v>393</v>
      </c>
      <c r="AD10" s="14">
        <v>315</v>
      </c>
      <c r="AE10" s="124">
        <v>249</v>
      </c>
      <c r="AF10" s="124">
        <v>240</v>
      </c>
      <c r="AG10" s="124">
        <v>340</v>
      </c>
      <c r="AH10" s="124">
        <f>20+5+4+5+8+26+5+(1+2+1+1+2+1+2+1+1+4+1+1+2+3+2+3+6+2+4+10)+(2+2+2+1+1+2+2+2+1+2+3+1+1+2+1+2+1+3+4+1)+(1+1+1+3+4+3+1+1+1+2+2+2+1+1+2+2+2+2+1+1)+(1+1+1+2+1+1+4+2+2+2)+(1+1+2+1+1+2+2+2+1+2+1+5+1+1+2+6+1+2+2+2)+(3+5+1+1+3+2+2+2+2+1+2+4+2+4+2+1+2+1)</f>
        <v>288</v>
      </c>
      <c r="AI10" s="124">
        <f>(2)+(1)+(1+1)+(2)+(1)+(7)+(1+1+2)+(3)</f>
        <v>22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126.9</v>
      </c>
      <c r="BK10">
        <f t="shared" si="0"/>
        <v>138.6</v>
      </c>
      <c r="BL10">
        <f t="shared" si="2"/>
        <v>150.1</v>
      </c>
      <c r="BM10">
        <f t="shared" si="0"/>
        <v>161.30000000000001</v>
      </c>
      <c r="BN10">
        <f t="shared" si="0"/>
        <v>170.6</v>
      </c>
      <c r="BO10">
        <f t="shared" si="0"/>
        <v>169.8</v>
      </c>
      <c r="BP10">
        <f t="shared" si="0"/>
        <v>168.1</v>
      </c>
      <c r="BQ10">
        <f t="shared" si="0"/>
        <v>180.9</v>
      </c>
      <c r="BR10">
        <f t="shared" si="3"/>
        <v>189.66666666666666</v>
      </c>
      <c r="BS10">
        <f t="shared" si="3"/>
        <v>194</v>
      </c>
      <c r="BT10">
        <f t="shared" si="0"/>
        <v>206.625</v>
      </c>
      <c r="BU10">
        <f t="shared" si="0"/>
        <v>202.14285714285714</v>
      </c>
      <c r="BV10">
        <f t="shared" si="0"/>
        <v>203.57142857142858</v>
      </c>
      <c r="BW10">
        <f t="shared" si="0"/>
        <v>205.42857142857142</v>
      </c>
      <c r="BX10">
        <f t="shared" si="0"/>
        <v>217.85714285714286</v>
      </c>
      <c r="BY10">
        <f t="shared" si="0"/>
        <v>240.71428571428572</v>
      </c>
      <c r="BZ10">
        <f t="shared" si="0"/>
        <v>261</v>
      </c>
      <c r="CA10">
        <f t="shared" si="0"/>
        <v>261.57142857142856</v>
      </c>
      <c r="CB10">
        <f t="shared" si="0"/>
        <v>278</v>
      </c>
      <c r="CC10">
        <f t="shared" si="0"/>
        <v>282.11111111111109</v>
      </c>
      <c r="CD10">
        <f t="shared" si="0"/>
        <v>285.22222222222223</v>
      </c>
      <c r="CE10">
        <f t="shared" si="0"/>
        <v>280.7</v>
      </c>
      <c r="CF10">
        <f t="shared" si="4"/>
        <v>290.5</v>
      </c>
      <c r="CG10">
        <f t="shared" si="5"/>
        <v>296</v>
      </c>
      <c r="CH10">
        <f t="shared" si="6"/>
        <v>269.5</v>
      </c>
      <c r="CI10">
        <f t="shared" si="7"/>
        <v>264.55555555555554</v>
      </c>
      <c r="CJ10">
        <f t="shared" si="8"/>
        <v>262.875</v>
      </c>
      <c r="CK10">
        <f t="shared" si="9"/>
        <v>263.85714285714283</v>
      </c>
      <c r="CL10">
        <f t="shared" si="10"/>
        <v>242.33333333333334</v>
      </c>
      <c r="CM10">
        <f t="shared" si="11"/>
        <v>227.8</v>
      </c>
      <c r="CN10">
        <f t="shared" si="12"/>
        <v>222.5</v>
      </c>
      <c r="CO10">
        <f t="shared" si="13"/>
        <v>216.66666666666666</v>
      </c>
      <c r="CP10">
        <f t="shared" si="14"/>
        <v>155</v>
      </c>
      <c r="CQ10">
        <f t="shared" si="15"/>
        <v>22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201</v>
      </c>
      <c r="C11" s="16">
        <v>129</v>
      </c>
      <c r="D11" s="16">
        <v>209</v>
      </c>
      <c r="E11" s="16">
        <v>226</v>
      </c>
      <c r="F11" s="16">
        <v>251</v>
      </c>
      <c r="G11" s="16">
        <v>161</v>
      </c>
      <c r="H11" s="16">
        <v>177</v>
      </c>
      <c r="I11" s="16">
        <v>256</v>
      </c>
      <c r="J11" s="16">
        <v>226</v>
      </c>
      <c r="K11" s="16">
        <v>219</v>
      </c>
      <c r="L11" s="16">
        <v>434</v>
      </c>
      <c r="M11" s="16">
        <v>330</v>
      </c>
      <c r="N11" s="16">
        <v>299</v>
      </c>
      <c r="O11" s="16">
        <v>324</v>
      </c>
      <c r="P11" s="16">
        <v>284</v>
      </c>
      <c r="Q11" s="16">
        <v>303</v>
      </c>
      <c r="R11" s="16">
        <v>309</v>
      </c>
      <c r="S11" s="16"/>
      <c r="T11" s="16"/>
      <c r="U11" s="17">
        <v>418</v>
      </c>
      <c r="V11" s="17"/>
      <c r="W11" s="17">
        <v>396</v>
      </c>
      <c r="X11" s="17">
        <v>368</v>
      </c>
      <c r="Y11" s="17">
        <v>396</v>
      </c>
      <c r="Z11" s="17">
        <v>416</v>
      </c>
      <c r="AA11" s="76">
        <v>393.33333333333331</v>
      </c>
      <c r="AB11" s="16">
        <v>430</v>
      </c>
      <c r="AC11" s="16">
        <v>456</v>
      </c>
      <c r="AD11" s="16">
        <v>465</v>
      </c>
      <c r="AE11" s="10">
        <v>247</v>
      </c>
      <c r="AF11" s="10">
        <v>325</v>
      </c>
      <c r="AG11" s="10">
        <v>523</v>
      </c>
      <c r="AH11" s="10">
        <f>(2+5+1+1+2+2+2+1+1+1)+(2+2+2+3+2+1+1+1+1+1+2+2+2+1+2+1+2+6+1+3)+(2+4+2+2+2+2+3+2+3+1+1+2+2+2+1+2+2+2+6+2)+(1+3+2+1+1+1+1+1+3+2+2+4+3+1+6+3+1+1+1+2)+(3+2+1+4+3+1+2+3+2+2+2+2+4+2+1+2+2+5+1)+(1+1+2+1+2+2+1+1+2+2+1+2+1+1+1+2+1+2+4+2)+(1+2+2+1+3+1+2+1+2+2+2+1)+(1+2+2+1+3+2+1+4+2+2)</f>
        <v>257</v>
      </c>
      <c r="AI11" s="10">
        <f>(4)+(2)+(1+1+2)+(3)+(1)+(2)+(3+1)+(1)+(1)+(1+2)+(2)+(1+2+1+4)</f>
        <v>35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205.5</v>
      </c>
      <c r="BK11">
        <f t="shared" si="0"/>
        <v>228.8</v>
      </c>
      <c r="BL11">
        <f t="shared" si="2"/>
        <v>248.9</v>
      </c>
      <c r="BM11">
        <f t="shared" si="0"/>
        <v>257.89999999999998</v>
      </c>
      <c r="BN11">
        <f t="shared" si="0"/>
        <v>267.7</v>
      </c>
      <c r="BO11">
        <f t="shared" si="0"/>
        <v>271</v>
      </c>
      <c r="BP11">
        <f t="shared" si="0"/>
        <v>285.2</v>
      </c>
      <c r="BQ11">
        <f t="shared" si="0"/>
        <v>298.39999999999998</v>
      </c>
      <c r="BR11">
        <f t="shared" si="3"/>
        <v>303.11111111111109</v>
      </c>
      <c r="BS11">
        <f t="shared" si="3"/>
        <v>312.75</v>
      </c>
      <c r="BT11">
        <f t="shared" si="0"/>
        <v>337.625</v>
      </c>
      <c r="BU11">
        <f t="shared" si="0"/>
        <v>323.85714285714283</v>
      </c>
      <c r="BV11">
        <f t="shared" si="0"/>
        <v>333.28571428571428</v>
      </c>
      <c r="BW11">
        <f t="shared" si="0"/>
        <v>343.14285714285717</v>
      </c>
      <c r="BX11">
        <f t="shared" si="0"/>
        <v>353.42857142857144</v>
      </c>
      <c r="BY11">
        <f t="shared" si="0"/>
        <v>372.28571428571428</v>
      </c>
      <c r="BZ11">
        <f t="shared" si="0"/>
        <v>385.1904761904762</v>
      </c>
      <c r="CA11">
        <f t="shared" si="0"/>
        <v>402.47619047619048</v>
      </c>
      <c r="CB11">
        <f t="shared" si="0"/>
        <v>409.16666666666669</v>
      </c>
      <c r="CC11">
        <f t="shared" si="0"/>
        <v>415.37037037037038</v>
      </c>
      <c r="CD11">
        <f t="shared" si="0"/>
        <v>396.37037037037032</v>
      </c>
      <c r="CE11">
        <f t="shared" si="0"/>
        <v>389.23333333333329</v>
      </c>
      <c r="CF11">
        <f t="shared" si="4"/>
        <v>401.93333333333328</v>
      </c>
      <c r="CG11">
        <f t="shared" si="5"/>
        <v>390.83333333333331</v>
      </c>
      <c r="CH11">
        <f t="shared" si="6"/>
        <v>354.73333333333329</v>
      </c>
      <c r="CI11">
        <f t="shared" si="7"/>
        <v>347.92592592592587</v>
      </c>
      <c r="CJ11">
        <f t="shared" si="8"/>
        <v>342.25</v>
      </c>
      <c r="CK11">
        <f t="shared" si="9"/>
        <v>329.71428571428572</v>
      </c>
      <c r="CL11">
        <f t="shared" si="10"/>
        <v>308.66666666666669</v>
      </c>
      <c r="CM11">
        <f t="shared" si="11"/>
        <v>277.39999999999998</v>
      </c>
      <c r="CN11">
        <f t="shared" si="12"/>
        <v>285</v>
      </c>
      <c r="CO11">
        <f t="shared" si="13"/>
        <v>271.66666666666669</v>
      </c>
      <c r="CP11">
        <f t="shared" si="14"/>
        <v>146</v>
      </c>
      <c r="CQ11">
        <f t="shared" si="15"/>
        <v>35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182</v>
      </c>
      <c r="C12" s="14">
        <v>216</v>
      </c>
      <c r="D12" s="14">
        <v>190</v>
      </c>
      <c r="E12" s="14">
        <v>144</v>
      </c>
      <c r="F12" s="14">
        <v>145</v>
      </c>
      <c r="G12" s="14">
        <v>158</v>
      </c>
      <c r="H12" s="14">
        <v>183</v>
      </c>
      <c r="I12" s="14">
        <v>249</v>
      </c>
      <c r="J12" s="14">
        <v>284</v>
      </c>
      <c r="K12" s="14">
        <v>218</v>
      </c>
      <c r="L12" s="14">
        <v>394</v>
      </c>
      <c r="M12" s="14">
        <v>370</v>
      </c>
      <c r="N12" s="14">
        <v>273</v>
      </c>
      <c r="O12" s="14">
        <v>286</v>
      </c>
      <c r="P12" s="14">
        <v>290</v>
      </c>
      <c r="Q12" s="14">
        <v>306</v>
      </c>
      <c r="R12" s="14">
        <v>307</v>
      </c>
      <c r="S12" s="14"/>
      <c r="T12" s="14"/>
      <c r="U12" s="15">
        <v>310</v>
      </c>
      <c r="V12" s="15"/>
      <c r="W12" s="15">
        <v>341</v>
      </c>
      <c r="X12" s="15">
        <v>463</v>
      </c>
      <c r="Y12" s="15">
        <v>484</v>
      </c>
      <c r="Z12" s="15">
        <v>517</v>
      </c>
      <c r="AA12" s="76">
        <v>488</v>
      </c>
      <c r="AB12" s="14">
        <v>297</v>
      </c>
      <c r="AC12" s="14">
        <v>469</v>
      </c>
      <c r="AD12" s="14">
        <v>445</v>
      </c>
      <c r="AE12" s="124">
        <v>415</v>
      </c>
      <c r="AF12" s="124">
        <v>262</v>
      </c>
      <c r="AG12" s="124">
        <v>341</v>
      </c>
      <c r="AH12" s="124">
        <f>(2+3+2+4+1+1+2+3)+(2+2+2+2+2+2+6+2+1+2+1+2+2+2+2)+(2+2+1+2+1+1+2+1+2)+(2+1+1+1+1+2+2+2+3+4+1+1+2+1+1+3+1+2+2+2)+(2+2+4+2+11+3+2+4+4+3+2+2+2+1+1+2)+(1+2+2+2+2+1+2+2+2+2+2+2+2+1+3+2+1+5+2)+(2+3+3+2+3+2+5+6+3+2+2+3+1+2+2+5+2+5+1)+(1+3+1+1+1+1+2+3+2+1+1+2+3+2+1+3+2)+(1+1+2+2+1+2+2+2+2+1+2+1+1+1+2+5)+(5+1)+(1+2+3+2+2+2+4+1+2+4+3+1+1+1+1+2)</f>
        <v>334</v>
      </c>
      <c r="AI12" s="124">
        <f>(1+2)+(2+4+2+2+4+4+1+1+1+2+2+2+2+1+2)+(4+1+4+1+2+2+1+1+3+2+2+1+7+1+3+2+1+2+1+1)+(1+8+1+1+2+2+2+3+1+4+2+2+2+2+2+2+2+2+3+2)+(2+2+1+1+2+2+1+10+1+1+2+1+3+1+1+2+1+1+1)+(1+6+2+2+1+1+1+3+4+2+1+2+2+1+1+1+14+4+2+1)+(2+1+4+1+2+1+1+1+2+6+2+1+1+2+1+4+1+1+1+2)+(1+2+1+1+2+1+11+1+2+2+5+2+1+2+2+2+2+2+5)+(1+2+2+2+2+2+1+2+2+4+2+2+4+1+1+4+2)+(4+2+2+2+2+2+5+3+4+5+1+1+2+3+1+2+2+2+4+1)+(3+2+2+1+2+2+1+2+2+1+2+3+1+1+2+1+2+2+1+2)+(6+2+2+2+2+1+1+3+1+2+2+3+1+2+2+2+5+1+1+1)+(1+2+2+3+1+1+4+1+1+2+2+1+1+1+1+2+2+1+1+1)+(2+2+1+1+1+1+1+1+1+1+1+1+2+3+2+6+2+4+2+2)+(10+2+2+1+1+2+1+3+12+3+1+3+2+3+3+1+2+1+1+1)+(2+2+2)</f>
        <v>587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196.9</v>
      </c>
      <c r="BK12">
        <f t="shared" si="0"/>
        <v>218.1</v>
      </c>
      <c r="BL12">
        <f t="shared" si="2"/>
        <v>233.5</v>
      </c>
      <c r="BM12">
        <f t="shared" si="0"/>
        <v>241.8</v>
      </c>
      <c r="BN12">
        <f t="shared" si="0"/>
        <v>256</v>
      </c>
      <c r="BO12">
        <f t="shared" si="0"/>
        <v>270.5</v>
      </c>
      <c r="BP12">
        <f t="shared" si="0"/>
        <v>285.3</v>
      </c>
      <c r="BQ12">
        <f t="shared" si="0"/>
        <v>297.7</v>
      </c>
      <c r="BR12">
        <f t="shared" si="3"/>
        <v>303.11111111111109</v>
      </c>
      <c r="BS12">
        <f t="shared" si="3"/>
        <v>305.5</v>
      </c>
      <c r="BT12">
        <f t="shared" si="0"/>
        <v>317</v>
      </c>
      <c r="BU12">
        <f t="shared" si="0"/>
        <v>306</v>
      </c>
      <c r="BV12">
        <f t="shared" si="0"/>
        <v>301.85714285714283</v>
      </c>
      <c r="BW12">
        <f t="shared" si="0"/>
        <v>329</v>
      </c>
      <c r="BX12">
        <f t="shared" si="0"/>
        <v>357.28571428571428</v>
      </c>
      <c r="BY12">
        <f t="shared" si="0"/>
        <v>389.71428571428572</v>
      </c>
      <c r="BZ12">
        <f t="shared" si="0"/>
        <v>415.71428571428572</v>
      </c>
      <c r="CA12">
        <f t="shared" si="0"/>
        <v>414.28571428571428</v>
      </c>
      <c r="CB12">
        <f t="shared" si="0"/>
        <v>421.125</v>
      </c>
      <c r="CC12">
        <f t="shared" si="0"/>
        <v>423.77777777777777</v>
      </c>
      <c r="CD12">
        <f t="shared" si="0"/>
        <v>435.44444444444446</v>
      </c>
      <c r="CE12">
        <f t="shared" si="0"/>
        <v>418.1</v>
      </c>
      <c r="CF12">
        <f t="shared" si="4"/>
        <v>418.1</v>
      </c>
      <c r="CG12">
        <f t="shared" si="5"/>
        <v>405.2</v>
      </c>
      <c r="CH12">
        <f t="shared" si="6"/>
        <v>415.5</v>
      </c>
      <c r="CI12">
        <f t="shared" si="7"/>
        <v>404.22222222222223</v>
      </c>
      <c r="CJ12">
        <f t="shared" si="8"/>
        <v>393.75</v>
      </c>
      <c r="CK12">
        <f t="shared" si="9"/>
        <v>407.57142857142856</v>
      </c>
      <c r="CL12">
        <f t="shared" si="10"/>
        <v>397.33333333333331</v>
      </c>
      <c r="CM12">
        <f t="shared" si="11"/>
        <v>387.8</v>
      </c>
      <c r="CN12">
        <f t="shared" si="12"/>
        <v>381</v>
      </c>
      <c r="CO12">
        <f t="shared" si="13"/>
        <v>420.66666666666669</v>
      </c>
      <c r="CP12">
        <f t="shared" si="14"/>
        <v>460.5</v>
      </c>
      <c r="CQ12">
        <f t="shared" si="15"/>
        <v>587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157</v>
      </c>
      <c r="C13" s="16">
        <v>109</v>
      </c>
      <c r="D13" s="16">
        <v>221</v>
      </c>
      <c r="E13" s="16">
        <v>342</v>
      </c>
      <c r="F13" s="16">
        <v>270</v>
      </c>
      <c r="G13" s="16">
        <v>94</v>
      </c>
      <c r="H13" s="16">
        <v>126</v>
      </c>
      <c r="I13" s="16">
        <v>227</v>
      </c>
      <c r="J13" s="16">
        <v>246</v>
      </c>
      <c r="K13" s="16">
        <v>146</v>
      </c>
      <c r="L13" s="16">
        <v>396</v>
      </c>
      <c r="M13" s="16">
        <v>110</v>
      </c>
      <c r="N13" s="16">
        <v>160</v>
      </c>
      <c r="O13" s="16">
        <v>270</v>
      </c>
      <c r="P13" s="16">
        <v>227</v>
      </c>
      <c r="Q13" s="16">
        <v>232</v>
      </c>
      <c r="R13" s="16">
        <v>337</v>
      </c>
      <c r="S13" s="16"/>
      <c r="T13" s="16"/>
      <c r="U13" s="17">
        <v>360</v>
      </c>
      <c r="V13" s="17"/>
      <c r="W13" s="17">
        <v>301</v>
      </c>
      <c r="X13" s="17">
        <v>365</v>
      </c>
      <c r="Y13" s="17">
        <v>244</v>
      </c>
      <c r="Z13" s="17">
        <v>422</v>
      </c>
      <c r="AA13" s="76">
        <v>343.66666666666669</v>
      </c>
      <c r="AB13" s="16">
        <v>430</v>
      </c>
      <c r="AC13" s="16">
        <v>439</v>
      </c>
      <c r="AD13" s="16">
        <v>800</v>
      </c>
      <c r="AE13" s="10">
        <v>378</v>
      </c>
      <c r="AF13" s="10">
        <v>248</v>
      </c>
      <c r="AG13" s="10">
        <v>58</v>
      </c>
      <c r="AH13" s="10">
        <f>(7)+(2+2+2+3+2+1+3+2+2+4+3+2+1+2+1+2)+(4+2+2+1+2+2+3+1+2+2+2+2+4+1+1+2+2+1+2)+(2+1+5+2+5+2+2+1+1+4+2+2+5+2+2+1+2+1)+(2+2+2+1+2+2+2+1+1+1+2+2+4+2+2+1+2+1+2+2)+(3+1+2+2+2+2+2+1+2+2+2+2+1+2+1+2+1+1+2)+(1+4+1+2+2+2)+(1+2+3+4+1+1)</f>
        <v>214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193.8</v>
      </c>
      <c r="BK13">
        <f t="shared" si="0"/>
        <v>217.7</v>
      </c>
      <c r="BL13">
        <f t="shared" si="2"/>
        <v>217.8</v>
      </c>
      <c r="BM13">
        <f t="shared" si="0"/>
        <v>211.7</v>
      </c>
      <c r="BN13">
        <f t="shared" si="0"/>
        <v>204.5</v>
      </c>
      <c r="BO13">
        <f t="shared" si="0"/>
        <v>200.2</v>
      </c>
      <c r="BP13">
        <f t="shared" si="0"/>
        <v>214</v>
      </c>
      <c r="BQ13">
        <f t="shared" si="0"/>
        <v>235.1</v>
      </c>
      <c r="BR13">
        <f t="shared" si="3"/>
        <v>236</v>
      </c>
      <c r="BS13">
        <f t="shared" si="3"/>
        <v>234.75</v>
      </c>
      <c r="BT13">
        <f t="shared" si="0"/>
        <v>261.5</v>
      </c>
      <c r="BU13">
        <f t="shared" si="0"/>
        <v>242.28571428571428</v>
      </c>
      <c r="BV13">
        <f t="shared" si="0"/>
        <v>269.57142857142856</v>
      </c>
      <c r="BW13">
        <f t="shared" si="0"/>
        <v>298.85714285714283</v>
      </c>
      <c r="BX13">
        <f t="shared" si="0"/>
        <v>295.14285714285717</v>
      </c>
      <c r="BY13">
        <f t="shared" si="0"/>
        <v>323</v>
      </c>
      <c r="BZ13">
        <f t="shared" si="0"/>
        <v>338.95238095238091</v>
      </c>
      <c r="CA13">
        <f t="shared" si="0"/>
        <v>352.2380952380953</v>
      </c>
      <c r="CB13">
        <f t="shared" si="0"/>
        <v>363.08333333333337</v>
      </c>
      <c r="CC13">
        <f t="shared" si="0"/>
        <v>411.62962962962968</v>
      </c>
      <c r="CD13">
        <f t="shared" si="0"/>
        <v>413.62962962962968</v>
      </c>
      <c r="CE13">
        <f t="shared" si="0"/>
        <v>397.06666666666672</v>
      </c>
      <c r="CF13">
        <f t="shared" si="4"/>
        <v>372.76666666666671</v>
      </c>
      <c r="CG13">
        <f t="shared" si="5"/>
        <v>357.66666666666669</v>
      </c>
      <c r="CH13">
        <f t="shared" si="6"/>
        <v>370.2962962962963</v>
      </c>
      <c r="CI13">
        <f t="shared" si="7"/>
        <v>363.83333333333337</v>
      </c>
      <c r="CJ13">
        <f t="shared" si="8"/>
        <v>366.71428571428572</v>
      </c>
      <c r="CK13">
        <f t="shared" si="9"/>
        <v>356.16666666666669</v>
      </c>
      <c r="CL13">
        <f t="shared" si="10"/>
        <v>339.6</v>
      </c>
      <c r="CM13">
        <f t="shared" si="11"/>
        <v>224.5</v>
      </c>
      <c r="CN13">
        <f t="shared" si="12"/>
        <v>173.33333333333334</v>
      </c>
      <c r="CO13">
        <f t="shared" si="13"/>
        <v>136</v>
      </c>
      <c r="CP13">
        <f t="shared" si="14"/>
        <v>214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260</v>
      </c>
      <c r="C14" s="14">
        <v>258</v>
      </c>
      <c r="D14" s="14">
        <v>225</v>
      </c>
      <c r="E14" s="14">
        <v>262</v>
      </c>
      <c r="F14" s="14">
        <v>253</v>
      </c>
      <c r="G14" s="14">
        <v>118</v>
      </c>
      <c r="H14" s="14">
        <v>218</v>
      </c>
      <c r="I14" s="14">
        <v>358</v>
      </c>
      <c r="J14" s="14">
        <v>269</v>
      </c>
      <c r="K14" s="14">
        <v>201</v>
      </c>
      <c r="L14" s="14">
        <v>402</v>
      </c>
      <c r="M14" s="14">
        <v>141</v>
      </c>
      <c r="N14" s="14">
        <v>279</v>
      </c>
      <c r="O14" s="14">
        <v>295</v>
      </c>
      <c r="P14" s="14">
        <v>175</v>
      </c>
      <c r="Q14" s="14">
        <v>255</v>
      </c>
      <c r="R14" s="14">
        <v>282</v>
      </c>
      <c r="S14" s="14"/>
      <c r="T14" s="14"/>
      <c r="U14" s="15">
        <v>330</v>
      </c>
      <c r="V14" s="15"/>
      <c r="W14" s="15">
        <v>320</v>
      </c>
      <c r="X14" s="15">
        <v>121</v>
      </c>
      <c r="Y14" s="15">
        <v>344</v>
      </c>
      <c r="Z14" s="15">
        <v>430</v>
      </c>
      <c r="AA14" s="76">
        <v>298.33333333333331</v>
      </c>
      <c r="AB14" s="14">
        <v>394</v>
      </c>
      <c r="AC14" s="14">
        <v>313</v>
      </c>
      <c r="AD14" s="14">
        <v>620</v>
      </c>
      <c r="AE14" s="124">
        <v>523</v>
      </c>
      <c r="AF14" s="124">
        <v>435</v>
      </c>
      <c r="AG14" s="134">
        <f>(AD14+AE14+AF14)/3</f>
        <v>526</v>
      </c>
      <c r="AH14" s="124">
        <f>(2+2+2+1+2+2+2+2+1+3+1+1+2+1)+(2+1+1+1+2+2+2+2+1+1+3+1+1+1+1+2+2+2+1+1)+(2+1+3+1+3+2+2+3+1+4+2+2+2+1+3+2+1)+(1+3+2+2+3+4+2+2+1+1+1+2+1+2+2+2+1+3+1+1)+(1+1+2+1+2+2+2+3+2+2+3+2+2+1+2+5+2+1)+(2+2+1+2+2+6+1+3+1+2+2+2+3+1+1+2+2+1+1+4)+(2+4+2+1+1+2+5+2+1+2+2+2+2+2+2+2+2+2+1+1)+(2+2+2+2+3+2+1+1+1+2+1+1+2+1+1+1+1+1+3+2)+(1+1+2+2+4+2+1+2+3+2+2+2+2+6+1+2+2+1+2+1)+(2+2+1+2+3+1+2+2+2+2+3+3+4+2+5+2+2+2)+(2+1+1+1+2)+(2)</f>
        <v>367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242.2</v>
      </c>
      <c r="BK14">
        <f t="shared" si="0"/>
        <v>256.39999999999998</v>
      </c>
      <c r="BL14">
        <f t="shared" si="2"/>
        <v>244.7</v>
      </c>
      <c r="BM14">
        <f t="shared" si="0"/>
        <v>250.1</v>
      </c>
      <c r="BN14">
        <f t="shared" si="0"/>
        <v>253.4</v>
      </c>
      <c r="BO14">
        <f t="shared" si="0"/>
        <v>245.6</v>
      </c>
      <c r="BP14">
        <f t="shared" si="0"/>
        <v>259.3</v>
      </c>
      <c r="BQ14">
        <f t="shared" si="0"/>
        <v>265.7</v>
      </c>
      <c r="BR14">
        <f t="shared" si="3"/>
        <v>255.44444444444446</v>
      </c>
      <c r="BS14">
        <f t="shared" si="3"/>
        <v>253.75</v>
      </c>
      <c r="BT14">
        <f t="shared" si="0"/>
        <v>269.875</v>
      </c>
      <c r="BU14">
        <f t="shared" si="0"/>
        <v>251</v>
      </c>
      <c r="BV14">
        <f t="shared" si="0"/>
        <v>276.57142857142856</v>
      </c>
      <c r="BW14">
        <f t="shared" si="0"/>
        <v>254</v>
      </c>
      <c r="BX14">
        <f t="shared" si="0"/>
        <v>261</v>
      </c>
      <c r="BY14">
        <f t="shared" si="0"/>
        <v>297.42857142857144</v>
      </c>
      <c r="BZ14">
        <f t="shared" si="0"/>
        <v>303.61904761904765</v>
      </c>
      <c r="CA14">
        <f t="shared" si="0"/>
        <v>319.61904761904759</v>
      </c>
      <c r="CB14">
        <f t="shared" si="0"/>
        <v>318.79166666666663</v>
      </c>
      <c r="CC14">
        <f t="shared" si="0"/>
        <v>352.25925925925924</v>
      </c>
      <c r="CD14">
        <f t="shared" si="0"/>
        <v>373.7037037037037</v>
      </c>
      <c r="CE14">
        <f t="shared" si="0"/>
        <v>379.83333333333331</v>
      </c>
      <c r="CF14">
        <f t="shared" si="4"/>
        <v>400.43333333333328</v>
      </c>
      <c r="CG14">
        <f t="shared" si="5"/>
        <v>425.0333333333333</v>
      </c>
      <c r="CH14">
        <f t="shared" si="6"/>
        <v>434.03703703703701</v>
      </c>
      <c r="CI14">
        <f t="shared" si="7"/>
        <v>434.54166666666663</v>
      </c>
      <c r="CJ14">
        <f t="shared" si="8"/>
        <v>454</v>
      </c>
      <c r="CK14">
        <f t="shared" si="9"/>
        <v>464</v>
      </c>
      <c r="CL14">
        <f t="shared" si="10"/>
        <v>494.2</v>
      </c>
      <c r="CM14">
        <f t="shared" si="11"/>
        <v>462.75</v>
      </c>
      <c r="CN14">
        <f t="shared" si="12"/>
        <v>442.66666666666669</v>
      </c>
      <c r="CO14">
        <f t="shared" si="13"/>
        <v>446.5</v>
      </c>
      <c r="CP14">
        <f t="shared" si="14"/>
        <v>367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108</v>
      </c>
      <c r="C15" s="16">
        <v>48</v>
      </c>
      <c r="D15" s="16">
        <v>70</v>
      </c>
      <c r="E15" s="16">
        <v>88</v>
      </c>
      <c r="F15" s="16">
        <v>84</v>
      </c>
      <c r="G15" s="16">
        <v>69</v>
      </c>
      <c r="H15" s="16">
        <v>71</v>
      </c>
      <c r="I15" s="16">
        <v>258</v>
      </c>
      <c r="J15" s="16">
        <v>139</v>
      </c>
      <c r="K15" s="16">
        <v>151</v>
      </c>
      <c r="L15" s="16">
        <v>236</v>
      </c>
      <c r="M15" s="16">
        <v>124</v>
      </c>
      <c r="N15" s="16">
        <v>171</v>
      </c>
      <c r="O15" s="16">
        <v>136</v>
      </c>
      <c r="P15" s="16">
        <v>131</v>
      </c>
      <c r="Q15" s="16">
        <v>260</v>
      </c>
      <c r="R15" s="16">
        <v>157</v>
      </c>
      <c r="S15" s="16"/>
      <c r="T15" s="16"/>
      <c r="U15" s="17">
        <v>173</v>
      </c>
      <c r="V15" s="17"/>
      <c r="W15" s="17">
        <v>215</v>
      </c>
      <c r="X15" s="17">
        <v>179</v>
      </c>
      <c r="Y15" s="17">
        <v>196</v>
      </c>
      <c r="Z15" s="17">
        <v>368</v>
      </c>
      <c r="AA15" s="17">
        <v>235</v>
      </c>
      <c r="AB15" s="17">
        <v>215</v>
      </c>
      <c r="AC15" s="17">
        <v>243</v>
      </c>
      <c r="AD15" s="17">
        <v>512</v>
      </c>
      <c r="AE15" s="10">
        <v>389</v>
      </c>
      <c r="AF15" s="10">
        <v>194</v>
      </c>
      <c r="AG15" s="134">
        <f t="shared" ref="AG15:AG16" si="29">(AD15+AE15+AF15)/3</f>
        <v>365</v>
      </c>
      <c r="AH15" s="10">
        <f>(1+2+2)+(1+1+2+2+1+15+2+2+2+4+3+3+2+2)+(2+2+1+1+1+1+1+2+2+1+2+2+2+5+2+2+1+2)+(1+1+2+2+2+1+1+4+1+2+2+2+5+1+2+2+3+2+2)+(1+2+2+1+2+3+2+2+2+2+1+1+1+2+1+2+2+1+1+1)+(1+2+2+2+3+3+2+2+2+1+8+7+2+1+3+4+3+1+1)+(1+4+2+1+1+2+2+2+2+1+2+2+1+4+2+5+2+2+5+2)+(2+2+1+2+4+2+3+1+2+1+1)+(2+1+1)</f>
        <v>269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108.6</v>
      </c>
      <c r="BK15">
        <f t="shared" si="0"/>
        <v>121.4</v>
      </c>
      <c r="BL15">
        <f t="shared" si="2"/>
        <v>129</v>
      </c>
      <c r="BM15">
        <f t="shared" si="0"/>
        <v>139.1</v>
      </c>
      <c r="BN15">
        <f t="shared" si="0"/>
        <v>143.9</v>
      </c>
      <c r="BO15">
        <f t="shared" si="0"/>
        <v>148.6</v>
      </c>
      <c r="BP15">
        <f t="shared" si="0"/>
        <v>167.7</v>
      </c>
      <c r="BQ15">
        <f t="shared" si="0"/>
        <v>176.3</v>
      </c>
      <c r="BR15">
        <f t="shared" si="3"/>
        <v>167.22222222222223</v>
      </c>
      <c r="BS15">
        <f t="shared" si="3"/>
        <v>170.75</v>
      </c>
      <c r="BT15">
        <f t="shared" si="0"/>
        <v>173.5</v>
      </c>
      <c r="BU15">
        <f t="shared" si="0"/>
        <v>164.57142857142858</v>
      </c>
      <c r="BV15">
        <f t="shared" si="0"/>
        <v>177.57142857142858</v>
      </c>
      <c r="BW15">
        <f t="shared" si="0"/>
        <v>178.71428571428572</v>
      </c>
      <c r="BX15">
        <f t="shared" si="0"/>
        <v>187.28571428571428</v>
      </c>
      <c r="BY15">
        <f t="shared" si="0"/>
        <v>221.14285714285714</v>
      </c>
      <c r="BZ15">
        <f t="shared" si="0"/>
        <v>217.57142857142858</v>
      </c>
      <c r="CA15">
        <f t="shared" si="0"/>
        <v>225.85714285714286</v>
      </c>
      <c r="CB15">
        <f t="shared" si="0"/>
        <v>228</v>
      </c>
      <c r="CC15">
        <f t="shared" si="0"/>
        <v>259.55555555555554</v>
      </c>
      <c r="CD15">
        <f t="shared" si="0"/>
        <v>283.55555555555554</v>
      </c>
      <c r="CE15">
        <f t="shared" si="0"/>
        <v>274.60000000000002</v>
      </c>
      <c r="CF15">
        <f t="shared" si="4"/>
        <v>289.60000000000002</v>
      </c>
      <c r="CG15">
        <f t="shared" si="5"/>
        <v>298.60000000000002</v>
      </c>
      <c r="CH15">
        <f t="shared" si="6"/>
        <v>310</v>
      </c>
      <c r="CI15">
        <f t="shared" si="7"/>
        <v>302.75</v>
      </c>
      <c r="CJ15">
        <f t="shared" si="8"/>
        <v>312.42857142857144</v>
      </c>
      <c r="CK15">
        <f t="shared" si="9"/>
        <v>328.66666666666669</v>
      </c>
      <c r="CL15">
        <f t="shared" si="10"/>
        <v>345.8</v>
      </c>
      <c r="CM15">
        <f t="shared" si="11"/>
        <v>304.25</v>
      </c>
      <c r="CN15">
        <f t="shared" si="12"/>
        <v>276</v>
      </c>
      <c r="CO15">
        <f t="shared" si="13"/>
        <v>317</v>
      </c>
      <c r="CP15">
        <f t="shared" si="14"/>
        <v>269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61</v>
      </c>
      <c r="C16" s="14">
        <v>39</v>
      </c>
      <c r="D16" s="14">
        <v>43</v>
      </c>
      <c r="E16" s="14">
        <v>45</v>
      </c>
      <c r="F16" s="14">
        <v>21</v>
      </c>
      <c r="G16" s="14">
        <v>28</v>
      </c>
      <c r="H16" s="14">
        <v>41</v>
      </c>
      <c r="I16" s="14">
        <v>105</v>
      </c>
      <c r="J16" s="14">
        <v>60</v>
      </c>
      <c r="K16" s="14">
        <v>88</v>
      </c>
      <c r="L16" s="14">
        <v>68</v>
      </c>
      <c r="M16" s="14">
        <v>153</v>
      </c>
      <c r="N16" s="14">
        <v>106</v>
      </c>
      <c r="O16" s="14">
        <v>128</v>
      </c>
      <c r="P16" s="14">
        <v>60</v>
      </c>
      <c r="Q16" s="14">
        <v>131</v>
      </c>
      <c r="R16" s="14">
        <v>96</v>
      </c>
      <c r="S16" s="14"/>
      <c r="T16" s="14"/>
      <c r="U16" s="15">
        <v>10</v>
      </c>
      <c r="V16" s="15"/>
      <c r="W16" s="15">
        <v>109</v>
      </c>
      <c r="X16" s="15">
        <v>100</v>
      </c>
      <c r="Y16" s="15">
        <v>117</v>
      </c>
      <c r="Z16" s="15">
        <v>207</v>
      </c>
      <c r="AA16" s="15">
        <v>92</v>
      </c>
      <c r="AB16" s="15">
        <v>112</v>
      </c>
      <c r="AC16" s="15">
        <v>207</v>
      </c>
      <c r="AD16" s="111">
        <v>531</v>
      </c>
      <c r="AE16" s="134">
        <f>AVERAGE(AB16:AD16)</f>
        <v>283.33333333333331</v>
      </c>
      <c r="AF16" s="124">
        <v>124</v>
      </c>
      <c r="AG16" s="134">
        <f t="shared" si="29"/>
        <v>312.77777777777777</v>
      </c>
      <c r="AH16" s="124">
        <f>(2+2+1+2+2+2+2)+(1+2+1+2+1+3+2+1+1+1+1+6+7+2+1+2+4+2+1+2)+(2+2+1+2+2+1+2+1+1+4+2+2+1+2+2+1+2+4+2+1)+(1+2+2+3+1+2+1+4+2+1+2+2+1+1+2+2+4+1+2+1)+(4+6)+(5+3)+(2+2+2+2+3+1+2+1+1+1+2+5+2)+(2)</f>
        <v>176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53.1</v>
      </c>
      <c r="BK16">
        <f t="shared" si="0"/>
        <v>53.8</v>
      </c>
      <c r="BL16">
        <f t="shared" si="2"/>
        <v>65.2</v>
      </c>
      <c r="BM16">
        <f t="shared" si="0"/>
        <v>71.5</v>
      </c>
      <c r="BN16">
        <f t="shared" si="0"/>
        <v>79.8</v>
      </c>
      <c r="BO16">
        <f t="shared" si="0"/>
        <v>83.7</v>
      </c>
      <c r="BP16">
        <f t="shared" si="0"/>
        <v>94</v>
      </c>
      <c r="BQ16">
        <f t="shared" si="0"/>
        <v>99.5</v>
      </c>
      <c r="BR16">
        <f t="shared" si="3"/>
        <v>98.888888888888886</v>
      </c>
      <c r="BS16">
        <f t="shared" si="3"/>
        <v>103.75</v>
      </c>
      <c r="BT16">
        <f t="shared" si="0"/>
        <v>94</v>
      </c>
      <c r="BU16">
        <f t="shared" si="0"/>
        <v>97.714285714285708</v>
      </c>
      <c r="BV16">
        <f t="shared" si="0"/>
        <v>91.428571428571431</v>
      </c>
      <c r="BW16">
        <f t="shared" si="0"/>
        <v>90.571428571428569</v>
      </c>
      <c r="BX16">
        <f t="shared" si="0"/>
        <v>89</v>
      </c>
      <c r="BY16">
        <f t="shared" si="0"/>
        <v>110</v>
      </c>
      <c r="BZ16">
        <f t="shared" si="0"/>
        <v>104.42857142857143</v>
      </c>
      <c r="CA16">
        <f t="shared" si="0"/>
        <v>106.71428571428571</v>
      </c>
      <c r="CB16">
        <f t="shared" si="0"/>
        <v>119.25</v>
      </c>
      <c r="CC16">
        <f t="shared" si="0"/>
        <v>165</v>
      </c>
      <c r="CD16">
        <f t="shared" si="0"/>
        <v>195.37037037037035</v>
      </c>
      <c r="CE16">
        <f t="shared" si="0"/>
        <v>188.23333333333332</v>
      </c>
      <c r="CF16">
        <f t="shared" si="4"/>
        <v>208.61111111111109</v>
      </c>
      <c r="CG16">
        <f t="shared" si="5"/>
        <v>216.21111111111114</v>
      </c>
      <c r="CH16">
        <f t="shared" si="6"/>
        <v>227.23456790123456</v>
      </c>
      <c r="CI16">
        <f t="shared" si="7"/>
        <v>229.76388888888889</v>
      </c>
      <c r="CJ16">
        <f t="shared" si="8"/>
        <v>249.44444444444443</v>
      </c>
      <c r="CK16">
        <f t="shared" si="9"/>
        <v>272.35185185185185</v>
      </c>
      <c r="CL16">
        <f t="shared" si="10"/>
        <v>285.42222222222222</v>
      </c>
      <c r="CM16">
        <f t="shared" si="11"/>
        <v>224.02777777777777</v>
      </c>
      <c r="CN16">
        <f t="shared" si="12"/>
        <v>204.25925925925927</v>
      </c>
      <c r="CO16">
        <f t="shared" si="13"/>
        <v>244.38888888888889</v>
      </c>
      <c r="CP16">
        <f t="shared" si="14"/>
        <v>176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2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CA17" s="119"/>
    </row>
    <row r="18" spans="1:82" s="25" customFormat="1" ht="20" customHeight="1" x14ac:dyDescent="0.2">
      <c r="A18" s="21" t="s">
        <v>32</v>
      </c>
      <c r="B18" s="22">
        <f>SUM(B5:B16)</f>
        <v>1528</v>
      </c>
      <c r="C18" s="22">
        <f t="shared" ref="C18:AZ18" si="30">SUM(C5:C16)</f>
        <v>1465</v>
      </c>
      <c r="D18" s="22">
        <f t="shared" si="30"/>
        <v>1427</v>
      </c>
      <c r="E18" s="22">
        <f t="shared" si="30"/>
        <v>1600</v>
      </c>
      <c r="F18" s="22">
        <f t="shared" si="30"/>
        <v>1763</v>
      </c>
      <c r="G18" s="22">
        <f t="shared" si="30"/>
        <v>1142</v>
      </c>
      <c r="H18" s="22">
        <f t="shared" si="30"/>
        <v>1445</v>
      </c>
      <c r="I18" s="22">
        <f t="shared" si="30"/>
        <v>2068</v>
      </c>
      <c r="J18" s="22">
        <f t="shared" si="30"/>
        <v>1925</v>
      </c>
      <c r="K18" s="22">
        <f t="shared" si="30"/>
        <v>1570</v>
      </c>
      <c r="L18" s="22">
        <f t="shared" si="30"/>
        <v>2569</v>
      </c>
      <c r="M18" s="22">
        <f t="shared" si="30"/>
        <v>2452</v>
      </c>
      <c r="N18" s="22">
        <f t="shared" si="30"/>
        <v>2007</v>
      </c>
      <c r="O18" s="22">
        <f t="shared" si="30"/>
        <v>2229</v>
      </c>
      <c r="P18" s="22">
        <f t="shared" si="30"/>
        <v>1922</v>
      </c>
      <c r="Q18" s="22">
        <f t="shared" si="30"/>
        <v>2252</v>
      </c>
      <c r="R18" s="22">
        <f t="shared" si="30"/>
        <v>2378</v>
      </c>
      <c r="S18" s="22">
        <f t="shared" si="30"/>
        <v>0</v>
      </c>
      <c r="T18" s="22">
        <f t="shared" si="30"/>
        <v>0</v>
      </c>
      <c r="U18" s="22">
        <f t="shared" si="30"/>
        <v>2682</v>
      </c>
      <c r="V18" s="22">
        <f t="shared" si="30"/>
        <v>0</v>
      </c>
      <c r="W18" s="22">
        <f>SUM(W5:W16)</f>
        <v>2758</v>
      </c>
      <c r="X18" s="22">
        <f t="shared" si="30"/>
        <v>2606</v>
      </c>
      <c r="Y18" s="22">
        <f t="shared" si="30"/>
        <v>2928</v>
      </c>
      <c r="Z18" s="22">
        <f t="shared" si="30"/>
        <v>3554</v>
      </c>
      <c r="AA18" s="22">
        <f t="shared" si="30"/>
        <v>2967.333333333333</v>
      </c>
      <c r="AB18" s="22">
        <f t="shared" si="30"/>
        <v>3096</v>
      </c>
      <c r="AC18" s="22">
        <f t="shared" si="30"/>
        <v>3496</v>
      </c>
      <c r="AD18" s="22">
        <f t="shared" si="30"/>
        <v>4635</v>
      </c>
      <c r="AE18" s="22">
        <f t="shared" si="30"/>
        <v>3367.3333333333335</v>
      </c>
      <c r="AF18" s="22">
        <f t="shared" si="30"/>
        <v>2808.333333333333</v>
      </c>
      <c r="AG18" s="22">
        <f t="shared" si="30"/>
        <v>3606.7777777777778</v>
      </c>
      <c r="AH18" s="22">
        <f t="shared" si="30"/>
        <v>2833</v>
      </c>
      <c r="AI18" s="22">
        <f t="shared" si="30"/>
        <v>1060</v>
      </c>
      <c r="AJ18" s="22">
        <f t="shared" si="30"/>
        <v>0</v>
      </c>
      <c r="AK18" s="22">
        <f t="shared" si="30"/>
        <v>0</v>
      </c>
      <c r="AL18" s="22">
        <f t="shared" si="30"/>
        <v>0</v>
      </c>
      <c r="AM18" s="22">
        <f t="shared" si="30"/>
        <v>0</v>
      </c>
      <c r="AN18" s="22">
        <f t="shared" si="30"/>
        <v>0</v>
      </c>
      <c r="AO18" s="22">
        <f t="shared" si="30"/>
        <v>0</v>
      </c>
      <c r="AP18" s="22">
        <f t="shared" si="30"/>
        <v>0</v>
      </c>
      <c r="AQ18" s="22">
        <f t="shared" si="30"/>
        <v>0</v>
      </c>
      <c r="AR18" s="22">
        <f t="shared" si="30"/>
        <v>0</v>
      </c>
      <c r="AS18" s="22">
        <f t="shared" si="30"/>
        <v>0</v>
      </c>
      <c r="AT18" s="22">
        <f t="shared" si="30"/>
        <v>0</v>
      </c>
      <c r="AU18" s="22">
        <f t="shared" si="30"/>
        <v>0</v>
      </c>
      <c r="AV18" s="22">
        <f t="shared" si="30"/>
        <v>0</v>
      </c>
      <c r="AW18" s="22">
        <f t="shared" si="30"/>
        <v>0</v>
      </c>
      <c r="AX18" s="22">
        <f t="shared" si="30"/>
        <v>0</v>
      </c>
      <c r="AY18" s="22">
        <f t="shared" si="30"/>
        <v>0</v>
      </c>
      <c r="AZ18" s="22">
        <f t="shared" si="30"/>
        <v>0</v>
      </c>
      <c r="BA18" s="24"/>
      <c r="BY18" s="25">
        <f>AVERAGE(Q18:Z18)</f>
        <v>1915.8</v>
      </c>
      <c r="BZ18" s="25">
        <f>AVERAGE(R18:AA18)</f>
        <v>1987.3333333333333</v>
      </c>
      <c r="CA18" s="23" t="e">
        <f>SUM(#REF!)</f>
        <v>#REF!</v>
      </c>
      <c r="CB18" s="25">
        <f>AVERAGE(S18:AB18)</f>
        <v>2059.1333333333332</v>
      </c>
      <c r="CC18" s="25">
        <f>AVERAGE(T18:AC18)</f>
        <v>2408.7333333333331</v>
      </c>
      <c r="CD18" s="25">
        <f>AVERAGE(U18:AD18)</f>
        <v>2872.2333333333331</v>
      </c>
    </row>
    <row r="19" spans="1:82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2" ht="20" customHeight="1" x14ac:dyDescent="0.2">
      <c r="AD20" s="99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99"/>
      <c r="BB20" s="99"/>
    </row>
    <row r="21" spans="1:82" ht="20" customHeight="1" x14ac:dyDescent="0.2">
      <c r="AD21" s="99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99"/>
      <c r="BB21" s="99"/>
    </row>
    <row r="22" spans="1:82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2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2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2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2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CA26" s="3"/>
    </row>
    <row r="27" spans="1:82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2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2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2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2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2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82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82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82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82" ht="20" customHeight="1" x14ac:dyDescent="0.2">
      <c r="A36" s="1"/>
      <c r="B36" s="1"/>
      <c r="C36" s="1"/>
      <c r="W36" s="99" t="s">
        <v>82</v>
      </c>
      <c r="X36" s="99"/>
      <c r="Y36" s="99"/>
      <c r="Z36" s="99"/>
      <c r="AA36" s="99"/>
      <c r="AB36" s="99"/>
      <c r="AC36" s="99"/>
      <c r="AD36" s="99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</row>
    <row r="37" spans="1:82" ht="20" customHeight="1" x14ac:dyDescent="0.2">
      <c r="A37" s="1"/>
      <c r="B37" s="1"/>
      <c r="C37" s="1"/>
      <c r="W37" s="99" t="s">
        <v>86</v>
      </c>
      <c r="X37" s="99"/>
      <c r="Y37" s="99"/>
      <c r="Z37" s="99"/>
      <c r="AA37" s="99"/>
      <c r="AB37" s="99"/>
      <c r="AC37" s="99"/>
      <c r="AD37" s="99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  <c r="CA37" s="99"/>
      <c r="CB37" s="99"/>
      <c r="CC37" s="99"/>
      <c r="CD37" s="99"/>
    </row>
    <row r="38" spans="1:82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82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82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82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82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82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82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82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82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82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82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79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79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79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79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79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79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79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79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79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79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79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CA59" s="6"/>
    </row>
    <row r="60" spans="1:79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79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79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79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79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transitionEvaluation="1" codeName="Sheet18">
    <tabColor theme="0" tint="-0.249977111117893"/>
  </sheetPr>
  <dimension ref="A1:DD192"/>
  <sheetViews>
    <sheetView defaultGridColor="0" colorId="22" zoomScale="70" zoomScaleNormal="70" workbookViewId="0">
      <pane xSplit="1" topLeftCell="W1" activePane="topRight" state="frozen"/>
      <selection activeCell="B1" sqref="B1:U1048576"/>
      <selection pane="topRight" activeCell="AT39" sqref="AT39"/>
    </sheetView>
  </sheetViews>
  <sheetFormatPr baseColWidth="10" defaultColWidth="9.42578125" defaultRowHeight="20" customHeight="1" x14ac:dyDescent="0.2"/>
  <cols>
    <col min="1" max="1" width="11.28515625" style="5" customWidth="1"/>
    <col min="2" max="22" width="5.7109375" style="5" hidden="1" customWidth="1"/>
    <col min="23" max="30" width="5.7109375" style="5" customWidth="1"/>
    <col min="31" max="31" width="8.28515625" customWidth="1"/>
    <col min="32" max="52" width="9.42578125" customWidth="1"/>
    <col min="53" max="74" width="9.42578125" style="5" customWidth="1"/>
    <col min="75" max="75" width="4.7109375" style="5" customWidth="1"/>
    <col min="76" max="76" width="6.7109375" style="5" customWidth="1"/>
    <col min="77" max="77" width="21.85546875" style="5" customWidth="1"/>
    <col min="78" max="78" width="18.85546875" style="5" customWidth="1"/>
    <col min="79" max="79" width="16" style="5" customWidth="1"/>
    <col min="80" max="80" width="17.85546875" style="5" customWidth="1"/>
    <col min="81" max="81" width="16" style="5" customWidth="1"/>
    <col min="82" max="82" width="16.85546875" style="5" customWidth="1"/>
    <col min="83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29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BA1" s="35"/>
      <c r="BE1" s="35"/>
    </row>
    <row r="2" spans="1:108" s="34" customFormat="1" ht="25" customHeight="1" x14ac:dyDescent="0.25">
      <c r="A2" s="36" t="s">
        <v>40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96</v>
      </c>
      <c r="C5" s="16">
        <v>102</v>
      </c>
      <c r="D5" s="16">
        <v>157</v>
      </c>
      <c r="E5" s="16">
        <v>93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>
        <v>50</v>
      </c>
      <c r="Q5" s="16">
        <v>50</v>
      </c>
      <c r="R5" s="16">
        <v>53</v>
      </c>
      <c r="S5" s="16"/>
      <c r="T5" s="16"/>
      <c r="U5" s="17">
        <v>39</v>
      </c>
      <c r="V5" s="17"/>
      <c r="W5" s="17">
        <v>82</v>
      </c>
      <c r="X5" s="17">
        <v>56</v>
      </c>
      <c r="Y5" s="17">
        <v>59</v>
      </c>
      <c r="Z5" s="17">
        <v>88</v>
      </c>
      <c r="AA5" s="76">
        <v>71.533333333333331</v>
      </c>
      <c r="AB5" s="16">
        <v>96</v>
      </c>
      <c r="AC5" s="16">
        <v>76</v>
      </c>
      <c r="AD5" s="16">
        <v>78</v>
      </c>
      <c r="AE5" s="10">
        <v>91</v>
      </c>
      <c r="AF5" s="10">
        <v>146</v>
      </c>
      <c r="AG5" s="10">
        <f>36+5</f>
        <v>41</v>
      </c>
      <c r="AH5" s="10">
        <f>19+44+33+3</f>
        <v>99</v>
      </c>
      <c r="AI5" s="10">
        <f>4+(1+2+2+1+2+2+1+2+2+2+2+1+2+2+2+1+2+2+1)+(1+2+2+3+2+1+2+2)</f>
        <v>51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112</v>
      </c>
      <c r="BK5">
        <f t="shared" ref="BK5:DD16" si="0">AVERAGE(C5:L5)</f>
        <v>117.33333333333333</v>
      </c>
      <c r="BL5">
        <f>AVERAGE(D5:M5)</f>
        <v>125</v>
      </c>
      <c r="BM5">
        <f t="shared" si="0"/>
        <v>93</v>
      </c>
      <c r="BN5" t="e">
        <f t="shared" si="0"/>
        <v>#DIV/0!</v>
      </c>
      <c r="BO5">
        <f t="shared" si="0"/>
        <v>50</v>
      </c>
      <c r="BP5">
        <f t="shared" si="0"/>
        <v>50</v>
      </c>
      <c r="BQ5">
        <f t="shared" si="0"/>
        <v>51</v>
      </c>
      <c r="BR5">
        <f t="shared" si="0"/>
        <v>51</v>
      </c>
      <c r="BS5">
        <f t="shared" si="0"/>
        <v>51</v>
      </c>
      <c r="BT5">
        <f t="shared" si="0"/>
        <v>48</v>
      </c>
      <c r="BU5">
        <f t="shared" si="0"/>
        <v>48</v>
      </c>
      <c r="BV5">
        <f t="shared" si="0"/>
        <v>54.8</v>
      </c>
      <c r="BW5">
        <f t="shared" si="0"/>
        <v>55</v>
      </c>
      <c r="BX5">
        <f t="shared" si="0"/>
        <v>55.571428571428569</v>
      </c>
      <c r="BY5">
        <f t="shared" si="0"/>
        <v>61</v>
      </c>
      <c r="BZ5">
        <f t="shared" si="0"/>
        <v>64.076190476190476</v>
      </c>
      <c r="CA5">
        <f t="shared" si="0"/>
        <v>70.219047619047615</v>
      </c>
      <c r="CB5">
        <f t="shared" si="0"/>
        <v>70.941666666666663</v>
      </c>
      <c r="CC5">
        <f t="shared" si="0"/>
        <v>71.725925925925921</v>
      </c>
      <c r="CD5">
        <f t="shared" si="0"/>
        <v>77.503703703703707</v>
      </c>
      <c r="CE5">
        <f t="shared" si="0"/>
        <v>84.353333333333325</v>
      </c>
      <c r="CF5">
        <f t="shared" si="0"/>
        <v>80.25333333333333</v>
      </c>
      <c r="CG5">
        <f t="shared" si="0"/>
        <v>84.553333333333327</v>
      </c>
      <c r="CH5">
        <f t="shared" si="0"/>
        <v>83.75333333333333</v>
      </c>
      <c r="CI5">
        <f t="shared" si="0"/>
        <v>83.281481481481478</v>
      </c>
      <c r="CJ5">
        <f t="shared" si="0"/>
        <v>84.75</v>
      </c>
      <c r="CK5">
        <f t="shared" si="0"/>
        <v>83.142857142857139</v>
      </c>
      <c r="CL5">
        <f t="shared" si="0"/>
        <v>84.333333333333329</v>
      </c>
      <c r="CM5">
        <f t="shared" si="0"/>
        <v>85.6</v>
      </c>
      <c r="CN5">
        <f t="shared" si="0"/>
        <v>84.25</v>
      </c>
      <c r="CO5">
        <f t="shared" si="0"/>
        <v>63.666666666666664</v>
      </c>
      <c r="CP5">
        <f t="shared" si="0"/>
        <v>75</v>
      </c>
      <c r="CQ5">
        <f t="shared" si="0"/>
        <v>51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183</v>
      </c>
      <c r="C6" s="14">
        <v>123</v>
      </c>
      <c r="D6" s="14">
        <v>126</v>
      </c>
      <c r="E6" s="14">
        <v>105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59</v>
      </c>
      <c r="Q6" s="14">
        <v>36</v>
      </c>
      <c r="R6" s="14">
        <v>45</v>
      </c>
      <c r="S6" s="14"/>
      <c r="T6" s="14"/>
      <c r="U6" s="15">
        <v>26</v>
      </c>
      <c r="V6" s="15"/>
      <c r="W6" s="15">
        <v>49</v>
      </c>
      <c r="X6" s="15">
        <v>52</v>
      </c>
      <c r="Y6" s="15">
        <v>85</v>
      </c>
      <c r="Z6" s="15">
        <v>106</v>
      </c>
      <c r="AA6" s="76">
        <v>86.133333333333326</v>
      </c>
      <c r="AB6" s="14">
        <v>156</v>
      </c>
      <c r="AC6" s="14">
        <v>100</v>
      </c>
      <c r="AD6" s="14">
        <v>85</v>
      </c>
      <c r="AE6" s="124">
        <v>75</v>
      </c>
      <c r="AF6" s="124">
        <v>80</v>
      </c>
      <c r="AG6" s="124">
        <f>33+50+13</f>
        <v>96</v>
      </c>
      <c r="AH6" s="124">
        <f>26+45+23</f>
        <v>94</v>
      </c>
      <c r="AI6" s="124">
        <f>(1+15+2+3+4+2+2+2+1+1+2)+(2+1+2+2+2+1+1+1+2+2+4+6+1+1+1+2+2+1+2)+(1+2+1+2+2+2+2+1+1+3+1)</f>
        <v>89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134.25</v>
      </c>
      <c r="BK6">
        <f t="shared" si="0"/>
        <v>118</v>
      </c>
      <c r="BL6">
        <f t="shared" ref="BL6:BL16" si="2">AVERAGE(D6:M6)</f>
        <v>115.5</v>
      </c>
      <c r="BM6">
        <f t="shared" si="0"/>
        <v>105</v>
      </c>
      <c r="BN6" t="e">
        <f t="shared" si="0"/>
        <v>#DIV/0!</v>
      </c>
      <c r="BO6">
        <f t="shared" si="0"/>
        <v>59</v>
      </c>
      <c r="BP6">
        <f t="shared" si="0"/>
        <v>47.5</v>
      </c>
      <c r="BQ6">
        <f t="shared" si="0"/>
        <v>46.666666666666664</v>
      </c>
      <c r="BR6">
        <f t="shared" ref="BR6:BS16" si="3">AVERAGE(J6:S6)</f>
        <v>46.666666666666664</v>
      </c>
      <c r="BS6">
        <f t="shared" si="3"/>
        <v>46.666666666666664</v>
      </c>
      <c r="BT6">
        <f t="shared" si="0"/>
        <v>41.5</v>
      </c>
      <c r="BU6">
        <f t="shared" si="0"/>
        <v>41.5</v>
      </c>
      <c r="BV6">
        <f t="shared" si="0"/>
        <v>43</v>
      </c>
      <c r="BW6">
        <f t="shared" si="0"/>
        <v>44.5</v>
      </c>
      <c r="BX6">
        <f t="shared" si="0"/>
        <v>50.285714285714285</v>
      </c>
      <c r="BY6">
        <f t="shared" si="0"/>
        <v>57</v>
      </c>
      <c r="BZ6">
        <f t="shared" si="0"/>
        <v>64.161904761904765</v>
      </c>
      <c r="CA6">
        <f t="shared" si="0"/>
        <v>80.019047619047612</v>
      </c>
      <c r="CB6">
        <f t="shared" si="0"/>
        <v>82.516666666666666</v>
      </c>
      <c r="CC6">
        <f t="shared" si="0"/>
        <v>82.792592592592598</v>
      </c>
      <c r="CD6">
        <f t="shared" si="0"/>
        <v>88.237037037037041</v>
      </c>
      <c r="CE6">
        <f t="shared" si="0"/>
        <v>87.413333333333327</v>
      </c>
      <c r="CF6">
        <f t="shared" ref="CF6:CF16" si="4">AVERAGE(X6:AG6)</f>
        <v>92.11333333333333</v>
      </c>
      <c r="CG6">
        <f t="shared" ref="CG6:CG16" si="5">AVERAGE(Y6:AH6)</f>
        <v>96.313333333333333</v>
      </c>
      <c r="CH6">
        <f t="shared" ref="CH6:CH16" si="6">AVERAGE(Z6:AI6)</f>
        <v>96.713333333333338</v>
      </c>
      <c r="CI6">
        <f t="shared" ref="CI6:CI16" si="7">AVERAGE(AA6:AJ6)</f>
        <v>95.681481481481484</v>
      </c>
      <c r="CJ6">
        <f t="shared" ref="CJ6:CJ16" si="8">AVERAGE(AB6:AK6)</f>
        <v>96.875</v>
      </c>
      <c r="CK6">
        <f t="shared" ref="CK6:CK16" si="9">AVERAGE(AC6:AL6)</f>
        <v>88.428571428571431</v>
      </c>
      <c r="CL6">
        <f t="shared" ref="CL6:CL16" si="10">AVERAGE(AD6:AM6)</f>
        <v>86.5</v>
      </c>
      <c r="CM6">
        <f t="shared" ref="CM6:CM16" si="11">AVERAGE(AE6:AN6)</f>
        <v>86.8</v>
      </c>
      <c r="CN6">
        <f t="shared" ref="CN6:CN16" si="12">AVERAGE(AF6:AO6)</f>
        <v>89.75</v>
      </c>
      <c r="CO6">
        <f t="shared" ref="CO6:CO16" si="13">AVERAGE(AG6:AP6)</f>
        <v>93</v>
      </c>
      <c r="CP6">
        <f t="shared" ref="CP6:CP16" si="14">AVERAGE(AH6:AQ6)</f>
        <v>91.5</v>
      </c>
      <c r="CQ6">
        <f t="shared" ref="CQ6:CQ16" si="15">AVERAGE(AI6:AR6)</f>
        <v>89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244</v>
      </c>
      <c r="C7" s="16">
        <v>148</v>
      </c>
      <c r="D7" s="16">
        <v>47</v>
      </c>
      <c r="E7" s="16">
        <v>73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>
        <v>61</v>
      </c>
      <c r="Q7" s="16">
        <v>43</v>
      </c>
      <c r="R7" s="16">
        <v>52</v>
      </c>
      <c r="S7" s="16"/>
      <c r="T7" s="16"/>
      <c r="U7" s="17">
        <v>28</v>
      </c>
      <c r="V7" s="17"/>
      <c r="W7" s="17">
        <v>82</v>
      </c>
      <c r="X7" s="17">
        <v>84</v>
      </c>
      <c r="Y7" s="17">
        <v>60</v>
      </c>
      <c r="Z7" s="17">
        <v>43</v>
      </c>
      <c r="AA7" s="76">
        <v>55.733333333333327</v>
      </c>
      <c r="AB7" s="16">
        <v>50</v>
      </c>
      <c r="AC7" s="16">
        <v>112</v>
      </c>
      <c r="AD7" s="16">
        <v>98</v>
      </c>
      <c r="AE7" s="10">
        <v>133</v>
      </c>
      <c r="AF7" s="10">
        <v>92</v>
      </c>
      <c r="AG7" s="10">
        <f>26+39+22</f>
        <v>87</v>
      </c>
      <c r="AH7" s="10">
        <f>22+42+15</f>
        <v>79</v>
      </c>
      <c r="AI7" s="10">
        <f>(1+1+1+2+1+2+2+4)+(3+2+1+3+2+4+2+1+2+1+2+1+1+2+1+3+3+1+4+1)+(2+2+1+1+1+1+1+1+1+2+1+2+1+2+2+3+1+1+2+1)+(1+2+5+1+4+2+1+2+2+2+2+2+1+1+2+2+2)</f>
        <v>117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128</v>
      </c>
      <c r="BK7">
        <f t="shared" si="0"/>
        <v>89.333333333333329</v>
      </c>
      <c r="BL7">
        <f t="shared" si="2"/>
        <v>60</v>
      </c>
      <c r="BM7">
        <f t="shared" si="0"/>
        <v>73</v>
      </c>
      <c r="BN7" t="e">
        <f t="shared" si="0"/>
        <v>#DIV/0!</v>
      </c>
      <c r="BO7">
        <f t="shared" si="0"/>
        <v>61</v>
      </c>
      <c r="BP7">
        <f t="shared" si="0"/>
        <v>52</v>
      </c>
      <c r="BQ7">
        <f t="shared" si="0"/>
        <v>52</v>
      </c>
      <c r="BR7">
        <f t="shared" si="3"/>
        <v>52</v>
      </c>
      <c r="BS7">
        <f t="shared" si="3"/>
        <v>52</v>
      </c>
      <c r="BT7">
        <f t="shared" si="0"/>
        <v>46</v>
      </c>
      <c r="BU7">
        <f t="shared" si="0"/>
        <v>46</v>
      </c>
      <c r="BV7">
        <f t="shared" si="0"/>
        <v>53.2</v>
      </c>
      <c r="BW7">
        <f t="shared" si="0"/>
        <v>58.333333333333336</v>
      </c>
      <c r="BX7">
        <f>AVERAGE(P7:Y7)</f>
        <v>58.571428571428569</v>
      </c>
      <c r="BY7">
        <f t="shared" si="0"/>
        <v>56</v>
      </c>
      <c r="BZ7">
        <f t="shared" si="0"/>
        <v>57.819047619047623</v>
      </c>
      <c r="CA7">
        <f t="shared" si="0"/>
        <v>57.533333333333339</v>
      </c>
      <c r="CB7">
        <f t="shared" si="0"/>
        <v>64.341666666666669</v>
      </c>
      <c r="CC7">
        <f t="shared" si="0"/>
        <v>68.081481481481489</v>
      </c>
      <c r="CD7">
        <f t="shared" si="0"/>
        <v>79.748148148148147</v>
      </c>
      <c r="CE7">
        <f>AVERAGE(W7:AF7)</f>
        <v>80.973333333333329</v>
      </c>
      <c r="CF7">
        <f t="shared" si="4"/>
        <v>81.473333333333329</v>
      </c>
      <c r="CG7">
        <f t="shared" si="5"/>
        <v>80.973333333333329</v>
      </c>
      <c r="CH7">
        <f t="shared" si="6"/>
        <v>86.673333333333332</v>
      </c>
      <c r="CI7">
        <f t="shared" si="7"/>
        <v>91.525925925925932</v>
      </c>
      <c r="CJ7">
        <f t="shared" si="8"/>
        <v>96</v>
      </c>
      <c r="CK7">
        <f t="shared" si="9"/>
        <v>102.57142857142857</v>
      </c>
      <c r="CL7">
        <f t="shared" si="10"/>
        <v>101</v>
      </c>
      <c r="CM7">
        <f t="shared" si="11"/>
        <v>101.6</v>
      </c>
      <c r="CN7">
        <f t="shared" si="12"/>
        <v>93.75</v>
      </c>
      <c r="CO7">
        <f t="shared" si="13"/>
        <v>94.333333333333329</v>
      </c>
      <c r="CP7">
        <f t="shared" si="14"/>
        <v>98</v>
      </c>
      <c r="CQ7">
        <f t="shared" si="15"/>
        <v>117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304</v>
      </c>
      <c r="C8" s="14">
        <v>180</v>
      </c>
      <c r="D8" s="14">
        <v>143</v>
      </c>
      <c r="E8" s="14">
        <v>171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19</v>
      </c>
      <c r="Q8" s="14">
        <v>40</v>
      </c>
      <c r="R8" s="14">
        <v>41</v>
      </c>
      <c r="S8" s="14"/>
      <c r="T8" s="14"/>
      <c r="U8" s="15">
        <v>40</v>
      </c>
      <c r="V8" s="15"/>
      <c r="W8" s="15">
        <v>37</v>
      </c>
      <c r="X8" s="15">
        <v>64</v>
      </c>
      <c r="Y8" s="15">
        <v>123</v>
      </c>
      <c r="Z8" s="15">
        <v>121</v>
      </c>
      <c r="AA8" s="76">
        <v>107.06666666666666</v>
      </c>
      <c r="AB8" s="14">
        <v>137</v>
      </c>
      <c r="AC8" s="14">
        <v>105</v>
      </c>
      <c r="AD8" s="14">
        <v>94</v>
      </c>
      <c r="AE8" s="124">
        <v>79</v>
      </c>
      <c r="AF8" s="124">
        <v>169</v>
      </c>
      <c r="AG8" s="124">
        <f>19+47+49+33</f>
        <v>148</v>
      </c>
      <c r="AH8" s="124">
        <f>22+39+49+36+2</f>
        <v>148</v>
      </c>
      <c r="AI8" s="124">
        <f>(3+2)+(2+2+4+2+3+2+2+2+2+1+2+2+3+1+2+1+1+2+5+2)+(2+2+1+2+2+2+2+2+2+2+1+3+1+1+1+2+2+2+2)+(3+1+2+2+2+1+1+2+1+2)</f>
        <v>99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199.5</v>
      </c>
      <c r="BK8">
        <f t="shared" si="0"/>
        <v>164.66666666666666</v>
      </c>
      <c r="BL8">
        <f t="shared" si="2"/>
        <v>157</v>
      </c>
      <c r="BM8">
        <f t="shared" si="0"/>
        <v>171</v>
      </c>
      <c r="BN8" t="e">
        <f t="shared" si="0"/>
        <v>#DIV/0!</v>
      </c>
      <c r="BO8">
        <f t="shared" si="0"/>
        <v>19</v>
      </c>
      <c r="BP8">
        <f t="shared" si="0"/>
        <v>29.5</v>
      </c>
      <c r="BQ8">
        <f t="shared" si="0"/>
        <v>33.333333333333336</v>
      </c>
      <c r="BR8">
        <f t="shared" si="3"/>
        <v>33.333333333333336</v>
      </c>
      <c r="BS8">
        <f t="shared" si="3"/>
        <v>33.333333333333336</v>
      </c>
      <c r="BT8">
        <f>AVERAGE(L8:U8)</f>
        <v>35</v>
      </c>
      <c r="BU8">
        <f t="shared" si="0"/>
        <v>35</v>
      </c>
      <c r="BV8">
        <f t="shared" si="0"/>
        <v>35.4</v>
      </c>
      <c r="BW8">
        <f t="shared" si="0"/>
        <v>40.166666666666664</v>
      </c>
      <c r="BX8">
        <f t="shared" si="0"/>
        <v>52</v>
      </c>
      <c r="BY8">
        <f t="shared" si="0"/>
        <v>66.571428571428569</v>
      </c>
      <c r="BZ8">
        <f t="shared" si="0"/>
        <v>76.152380952380938</v>
      </c>
      <c r="CA8">
        <f t="shared" si="0"/>
        <v>89.86666666666666</v>
      </c>
      <c r="CB8">
        <f t="shared" si="0"/>
        <v>91.758333333333326</v>
      </c>
      <c r="CC8">
        <f t="shared" si="0"/>
        <v>92.007407407407399</v>
      </c>
      <c r="CD8">
        <f t="shared" si="0"/>
        <v>96.340740740740728</v>
      </c>
      <c r="CE8">
        <f t="shared" si="0"/>
        <v>103.60666666666665</v>
      </c>
      <c r="CF8">
        <f t="shared" si="4"/>
        <v>114.70666666666666</v>
      </c>
      <c r="CG8">
        <f t="shared" si="5"/>
        <v>123.10666666666665</v>
      </c>
      <c r="CH8">
        <f t="shared" si="6"/>
        <v>120.70666666666666</v>
      </c>
      <c r="CI8">
        <f t="shared" si="7"/>
        <v>120.67407407407407</v>
      </c>
      <c r="CJ8">
        <f t="shared" si="8"/>
        <v>122.375</v>
      </c>
      <c r="CK8">
        <f t="shared" si="9"/>
        <v>120.28571428571429</v>
      </c>
      <c r="CL8">
        <f t="shared" si="10"/>
        <v>122.83333333333333</v>
      </c>
      <c r="CM8">
        <f t="shared" si="11"/>
        <v>128.6</v>
      </c>
      <c r="CN8">
        <f t="shared" si="12"/>
        <v>141</v>
      </c>
      <c r="CO8">
        <f t="shared" si="13"/>
        <v>131.66666666666666</v>
      </c>
      <c r="CP8">
        <f t="shared" si="14"/>
        <v>123.5</v>
      </c>
      <c r="CQ8">
        <f t="shared" si="15"/>
        <v>99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472</v>
      </c>
      <c r="C9" s="16">
        <v>717</v>
      </c>
      <c r="D9" s="16">
        <v>487</v>
      </c>
      <c r="E9" s="16">
        <v>498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>
        <v>44</v>
      </c>
      <c r="Q9" s="16">
        <v>41</v>
      </c>
      <c r="R9" s="16">
        <v>74</v>
      </c>
      <c r="S9" s="16"/>
      <c r="T9" s="16"/>
      <c r="U9" s="17">
        <v>73</v>
      </c>
      <c r="V9" s="17"/>
      <c r="W9" s="17"/>
      <c r="X9" s="17">
        <v>86</v>
      </c>
      <c r="Y9" s="17">
        <v>146</v>
      </c>
      <c r="Z9" s="17">
        <v>135</v>
      </c>
      <c r="AA9" s="76">
        <v>130.41666666666666</v>
      </c>
      <c r="AB9" s="16">
        <v>123</v>
      </c>
      <c r="AC9" s="16">
        <v>170</v>
      </c>
      <c r="AD9" s="16">
        <v>170</v>
      </c>
      <c r="AE9" s="10">
        <v>219</v>
      </c>
      <c r="AF9" s="10">
        <v>154</v>
      </c>
      <c r="AG9" s="10">
        <f>10+52+36+32+39</f>
        <v>169</v>
      </c>
      <c r="AH9" s="10">
        <f>28+28+57</f>
        <v>113</v>
      </c>
      <c r="AI9" s="10">
        <f>(1+2+1+1+1+6+4+2)+(2+1+1+2+2+2+2+1+2+1+3+3+2+5+2+2+2+2+3+2)+(7+3+2+1+2+1+7+1+4+2+3+2+3+2+2+2+3+3+2+1)+(1+2+1+2+6+4+2+3+8+2+1+9+3+7+2+3+1+2+2)+(1+4+1+2)</f>
        <v>182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543.5</v>
      </c>
      <c r="BK9">
        <f t="shared" si="0"/>
        <v>567.33333333333337</v>
      </c>
      <c r="BL9">
        <f t="shared" si="2"/>
        <v>492.5</v>
      </c>
      <c r="BM9">
        <f t="shared" si="0"/>
        <v>498</v>
      </c>
      <c r="BN9" t="e">
        <f t="shared" si="0"/>
        <v>#DIV/0!</v>
      </c>
      <c r="BO9">
        <f t="shared" si="0"/>
        <v>44</v>
      </c>
      <c r="BP9">
        <f t="shared" si="0"/>
        <v>42.5</v>
      </c>
      <c r="BQ9">
        <f t="shared" si="0"/>
        <v>53</v>
      </c>
      <c r="BR9">
        <f t="shared" si="3"/>
        <v>53</v>
      </c>
      <c r="BS9">
        <f t="shared" si="3"/>
        <v>53</v>
      </c>
      <c r="BT9">
        <f t="shared" si="0"/>
        <v>58</v>
      </c>
      <c r="BU9">
        <f t="shared" si="0"/>
        <v>58</v>
      </c>
      <c r="BV9">
        <f t="shared" si="0"/>
        <v>58</v>
      </c>
      <c r="BW9">
        <f t="shared" si="0"/>
        <v>63.6</v>
      </c>
      <c r="BX9">
        <f t="shared" si="0"/>
        <v>77.333333333333329</v>
      </c>
      <c r="BY9">
        <f t="shared" si="0"/>
        <v>92.5</v>
      </c>
      <c r="BZ9">
        <f t="shared" si="0"/>
        <v>107.40277777777777</v>
      </c>
      <c r="CA9">
        <f t="shared" si="0"/>
        <v>115.56944444444444</v>
      </c>
      <c r="CB9">
        <f t="shared" si="0"/>
        <v>123.34523809523809</v>
      </c>
      <c r="CC9">
        <f t="shared" si="0"/>
        <v>129.17708333333331</v>
      </c>
      <c r="CD9">
        <f t="shared" si="0"/>
        <v>147.42708333333331</v>
      </c>
      <c r="CE9">
        <f t="shared" si="0"/>
        <v>148.15740740740739</v>
      </c>
      <c r="CF9">
        <f t="shared" si="4"/>
        <v>150.24166666666665</v>
      </c>
      <c r="CG9">
        <f t="shared" si="5"/>
        <v>152.94166666666666</v>
      </c>
      <c r="CH9">
        <f t="shared" si="6"/>
        <v>156.54166666666666</v>
      </c>
      <c r="CI9">
        <f t="shared" si="7"/>
        <v>158.93518518518516</v>
      </c>
      <c r="CJ9">
        <f t="shared" si="8"/>
        <v>162.5</v>
      </c>
      <c r="CK9">
        <f t="shared" si="9"/>
        <v>168.14285714285714</v>
      </c>
      <c r="CL9">
        <f t="shared" si="10"/>
        <v>167.83333333333334</v>
      </c>
      <c r="CM9">
        <f t="shared" si="11"/>
        <v>167.4</v>
      </c>
      <c r="CN9">
        <f t="shared" si="12"/>
        <v>154.5</v>
      </c>
      <c r="CO9">
        <f t="shared" si="13"/>
        <v>154.66666666666666</v>
      </c>
      <c r="CP9">
        <f t="shared" si="14"/>
        <v>147.5</v>
      </c>
      <c r="CQ9">
        <f t="shared" si="15"/>
        <v>182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505</v>
      </c>
      <c r="C10" s="14">
        <v>291</v>
      </c>
      <c r="D10" s="14">
        <v>391</v>
      </c>
      <c r="E10" s="14">
        <v>356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47</v>
      </c>
      <c r="Q10" s="14">
        <v>46</v>
      </c>
      <c r="R10" s="14">
        <v>62</v>
      </c>
      <c r="S10" s="14"/>
      <c r="T10" s="14"/>
      <c r="U10" s="15">
        <v>56</v>
      </c>
      <c r="V10" s="15"/>
      <c r="W10" s="15"/>
      <c r="X10" s="15">
        <v>75</v>
      </c>
      <c r="Y10" s="15">
        <v>125</v>
      </c>
      <c r="Z10" s="15">
        <v>160</v>
      </c>
      <c r="AA10" s="76">
        <v>130.16666666666666</v>
      </c>
      <c r="AB10" s="14">
        <v>136</v>
      </c>
      <c r="AC10" s="14">
        <v>176</v>
      </c>
      <c r="AD10" s="14">
        <v>157</v>
      </c>
      <c r="AE10" s="124">
        <v>206</v>
      </c>
      <c r="AF10" s="124">
        <v>239</v>
      </c>
      <c r="AG10" s="124">
        <f>1+35+31+48+35+11</f>
        <v>161</v>
      </c>
      <c r="AH10" s="124">
        <f>31+33+46+21</f>
        <v>131</v>
      </c>
      <c r="AI10" s="124">
        <f>(2+1+1+2+2+2+1+2+1+2+2+2+2+2+1+1)+(2+1+1+2+2+2+2+2+4+2+1+2+2+3+2+2+2+1+1+1)+(5+4+2+1+2+2+2+1+1+1+6+1+2+2+2+3+4+2+1)+(5+1)</f>
        <v>113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385.75</v>
      </c>
      <c r="BK10">
        <f t="shared" si="0"/>
        <v>346</v>
      </c>
      <c r="BL10">
        <f t="shared" si="2"/>
        <v>373.5</v>
      </c>
      <c r="BM10">
        <f t="shared" si="0"/>
        <v>356</v>
      </c>
      <c r="BN10" t="e">
        <f t="shared" si="0"/>
        <v>#DIV/0!</v>
      </c>
      <c r="BO10">
        <f t="shared" si="0"/>
        <v>47</v>
      </c>
      <c r="BP10">
        <f t="shared" si="0"/>
        <v>46.5</v>
      </c>
      <c r="BQ10">
        <f t="shared" si="0"/>
        <v>51.666666666666664</v>
      </c>
      <c r="BR10">
        <f t="shared" si="3"/>
        <v>51.666666666666664</v>
      </c>
      <c r="BS10">
        <f t="shared" si="3"/>
        <v>51.666666666666664</v>
      </c>
      <c r="BT10">
        <f t="shared" si="0"/>
        <v>52.75</v>
      </c>
      <c r="BU10">
        <f t="shared" si="0"/>
        <v>52.75</v>
      </c>
      <c r="BV10">
        <f t="shared" si="0"/>
        <v>52.75</v>
      </c>
      <c r="BW10">
        <f t="shared" si="0"/>
        <v>57.2</v>
      </c>
      <c r="BX10">
        <f t="shared" si="0"/>
        <v>68.5</v>
      </c>
      <c r="BY10">
        <f t="shared" si="0"/>
        <v>87.333333333333329</v>
      </c>
      <c r="BZ10">
        <f t="shared" si="0"/>
        <v>101.3611111111111</v>
      </c>
      <c r="CA10">
        <f t="shared" si="0"/>
        <v>113.69444444444444</v>
      </c>
      <c r="CB10">
        <f t="shared" si="0"/>
        <v>122.59523809523809</v>
      </c>
      <c r="CC10">
        <f t="shared" si="0"/>
        <v>126.89583333333333</v>
      </c>
      <c r="CD10">
        <f t="shared" si="0"/>
        <v>145.64583333333331</v>
      </c>
      <c r="CE10">
        <f t="shared" si="0"/>
        <v>156.0185185185185</v>
      </c>
      <c r="CF10">
        <f t="shared" si="4"/>
        <v>156.51666666666665</v>
      </c>
      <c r="CG10">
        <f t="shared" si="5"/>
        <v>162.11666666666665</v>
      </c>
      <c r="CH10">
        <f t="shared" si="6"/>
        <v>160.91666666666666</v>
      </c>
      <c r="CI10">
        <f t="shared" si="7"/>
        <v>161.0185185185185</v>
      </c>
      <c r="CJ10">
        <f t="shared" si="8"/>
        <v>164.875</v>
      </c>
      <c r="CK10">
        <f t="shared" si="9"/>
        <v>169</v>
      </c>
      <c r="CL10">
        <f t="shared" si="10"/>
        <v>167.83333333333334</v>
      </c>
      <c r="CM10">
        <f t="shared" si="11"/>
        <v>170</v>
      </c>
      <c r="CN10">
        <f t="shared" si="12"/>
        <v>161</v>
      </c>
      <c r="CO10">
        <f t="shared" si="13"/>
        <v>135</v>
      </c>
      <c r="CP10">
        <f t="shared" si="14"/>
        <v>122</v>
      </c>
      <c r="CQ10">
        <f t="shared" si="15"/>
        <v>113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696</v>
      </c>
      <c r="C11" s="16">
        <v>637</v>
      </c>
      <c r="D11" s="16">
        <v>717</v>
      </c>
      <c r="E11" s="16">
        <v>506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>
        <v>45</v>
      </c>
      <c r="Q11" s="16">
        <v>54</v>
      </c>
      <c r="R11" s="16">
        <v>117</v>
      </c>
      <c r="S11" s="16"/>
      <c r="T11" s="16"/>
      <c r="U11" s="17">
        <v>107</v>
      </c>
      <c r="V11" s="17"/>
      <c r="W11" s="17"/>
      <c r="X11" s="17">
        <v>131</v>
      </c>
      <c r="Y11" s="17">
        <v>159</v>
      </c>
      <c r="Z11" s="17">
        <v>248</v>
      </c>
      <c r="AA11" s="76">
        <v>190.25</v>
      </c>
      <c r="AB11" s="16">
        <v>236</v>
      </c>
      <c r="AC11" s="16">
        <v>202</v>
      </c>
      <c r="AD11" s="16">
        <v>248</v>
      </c>
      <c r="AE11" s="10">
        <v>215</v>
      </c>
      <c r="AF11" s="10">
        <v>276</v>
      </c>
      <c r="AG11" s="10">
        <f>38+46+59+38+62+40</f>
        <v>283</v>
      </c>
      <c r="AH11" s="10">
        <f>16+36+47+37+51+55</f>
        <v>242</v>
      </c>
      <c r="AI11" s="10">
        <f>(2+8+2+1+1+1+2+2+2+2+2+1+6+2+1+1+1)+(3+2+2+2+2+1+2+4+5+2+1+4+2+3+2+1+4+2+4)+(5+1+2+1+4+1+3+2+2+1+5+1+2+3+5+2+2+1+2+2)+(2+2+8+2+2+1+1+16+1+21+1+5+2+5+1+1+2+1+2+3)+(1+2+2+2+1+4+6)</f>
        <v>229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639</v>
      </c>
      <c r="BK11">
        <f t="shared" si="0"/>
        <v>620</v>
      </c>
      <c r="BL11">
        <f t="shared" si="2"/>
        <v>611.5</v>
      </c>
      <c r="BM11">
        <f t="shared" si="0"/>
        <v>506</v>
      </c>
      <c r="BN11" t="e">
        <f t="shared" si="0"/>
        <v>#DIV/0!</v>
      </c>
      <c r="BO11">
        <f t="shared" si="0"/>
        <v>45</v>
      </c>
      <c r="BP11">
        <f t="shared" si="0"/>
        <v>49.5</v>
      </c>
      <c r="BQ11">
        <f t="shared" si="0"/>
        <v>72</v>
      </c>
      <c r="BR11">
        <f t="shared" si="3"/>
        <v>72</v>
      </c>
      <c r="BS11">
        <f t="shared" si="3"/>
        <v>72</v>
      </c>
      <c r="BT11">
        <f t="shared" si="0"/>
        <v>80.75</v>
      </c>
      <c r="BU11">
        <f t="shared" si="0"/>
        <v>80.75</v>
      </c>
      <c r="BV11">
        <f t="shared" si="0"/>
        <v>80.75</v>
      </c>
      <c r="BW11">
        <f t="shared" si="0"/>
        <v>90.8</v>
      </c>
      <c r="BX11">
        <f t="shared" si="0"/>
        <v>102.16666666666667</v>
      </c>
      <c r="BY11">
        <f t="shared" si="0"/>
        <v>136</v>
      </c>
      <c r="BZ11">
        <f t="shared" si="0"/>
        <v>158.70833333333334</v>
      </c>
      <c r="CA11">
        <f t="shared" si="0"/>
        <v>178.54166666666666</v>
      </c>
      <c r="CB11">
        <f t="shared" si="0"/>
        <v>181.89285714285714</v>
      </c>
      <c r="CC11">
        <f t="shared" si="0"/>
        <v>190.15625</v>
      </c>
      <c r="CD11">
        <f t="shared" si="0"/>
        <v>203.65625</v>
      </c>
      <c r="CE11">
        <f t="shared" si="0"/>
        <v>211.69444444444446</v>
      </c>
      <c r="CF11">
        <f t="shared" si="4"/>
        <v>218.82499999999999</v>
      </c>
      <c r="CG11">
        <f t="shared" si="5"/>
        <v>229.92500000000001</v>
      </c>
      <c r="CH11">
        <f t="shared" si="6"/>
        <v>236.92500000000001</v>
      </c>
      <c r="CI11">
        <f t="shared" si="7"/>
        <v>235.69444444444446</v>
      </c>
      <c r="CJ11">
        <f t="shared" si="8"/>
        <v>241.375</v>
      </c>
      <c r="CK11">
        <f t="shared" si="9"/>
        <v>242.14285714285714</v>
      </c>
      <c r="CL11">
        <f t="shared" si="10"/>
        <v>248.83333333333334</v>
      </c>
      <c r="CM11">
        <f t="shared" si="11"/>
        <v>249</v>
      </c>
      <c r="CN11">
        <f t="shared" si="12"/>
        <v>257.5</v>
      </c>
      <c r="CO11">
        <f t="shared" si="13"/>
        <v>251.33333333333334</v>
      </c>
      <c r="CP11">
        <f t="shared" si="14"/>
        <v>235.5</v>
      </c>
      <c r="CQ11">
        <f t="shared" si="15"/>
        <v>229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721</v>
      </c>
      <c r="C12" s="14">
        <v>826</v>
      </c>
      <c r="D12" s="14">
        <v>649</v>
      </c>
      <c r="E12" s="14">
        <v>842</v>
      </c>
      <c r="F12" s="14"/>
      <c r="G12" s="14"/>
      <c r="H12" s="14"/>
      <c r="I12" s="14"/>
      <c r="J12" s="14"/>
      <c r="K12" s="14"/>
      <c r="L12" s="14"/>
      <c r="M12" s="14"/>
      <c r="N12" s="14"/>
      <c r="O12" s="14">
        <v>89</v>
      </c>
      <c r="P12" s="14">
        <v>44</v>
      </c>
      <c r="Q12" s="14">
        <v>93</v>
      </c>
      <c r="R12" s="14">
        <v>100</v>
      </c>
      <c r="S12" s="14"/>
      <c r="T12" s="14"/>
      <c r="U12" s="15">
        <v>86</v>
      </c>
      <c r="V12" s="15"/>
      <c r="W12" s="15">
        <v>17</v>
      </c>
      <c r="X12" s="15">
        <v>138</v>
      </c>
      <c r="Y12" s="15">
        <v>183</v>
      </c>
      <c r="Z12" s="15">
        <v>279</v>
      </c>
      <c r="AA12" s="76">
        <v>201.79999999999998</v>
      </c>
      <c r="AB12" s="14">
        <v>231</v>
      </c>
      <c r="AC12" s="14">
        <v>211</v>
      </c>
      <c r="AD12" s="14">
        <v>142</v>
      </c>
      <c r="AE12" s="124">
        <v>247</v>
      </c>
      <c r="AF12" s="124">
        <v>278</v>
      </c>
      <c r="AG12" s="124">
        <f>25+36+49+38+34+5</f>
        <v>187</v>
      </c>
      <c r="AH12" s="124">
        <f>8+75+51+52+29+14</f>
        <v>229</v>
      </c>
      <c r="AI12" s="124">
        <f>(2+2+1+4+2+2+2+2+2+2+2+3+2)+(2+1+3+8+3+1+1+1+1+6+1+9+10+1+3+2+4+2+2+2)+(2+1+3+2+2+4+2+3+2+2+3+1+5+2+1+1+1+1+2)+(3+1+1+3+2+2+4+2+1+1+2+1+1+1+1+1+2+3+5+3)+(2+2+1+2+2+2+2+2+2+1+1+3+2+3+2+1+1+2+5+2)+(5+1+2+2+2+5+1+4+2+8+2+2+2+1+1+2+4+4)</f>
        <v>261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759.5</v>
      </c>
      <c r="BK12">
        <f t="shared" si="0"/>
        <v>772.33333333333337</v>
      </c>
      <c r="BL12">
        <f t="shared" si="2"/>
        <v>745.5</v>
      </c>
      <c r="BM12">
        <f t="shared" si="0"/>
        <v>842</v>
      </c>
      <c r="BN12">
        <f t="shared" si="0"/>
        <v>89</v>
      </c>
      <c r="BO12">
        <f t="shared" si="0"/>
        <v>66.5</v>
      </c>
      <c r="BP12">
        <f t="shared" si="0"/>
        <v>75.333333333333329</v>
      </c>
      <c r="BQ12">
        <f t="shared" si="0"/>
        <v>81.5</v>
      </c>
      <c r="BR12">
        <f t="shared" si="3"/>
        <v>81.5</v>
      </c>
      <c r="BS12">
        <f t="shared" si="3"/>
        <v>81.5</v>
      </c>
      <c r="BT12">
        <f t="shared" si="0"/>
        <v>82.4</v>
      </c>
      <c r="BU12">
        <f t="shared" si="0"/>
        <v>82.4</v>
      </c>
      <c r="BV12">
        <f t="shared" si="0"/>
        <v>71.5</v>
      </c>
      <c r="BW12">
        <f t="shared" si="0"/>
        <v>81</v>
      </c>
      <c r="BX12">
        <f t="shared" si="0"/>
        <v>94.428571428571431</v>
      </c>
      <c r="BY12">
        <f t="shared" si="0"/>
        <v>128</v>
      </c>
      <c r="BZ12">
        <f t="shared" si="0"/>
        <v>143.54285714285714</v>
      </c>
      <c r="CA12">
        <f t="shared" si="0"/>
        <v>162.25714285714284</v>
      </c>
      <c r="CB12">
        <f t="shared" si="0"/>
        <v>168.35</v>
      </c>
      <c r="CC12">
        <f t="shared" si="0"/>
        <v>165.42222222222222</v>
      </c>
      <c r="CD12">
        <f t="shared" si="0"/>
        <v>183.3111111111111</v>
      </c>
      <c r="CE12">
        <f t="shared" si="0"/>
        <v>192.78</v>
      </c>
      <c r="CF12">
        <f t="shared" si="4"/>
        <v>209.78000000000003</v>
      </c>
      <c r="CG12">
        <f t="shared" si="5"/>
        <v>218.88000000000002</v>
      </c>
      <c r="CH12">
        <f t="shared" si="6"/>
        <v>226.68</v>
      </c>
      <c r="CI12">
        <f t="shared" si="7"/>
        <v>220.86666666666667</v>
      </c>
      <c r="CJ12">
        <f t="shared" si="8"/>
        <v>223.25</v>
      </c>
      <c r="CK12">
        <f t="shared" si="9"/>
        <v>222.14285714285714</v>
      </c>
      <c r="CL12">
        <f t="shared" si="10"/>
        <v>224</v>
      </c>
      <c r="CM12">
        <f t="shared" si="11"/>
        <v>240.4</v>
      </c>
      <c r="CN12">
        <f t="shared" si="12"/>
        <v>238.75</v>
      </c>
      <c r="CO12">
        <f t="shared" si="13"/>
        <v>225.66666666666666</v>
      </c>
      <c r="CP12">
        <f t="shared" si="14"/>
        <v>245</v>
      </c>
      <c r="CQ12">
        <f t="shared" si="15"/>
        <v>261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613</v>
      </c>
      <c r="C13" s="16">
        <v>562</v>
      </c>
      <c r="D13" s="16">
        <v>475</v>
      </c>
      <c r="E13" s="16">
        <v>481</v>
      </c>
      <c r="F13" s="16"/>
      <c r="G13" s="16"/>
      <c r="H13" s="16"/>
      <c r="I13" s="16"/>
      <c r="J13" s="16"/>
      <c r="K13" s="16"/>
      <c r="L13" s="16"/>
      <c r="M13" s="16"/>
      <c r="N13" s="16"/>
      <c r="O13" s="16">
        <v>97</v>
      </c>
      <c r="P13" s="16">
        <v>65</v>
      </c>
      <c r="Q13" s="16">
        <v>79</v>
      </c>
      <c r="R13" s="16">
        <v>83</v>
      </c>
      <c r="S13" s="16"/>
      <c r="T13" s="16"/>
      <c r="U13" s="17">
        <v>51</v>
      </c>
      <c r="V13" s="17"/>
      <c r="W13" s="17">
        <v>146</v>
      </c>
      <c r="X13" s="17">
        <v>151</v>
      </c>
      <c r="Y13" s="17">
        <v>136</v>
      </c>
      <c r="Z13" s="17">
        <v>190</v>
      </c>
      <c r="AA13" s="76">
        <v>155.73333333333332</v>
      </c>
      <c r="AB13" s="16">
        <v>221</v>
      </c>
      <c r="AC13" s="16">
        <v>161</v>
      </c>
      <c r="AD13" s="16">
        <v>210</v>
      </c>
      <c r="AE13" s="10">
        <v>256</v>
      </c>
      <c r="AF13" s="10">
        <v>227</v>
      </c>
      <c r="AG13" s="10">
        <f>50+37+44+35+3</f>
        <v>169</v>
      </c>
      <c r="AH13" s="10">
        <f>32+38+27+20</f>
        <v>117</v>
      </c>
      <c r="AI13" s="10">
        <f>(6+2)+(8+3+2+2+2+2+1+2+2+2+1+2+2+1+2+2+2+1+1+2)+(1+1+3+1+1+1+1+2+2+1+1+2+2+4+1+2+1+3+2+2)+(2+2+1+4+2+1+1+1+1+2+6+4+1+4+2+2+2+2+4+3)</f>
        <v>131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532.75</v>
      </c>
      <c r="BK13">
        <f t="shared" si="0"/>
        <v>506</v>
      </c>
      <c r="BL13">
        <f t="shared" si="2"/>
        <v>478</v>
      </c>
      <c r="BM13">
        <f t="shared" si="0"/>
        <v>481</v>
      </c>
      <c r="BN13">
        <f t="shared" si="0"/>
        <v>97</v>
      </c>
      <c r="BO13">
        <f t="shared" si="0"/>
        <v>81</v>
      </c>
      <c r="BP13">
        <f t="shared" si="0"/>
        <v>80.333333333333329</v>
      </c>
      <c r="BQ13">
        <f t="shared" si="0"/>
        <v>81</v>
      </c>
      <c r="BR13">
        <f t="shared" si="3"/>
        <v>81</v>
      </c>
      <c r="BS13">
        <f t="shared" si="3"/>
        <v>81</v>
      </c>
      <c r="BT13">
        <f t="shared" si="0"/>
        <v>75</v>
      </c>
      <c r="BU13">
        <f t="shared" si="0"/>
        <v>75</v>
      </c>
      <c r="BV13">
        <f t="shared" si="0"/>
        <v>86.833333333333329</v>
      </c>
      <c r="BW13">
        <f t="shared" si="0"/>
        <v>96</v>
      </c>
      <c r="BX13">
        <f t="shared" si="0"/>
        <v>101.57142857142857</v>
      </c>
      <c r="BY13">
        <f t="shared" si="0"/>
        <v>119.42857142857143</v>
      </c>
      <c r="BZ13">
        <f t="shared" si="0"/>
        <v>130.39047619047619</v>
      </c>
      <c r="CA13">
        <f t="shared" si="0"/>
        <v>150.10476190476192</v>
      </c>
      <c r="CB13">
        <f t="shared" si="0"/>
        <v>151.46666666666667</v>
      </c>
      <c r="CC13">
        <f t="shared" si="0"/>
        <v>157.97037037037038</v>
      </c>
      <c r="CD13">
        <f t="shared" si="0"/>
        <v>180.74814814814815</v>
      </c>
      <c r="CE13">
        <f t="shared" si="0"/>
        <v>185.37333333333333</v>
      </c>
      <c r="CF13">
        <f t="shared" si="4"/>
        <v>187.67333333333335</v>
      </c>
      <c r="CG13">
        <f t="shared" si="5"/>
        <v>184.27333333333334</v>
      </c>
      <c r="CH13">
        <f t="shared" si="6"/>
        <v>183.77333333333334</v>
      </c>
      <c r="CI13">
        <f t="shared" si="7"/>
        <v>183.08148148148149</v>
      </c>
      <c r="CJ13">
        <f t="shared" si="8"/>
        <v>186.5</v>
      </c>
      <c r="CK13">
        <f t="shared" si="9"/>
        <v>181.57142857142858</v>
      </c>
      <c r="CL13">
        <f t="shared" si="10"/>
        <v>185</v>
      </c>
      <c r="CM13">
        <f t="shared" si="11"/>
        <v>180</v>
      </c>
      <c r="CN13">
        <f t="shared" si="12"/>
        <v>161</v>
      </c>
      <c r="CO13">
        <f t="shared" si="13"/>
        <v>139</v>
      </c>
      <c r="CP13">
        <f t="shared" si="14"/>
        <v>124</v>
      </c>
      <c r="CQ13">
        <f t="shared" si="15"/>
        <v>131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585</v>
      </c>
      <c r="C14" s="14">
        <v>789</v>
      </c>
      <c r="D14" s="14">
        <v>890</v>
      </c>
      <c r="E14" s="14">
        <v>1090</v>
      </c>
      <c r="F14" s="14"/>
      <c r="G14" s="14"/>
      <c r="H14" s="14"/>
      <c r="I14" s="14"/>
      <c r="J14" s="14"/>
      <c r="K14" s="14"/>
      <c r="L14" s="14"/>
      <c r="M14" s="14"/>
      <c r="N14" s="14"/>
      <c r="O14" s="14">
        <v>89</v>
      </c>
      <c r="P14" s="14">
        <v>83</v>
      </c>
      <c r="Q14" s="14">
        <v>76</v>
      </c>
      <c r="R14" s="14">
        <v>97</v>
      </c>
      <c r="S14" s="14"/>
      <c r="T14" s="14"/>
      <c r="U14" s="15">
        <v>118</v>
      </c>
      <c r="V14" s="15"/>
      <c r="W14" s="15">
        <v>141</v>
      </c>
      <c r="X14" s="15">
        <v>177</v>
      </c>
      <c r="Y14" s="15">
        <v>160</v>
      </c>
      <c r="Z14" s="15">
        <v>106</v>
      </c>
      <c r="AA14" s="76">
        <v>134.06666666666666</v>
      </c>
      <c r="AB14" s="14">
        <v>257</v>
      </c>
      <c r="AC14" s="14">
        <v>207</v>
      </c>
      <c r="AD14" s="14">
        <v>198</v>
      </c>
      <c r="AE14" s="124">
        <v>382</v>
      </c>
      <c r="AF14" s="124">
        <v>2556</v>
      </c>
      <c r="AG14" s="124">
        <f>31+42+43+45+40+24</f>
        <v>225</v>
      </c>
      <c r="AH14" s="124">
        <f>15+52+43+45+43+31+21</f>
        <v>250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838.5</v>
      </c>
      <c r="BK14">
        <f t="shared" si="0"/>
        <v>923</v>
      </c>
      <c r="BL14">
        <f t="shared" si="2"/>
        <v>990</v>
      </c>
      <c r="BM14">
        <f t="shared" si="0"/>
        <v>1090</v>
      </c>
      <c r="BN14">
        <f t="shared" si="0"/>
        <v>89</v>
      </c>
      <c r="BO14">
        <f t="shared" si="0"/>
        <v>86</v>
      </c>
      <c r="BP14">
        <f t="shared" si="0"/>
        <v>82.666666666666671</v>
      </c>
      <c r="BQ14">
        <f t="shared" si="0"/>
        <v>86.25</v>
      </c>
      <c r="BR14">
        <f t="shared" si="3"/>
        <v>86.25</v>
      </c>
      <c r="BS14">
        <f t="shared" si="3"/>
        <v>86.25</v>
      </c>
      <c r="BT14">
        <f t="shared" si="0"/>
        <v>92.6</v>
      </c>
      <c r="BU14">
        <f t="shared" si="0"/>
        <v>92.6</v>
      </c>
      <c r="BV14">
        <f t="shared" si="0"/>
        <v>100.66666666666667</v>
      </c>
      <c r="BW14">
        <f t="shared" si="0"/>
        <v>111.57142857142857</v>
      </c>
      <c r="BX14">
        <f t="shared" si="0"/>
        <v>121.71428571428571</v>
      </c>
      <c r="BY14">
        <f t="shared" si="0"/>
        <v>125</v>
      </c>
      <c r="BZ14">
        <f t="shared" si="0"/>
        <v>133.29523809523809</v>
      </c>
      <c r="CA14">
        <f t="shared" si="0"/>
        <v>156.15238095238095</v>
      </c>
      <c r="CB14">
        <f t="shared" si="0"/>
        <v>162.50833333333333</v>
      </c>
      <c r="CC14">
        <f t="shared" si="0"/>
        <v>166.45185185185184</v>
      </c>
      <c r="CD14">
        <f t="shared" si="0"/>
        <v>195.78518518518518</v>
      </c>
      <c r="CE14">
        <f t="shared" si="0"/>
        <v>431.80666666666667</v>
      </c>
      <c r="CF14">
        <f t="shared" si="4"/>
        <v>440.20666666666665</v>
      </c>
      <c r="CG14">
        <f t="shared" si="5"/>
        <v>447.50666666666666</v>
      </c>
      <c r="CH14">
        <f t="shared" si="6"/>
        <v>479.45185185185187</v>
      </c>
      <c r="CI14">
        <f t="shared" si="7"/>
        <v>526.13333333333333</v>
      </c>
      <c r="CJ14">
        <f t="shared" si="8"/>
        <v>582.14285714285711</v>
      </c>
      <c r="CK14">
        <f t="shared" si="9"/>
        <v>636.33333333333337</v>
      </c>
      <c r="CL14">
        <f t="shared" si="10"/>
        <v>722.2</v>
      </c>
      <c r="CM14">
        <f t="shared" si="11"/>
        <v>853.25</v>
      </c>
      <c r="CN14">
        <f t="shared" si="12"/>
        <v>1010.3333333333334</v>
      </c>
      <c r="CO14">
        <f t="shared" si="13"/>
        <v>237.5</v>
      </c>
      <c r="CP14">
        <f t="shared" si="14"/>
        <v>250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221</v>
      </c>
      <c r="C15" s="16">
        <v>135</v>
      </c>
      <c r="D15" s="16">
        <v>280</v>
      </c>
      <c r="E15" s="16">
        <v>257</v>
      </c>
      <c r="F15" s="16"/>
      <c r="G15" s="16"/>
      <c r="H15" s="16"/>
      <c r="I15" s="16"/>
      <c r="J15" s="16"/>
      <c r="K15" s="16"/>
      <c r="L15" s="16"/>
      <c r="M15" s="16"/>
      <c r="N15" s="16"/>
      <c r="O15" s="16">
        <v>34</v>
      </c>
      <c r="P15" s="16">
        <v>70</v>
      </c>
      <c r="Q15" s="16">
        <v>78</v>
      </c>
      <c r="R15" s="16">
        <v>70</v>
      </c>
      <c r="S15" s="16"/>
      <c r="T15" s="16"/>
      <c r="U15" s="17">
        <v>62</v>
      </c>
      <c r="V15" s="17"/>
      <c r="W15" s="17">
        <v>66</v>
      </c>
      <c r="X15" s="17">
        <v>44</v>
      </c>
      <c r="Y15" s="17">
        <v>80</v>
      </c>
      <c r="Z15" s="17">
        <v>54</v>
      </c>
      <c r="AA15" s="17">
        <v>71.333333333333329</v>
      </c>
      <c r="AB15" s="16">
        <v>115</v>
      </c>
      <c r="AC15" s="16">
        <v>53</v>
      </c>
      <c r="AD15" s="16">
        <v>176</v>
      </c>
      <c r="AE15" s="10">
        <v>180</v>
      </c>
      <c r="AF15" s="10">
        <v>135</v>
      </c>
      <c r="AG15" s="10">
        <f>23+40+16+56+5</f>
        <v>140</v>
      </c>
      <c r="AH15" s="10">
        <f>29+37+41+43</f>
        <v>150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223.25</v>
      </c>
      <c r="BK15">
        <f t="shared" si="0"/>
        <v>224</v>
      </c>
      <c r="BL15">
        <f t="shared" si="2"/>
        <v>268.5</v>
      </c>
      <c r="BM15">
        <f t="shared" si="0"/>
        <v>257</v>
      </c>
      <c r="BN15">
        <f t="shared" si="0"/>
        <v>34</v>
      </c>
      <c r="BO15">
        <f t="shared" si="0"/>
        <v>52</v>
      </c>
      <c r="BP15">
        <f t="shared" si="0"/>
        <v>60.666666666666664</v>
      </c>
      <c r="BQ15">
        <f t="shared" si="0"/>
        <v>63</v>
      </c>
      <c r="BR15">
        <f t="shared" si="3"/>
        <v>63</v>
      </c>
      <c r="BS15">
        <f t="shared" si="3"/>
        <v>63</v>
      </c>
      <c r="BT15">
        <f t="shared" si="0"/>
        <v>62.8</v>
      </c>
      <c r="BU15">
        <f t="shared" si="0"/>
        <v>62.8</v>
      </c>
      <c r="BV15">
        <f t="shared" si="0"/>
        <v>63.333333333333336</v>
      </c>
      <c r="BW15">
        <f t="shared" si="0"/>
        <v>60.571428571428569</v>
      </c>
      <c r="BX15">
        <f t="shared" si="0"/>
        <v>67.142857142857139</v>
      </c>
      <c r="BY15">
        <f t="shared" si="0"/>
        <v>64.857142857142861</v>
      </c>
      <c r="BZ15">
        <f t="shared" si="0"/>
        <v>63.904761904761905</v>
      </c>
      <c r="CA15">
        <f t="shared" si="0"/>
        <v>70.333333333333329</v>
      </c>
      <c r="CB15">
        <f t="shared" si="0"/>
        <v>68.166666666666657</v>
      </c>
      <c r="CC15">
        <f t="shared" si="0"/>
        <v>80.148148148148138</v>
      </c>
      <c r="CD15">
        <f t="shared" si="0"/>
        <v>93.259259259259252</v>
      </c>
      <c r="CE15">
        <f t="shared" si="0"/>
        <v>97.433333333333323</v>
      </c>
      <c r="CF15">
        <f t="shared" si="4"/>
        <v>104.83333333333333</v>
      </c>
      <c r="CG15">
        <f t="shared" si="5"/>
        <v>115.43333333333332</v>
      </c>
      <c r="CH15">
        <f t="shared" si="6"/>
        <v>119.37037037037037</v>
      </c>
      <c r="CI15">
        <f t="shared" si="7"/>
        <v>127.54166666666666</v>
      </c>
      <c r="CJ15">
        <f t="shared" si="8"/>
        <v>135.57142857142858</v>
      </c>
      <c r="CK15">
        <f t="shared" si="9"/>
        <v>139</v>
      </c>
      <c r="CL15">
        <f t="shared" si="10"/>
        <v>156.19999999999999</v>
      </c>
      <c r="CM15">
        <f t="shared" si="11"/>
        <v>151.25</v>
      </c>
      <c r="CN15">
        <f t="shared" si="12"/>
        <v>141.66666666666666</v>
      </c>
      <c r="CO15">
        <f t="shared" si="13"/>
        <v>145</v>
      </c>
      <c r="CP15">
        <f t="shared" si="14"/>
        <v>150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120</v>
      </c>
      <c r="C16" s="14">
        <v>25</v>
      </c>
      <c r="D16" s="14">
        <v>77</v>
      </c>
      <c r="E16" s="14">
        <v>145</v>
      </c>
      <c r="F16" s="14"/>
      <c r="G16" s="14"/>
      <c r="H16" s="14"/>
      <c r="I16" s="14"/>
      <c r="J16" s="14"/>
      <c r="K16" s="14"/>
      <c r="L16" s="14"/>
      <c r="M16" s="14"/>
      <c r="N16" s="14"/>
      <c r="O16" s="14">
        <v>106</v>
      </c>
      <c r="P16" s="14">
        <v>53</v>
      </c>
      <c r="Q16" s="14">
        <v>47</v>
      </c>
      <c r="R16" s="14">
        <v>32</v>
      </c>
      <c r="S16" s="14"/>
      <c r="T16" s="14"/>
      <c r="U16" s="15">
        <v>50</v>
      </c>
      <c r="V16" s="15"/>
      <c r="W16" s="15">
        <v>77</v>
      </c>
      <c r="X16" s="15">
        <v>53</v>
      </c>
      <c r="Y16" s="15">
        <v>62</v>
      </c>
      <c r="Z16" s="15">
        <v>92</v>
      </c>
      <c r="AA16" s="15">
        <v>79.666666666666671</v>
      </c>
      <c r="AB16" s="15">
        <v>112</v>
      </c>
      <c r="AC16" s="15">
        <v>75</v>
      </c>
      <c r="AD16" s="15">
        <v>41</v>
      </c>
      <c r="AE16" s="124">
        <v>84</v>
      </c>
      <c r="AF16" s="124">
        <v>110</v>
      </c>
      <c r="AG16" s="124">
        <f>18+44+14</f>
        <v>76</v>
      </c>
      <c r="AH16" s="124">
        <f>6+36+43+40</f>
        <v>125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91.75</v>
      </c>
      <c r="BK16">
        <f t="shared" si="0"/>
        <v>82.333333333333329</v>
      </c>
      <c r="BL16">
        <f t="shared" si="2"/>
        <v>111</v>
      </c>
      <c r="BM16">
        <f t="shared" si="0"/>
        <v>145</v>
      </c>
      <c r="BN16">
        <f t="shared" si="0"/>
        <v>106</v>
      </c>
      <c r="BO16">
        <f t="shared" si="0"/>
        <v>79.5</v>
      </c>
      <c r="BP16">
        <f t="shared" si="0"/>
        <v>68.666666666666671</v>
      </c>
      <c r="BQ16">
        <f t="shared" si="0"/>
        <v>59.5</v>
      </c>
      <c r="BR16">
        <f t="shared" si="3"/>
        <v>59.5</v>
      </c>
      <c r="BS16">
        <f t="shared" si="3"/>
        <v>59.5</v>
      </c>
      <c r="BT16">
        <f t="shared" si="0"/>
        <v>57.6</v>
      </c>
      <c r="BU16">
        <f t="shared" si="0"/>
        <v>57.6</v>
      </c>
      <c r="BV16">
        <f t="shared" si="0"/>
        <v>60.833333333333336</v>
      </c>
      <c r="BW16">
        <f t="shared" si="0"/>
        <v>59.714285714285715</v>
      </c>
      <c r="BX16">
        <f t="shared" si="0"/>
        <v>53.428571428571431</v>
      </c>
      <c r="BY16">
        <f t="shared" si="0"/>
        <v>59</v>
      </c>
      <c r="BZ16">
        <f t="shared" si="0"/>
        <v>63.666666666666671</v>
      </c>
      <c r="CA16">
        <f t="shared" si="0"/>
        <v>75.095238095238102</v>
      </c>
      <c r="CB16">
        <f t="shared" si="0"/>
        <v>75.083333333333343</v>
      </c>
      <c r="CC16">
        <f t="shared" si="0"/>
        <v>71.296296296296305</v>
      </c>
      <c r="CD16">
        <f t="shared" si="0"/>
        <v>75.074074074074076</v>
      </c>
      <c r="CE16">
        <f t="shared" si="0"/>
        <v>78.566666666666677</v>
      </c>
      <c r="CF16">
        <f t="shared" si="4"/>
        <v>78.466666666666669</v>
      </c>
      <c r="CG16">
        <f t="shared" si="5"/>
        <v>85.666666666666671</v>
      </c>
      <c r="CH16">
        <f t="shared" si="6"/>
        <v>88.296296296296305</v>
      </c>
      <c r="CI16">
        <f t="shared" si="7"/>
        <v>87.833333333333343</v>
      </c>
      <c r="CJ16">
        <f t="shared" si="8"/>
        <v>89</v>
      </c>
      <c r="CK16">
        <f t="shared" si="9"/>
        <v>85.166666666666671</v>
      </c>
      <c r="CL16">
        <f t="shared" si="10"/>
        <v>87.2</v>
      </c>
      <c r="CM16">
        <f t="shared" si="11"/>
        <v>98.75</v>
      </c>
      <c r="CN16">
        <f t="shared" si="12"/>
        <v>103.66666666666667</v>
      </c>
      <c r="CO16">
        <f t="shared" si="13"/>
        <v>100.5</v>
      </c>
      <c r="CP16">
        <f t="shared" si="14"/>
        <v>125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4760</v>
      </c>
      <c r="C18" s="22">
        <f t="shared" ref="C18:AZ18" si="29">SUM(C5:C16)</f>
        <v>4535</v>
      </c>
      <c r="D18" s="22">
        <f t="shared" si="29"/>
        <v>4439</v>
      </c>
      <c r="E18" s="22">
        <f t="shared" si="29"/>
        <v>4617</v>
      </c>
      <c r="F18" s="22">
        <f t="shared" si="29"/>
        <v>0</v>
      </c>
      <c r="G18" s="22">
        <f t="shared" si="29"/>
        <v>0</v>
      </c>
      <c r="H18" s="22">
        <f t="shared" si="29"/>
        <v>0</v>
      </c>
      <c r="I18" s="22">
        <f t="shared" si="29"/>
        <v>0</v>
      </c>
      <c r="J18" s="22">
        <f t="shared" si="29"/>
        <v>0</v>
      </c>
      <c r="K18" s="22">
        <f t="shared" si="29"/>
        <v>0</v>
      </c>
      <c r="L18" s="22">
        <f t="shared" si="29"/>
        <v>0</v>
      </c>
      <c r="M18" s="22">
        <f t="shared" si="29"/>
        <v>0</v>
      </c>
      <c r="N18" s="22">
        <f t="shared" si="29"/>
        <v>0</v>
      </c>
      <c r="O18" s="22">
        <f t="shared" si="29"/>
        <v>415</v>
      </c>
      <c r="P18" s="22">
        <f t="shared" si="29"/>
        <v>640</v>
      </c>
      <c r="Q18" s="22">
        <f t="shared" si="29"/>
        <v>683</v>
      </c>
      <c r="R18" s="22">
        <f t="shared" si="29"/>
        <v>826</v>
      </c>
      <c r="S18" s="22">
        <f t="shared" si="29"/>
        <v>0</v>
      </c>
      <c r="T18" s="22">
        <f t="shared" si="29"/>
        <v>0</v>
      </c>
      <c r="U18" s="22">
        <f t="shared" si="29"/>
        <v>736</v>
      </c>
      <c r="V18" s="22">
        <f t="shared" si="29"/>
        <v>0</v>
      </c>
      <c r="W18" s="22">
        <f t="shared" si="29"/>
        <v>697</v>
      </c>
      <c r="X18" s="22">
        <f t="shared" si="29"/>
        <v>1111</v>
      </c>
      <c r="Y18" s="22">
        <f t="shared" si="29"/>
        <v>1378</v>
      </c>
      <c r="Z18" s="22">
        <f t="shared" si="29"/>
        <v>1622</v>
      </c>
      <c r="AA18" s="22">
        <f t="shared" si="29"/>
        <v>1413.8999999999999</v>
      </c>
      <c r="AB18" s="22">
        <f t="shared" si="29"/>
        <v>1870</v>
      </c>
      <c r="AC18" s="22">
        <f t="shared" si="29"/>
        <v>1648</v>
      </c>
      <c r="AD18" s="22">
        <f t="shared" si="29"/>
        <v>1697</v>
      </c>
      <c r="AE18" s="22">
        <f t="shared" si="29"/>
        <v>2167</v>
      </c>
      <c r="AF18" s="22">
        <f t="shared" si="29"/>
        <v>4462</v>
      </c>
      <c r="AG18" s="22">
        <f t="shared" si="29"/>
        <v>1782</v>
      </c>
      <c r="AH18" s="22">
        <f t="shared" si="29"/>
        <v>1777</v>
      </c>
      <c r="AI18" s="22">
        <f t="shared" si="29"/>
        <v>1272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705.3</v>
      </c>
      <c r="BZ18" s="23">
        <f>SUM(BZ5:BZ16)</f>
        <v>1164.4817460317461</v>
      </c>
      <c r="CA18" s="23">
        <f>SUM(CA5:CA16)</f>
        <v>1319.3865079365078</v>
      </c>
      <c r="CB18" s="23">
        <f>SUM(CB5:CB16)</f>
        <v>1362.9666666666667</v>
      </c>
      <c r="CC18" s="23">
        <f>SUM(CC5:CC16)</f>
        <v>1402.125462962963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R37" s="99" t="s">
        <v>82</v>
      </c>
      <c r="S37" s="99"/>
      <c r="T37" s="99"/>
      <c r="U37" s="99"/>
      <c r="V37" s="99"/>
      <c r="W37" s="99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R38" s="99" t="s">
        <v>86</v>
      </c>
      <c r="S38" s="99"/>
      <c r="T38" s="99"/>
      <c r="U38" s="99"/>
      <c r="V38" s="99"/>
      <c r="W38" s="99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transitionEvaluation="1" codeName="Sheet19">
    <tabColor theme="5"/>
  </sheetPr>
  <dimension ref="A1:DE192"/>
  <sheetViews>
    <sheetView defaultGridColor="0" colorId="22" zoomScale="70" zoomScaleNormal="70" workbookViewId="0">
      <pane xSplit="1" topLeftCell="B1" activePane="topRight" state="frozen"/>
      <selection activeCell="A2" sqref="A2"/>
      <selection pane="topRight" activeCell="A29" sqref="A29"/>
    </sheetView>
  </sheetViews>
  <sheetFormatPr baseColWidth="10" defaultColWidth="9.42578125" defaultRowHeight="20" customHeight="1" x14ac:dyDescent="0.2"/>
  <cols>
    <col min="1" max="1" width="39.7109375" style="5" customWidth="1"/>
    <col min="2" max="28" width="5.7109375" style="5" customWidth="1"/>
    <col min="29" max="29" width="6.85546875" style="5" customWidth="1"/>
    <col min="30" max="30" width="6.28515625" style="5" customWidth="1"/>
    <col min="31" max="31" width="6.28515625" customWidth="1"/>
    <col min="32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7" width="24" style="5" customWidth="1"/>
    <col min="78" max="78" width="14.42578125" style="5" customWidth="1"/>
    <col min="79" max="79" width="16.7109375" style="5" customWidth="1"/>
    <col min="80" max="80" width="16.140625" style="5" customWidth="1"/>
    <col min="81" max="81" width="9.425781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43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71</v>
      </c>
      <c r="C5" s="16">
        <v>115</v>
      </c>
      <c r="D5" s="16">
        <v>105</v>
      </c>
      <c r="E5" s="16">
        <v>25</v>
      </c>
      <c r="F5" s="16">
        <v>6</v>
      </c>
      <c r="G5" s="16">
        <v>18</v>
      </c>
      <c r="H5" s="16">
        <v>67</v>
      </c>
      <c r="I5" s="16">
        <v>72</v>
      </c>
      <c r="J5" s="16">
        <v>48</v>
      </c>
      <c r="K5" s="16">
        <v>82</v>
      </c>
      <c r="L5" s="16">
        <v>67</v>
      </c>
      <c r="M5" s="16">
        <v>81</v>
      </c>
      <c r="N5" s="16">
        <v>61</v>
      </c>
      <c r="O5" s="16">
        <v>34</v>
      </c>
      <c r="P5" s="16">
        <v>32</v>
      </c>
      <c r="Q5" s="16">
        <v>45</v>
      </c>
      <c r="R5" s="16">
        <v>77</v>
      </c>
      <c r="S5" s="16"/>
      <c r="T5" s="16"/>
      <c r="U5" s="17">
        <v>19</v>
      </c>
      <c r="V5" s="17"/>
      <c r="W5" s="17">
        <v>119</v>
      </c>
      <c r="X5" s="17">
        <v>95</v>
      </c>
      <c r="Y5" s="17">
        <v>77</v>
      </c>
      <c r="Z5" s="17">
        <v>86</v>
      </c>
      <c r="AA5" s="17">
        <v>124</v>
      </c>
      <c r="AB5" s="17">
        <v>135</v>
      </c>
      <c r="AC5" s="17">
        <v>110</v>
      </c>
      <c r="AD5" s="17">
        <v>73</v>
      </c>
      <c r="AE5" s="10">
        <v>142</v>
      </c>
      <c r="AF5" s="10">
        <v>123</v>
      </c>
      <c r="AG5" s="10">
        <f>42+30</f>
        <v>72</v>
      </c>
      <c r="AH5" s="10">
        <f>(3+1+1+2+1+1)+(1+2+1+1+1+1+2+1+2+1+2+1+1+2+2+2+1+2+2)+(1+10+1+9+2+2+1+2+2+2+1+3+1+4+1+1+1+2+1+2)+(1+1)</f>
        <v>88</v>
      </c>
      <c r="AI5" s="10">
        <f>(1+2+2+1+1+1+1+3+1+2+2+3+1+4+2+1+6+6)+(1+2+3+2+2+1+5+1+2)</f>
        <v>59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60.9</v>
      </c>
      <c r="BK5">
        <f t="shared" ref="BK5:DD16" si="0">AVERAGE(C5:L5)</f>
        <v>60.5</v>
      </c>
      <c r="BL5">
        <f>AVERAGE(D5:M5)</f>
        <v>57.1</v>
      </c>
      <c r="BM5">
        <f t="shared" si="0"/>
        <v>52.7</v>
      </c>
      <c r="BN5">
        <f t="shared" si="0"/>
        <v>53.6</v>
      </c>
      <c r="BO5">
        <f t="shared" si="0"/>
        <v>56.2</v>
      </c>
      <c r="BP5">
        <f t="shared" si="0"/>
        <v>58.9</v>
      </c>
      <c r="BQ5">
        <f t="shared" si="0"/>
        <v>59.9</v>
      </c>
      <c r="BR5">
        <f t="shared" si="0"/>
        <v>58.555555555555557</v>
      </c>
      <c r="BS5">
        <f t="shared" si="0"/>
        <v>59.875</v>
      </c>
      <c r="BT5">
        <f t="shared" si="0"/>
        <v>52</v>
      </c>
      <c r="BU5">
        <f t="shared" si="0"/>
        <v>49.857142857142854</v>
      </c>
      <c r="BV5">
        <f t="shared" si="0"/>
        <v>55.285714285714285</v>
      </c>
      <c r="BW5">
        <f t="shared" si="0"/>
        <v>60.142857142857146</v>
      </c>
      <c r="BX5">
        <f t="shared" si="0"/>
        <v>66.285714285714292</v>
      </c>
      <c r="BY5">
        <f t="shared" si="0"/>
        <v>74</v>
      </c>
      <c r="BZ5">
        <f t="shared" si="0"/>
        <v>85.285714285714292</v>
      </c>
      <c r="CA5">
        <f t="shared" si="0"/>
        <v>93.571428571428569</v>
      </c>
      <c r="CB5">
        <f t="shared" si="0"/>
        <v>95.625</v>
      </c>
      <c r="CC5">
        <f t="shared" si="0"/>
        <v>93.111111111111114</v>
      </c>
      <c r="CD5">
        <f t="shared" si="0"/>
        <v>106.77777777777777</v>
      </c>
      <c r="CE5">
        <f t="shared" si="0"/>
        <v>108.4</v>
      </c>
      <c r="CF5">
        <f t="shared" si="0"/>
        <v>103.7</v>
      </c>
      <c r="CG5">
        <f t="shared" si="0"/>
        <v>103</v>
      </c>
      <c r="CH5">
        <f t="shared" si="0"/>
        <v>101.2</v>
      </c>
      <c r="CI5">
        <f t="shared" si="0"/>
        <v>102.88888888888889</v>
      </c>
      <c r="CJ5">
        <f t="shared" si="0"/>
        <v>100.25</v>
      </c>
      <c r="CK5">
        <f t="shared" si="0"/>
        <v>95.285714285714292</v>
      </c>
      <c r="CL5">
        <f t="shared" si="0"/>
        <v>92.833333333333329</v>
      </c>
      <c r="CM5">
        <f t="shared" si="0"/>
        <v>96.8</v>
      </c>
      <c r="CN5">
        <f t="shared" si="0"/>
        <v>85.5</v>
      </c>
      <c r="CO5">
        <f t="shared" si="0"/>
        <v>73</v>
      </c>
      <c r="CP5">
        <f t="shared" si="0"/>
        <v>73.5</v>
      </c>
      <c r="CQ5">
        <f t="shared" si="0"/>
        <v>59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74</v>
      </c>
      <c r="C6" s="14">
        <v>74</v>
      </c>
      <c r="D6" s="14">
        <v>60</v>
      </c>
      <c r="E6" s="14">
        <v>20</v>
      </c>
      <c r="F6" s="14">
        <v>113</v>
      </c>
      <c r="G6" s="14">
        <v>65</v>
      </c>
      <c r="H6" s="14">
        <v>79</v>
      </c>
      <c r="I6" s="14">
        <v>104</v>
      </c>
      <c r="J6" s="14">
        <v>81</v>
      </c>
      <c r="K6" s="14">
        <v>54</v>
      </c>
      <c r="L6" s="14">
        <v>37</v>
      </c>
      <c r="M6" s="14">
        <v>116</v>
      </c>
      <c r="N6" s="14">
        <v>85</v>
      </c>
      <c r="O6" s="14">
        <v>43</v>
      </c>
      <c r="P6" s="14">
        <v>95</v>
      </c>
      <c r="Q6" s="14">
        <v>46</v>
      </c>
      <c r="R6" s="14">
        <v>47</v>
      </c>
      <c r="S6" s="14"/>
      <c r="T6" s="14"/>
      <c r="U6" s="15">
        <v>22</v>
      </c>
      <c r="V6" s="15"/>
      <c r="W6" s="15">
        <v>100</v>
      </c>
      <c r="X6" s="15">
        <v>87</v>
      </c>
      <c r="Y6" s="15">
        <v>91</v>
      </c>
      <c r="Z6" s="15">
        <v>36</v>
      </c>
      <c r="AA6" s="15">
        <v>146</v>
      </c>
      <c r="AB6" s="15">
        <v>104</v>
      </c>
      <c r="AC6" s="15">
        <v>89</v>
      </c>
      <c r="AD6" s="15">
        <v>67</v>
      </c>
      <c r="AE6" s="124">
        <v>148</v>
      </c>
      <c r="AF6" s="124">
        <v>94</v>
      </c>
      <c r="AG6" s="124">
        <f>4+40+44+2</f>
        <v>90</v>
      </c>
      <c r="AH6" s="124">
        <f>(1+1+2+1+3+2+2+1+2+1+2+2+5+1+1+2+2+1+4+1)+(2+2+1+2+1+4+2+2+1+2+1+1+1+2+1+1+1+1+5+1)+(2+2+5+2+2+5+1+1+2+1+2+1+1+2+1+2+1+1+2)+(1+2+1+1+2+2+1+1)</f>
        <v>118</v>
      </c>
      <c r="AI6" s="124">
        <f>(3+1+2+3+1+1+2+2+1+1+1)+(1+1+3+3+2+2+4+2+1+2+1+2+1+1+1+2+2+4+1+1)+(2+1+2+1+1+1+1+4+1+10+3+2+1+3+2+1+1+1+1)+(3+3+3+1+1+2+1+1+1+1)</f>
        <v>111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72.400000000000006</v>
      </c>
      <c r="BK6">
        <f t="shared" si="0"/>
        <v>68.7</v>
      </c>
      <c r="BL6">
        <f t="shared" ref="BL6:BL16" si="2">AVERAGE(D6:M6)</f>
        <v>72.900000000000006</v>
      </c>
      <c r="BM6">
        <f t="shared" si="0"/>
        <v>75.400000000000006</v>
      </c>
      <c r="BN6">
        <f t="shared" si="0"/>
        <v>77.7</v>
      </c>
      <c r="BO6">
        <f t="shared" si="0"/>
        <v>75.900000000000006</v>
      </c>
      <c r="BP6">
        <f t="shared" si="0"/>
        <v>74</v>
      </c>
      <c r="BQ6">
        <f t="shared" si="0"/>
        <v>70.8</v>
      </c>
      <c r="BR6">
        <f t="shared" ref="BR6:BS16" si="3">AVERAGE(J6:S6)</f>
        <v>67.111111111111114</v>
      </c>
      <c r="BS6">
        <f t="shared" si="3"/>
        <v>65.375</v>
      </c>
      <c r="BT6">
        <f t="shared" si="0"/>
        <v>61.375</v>
      </c>
      <c r="BU6">
        <f t="shared" si="0"/>
        <v>64.857142857142861</v>
      </c>
      <c r="BV6">
        <f t="shared" si="0"/>
        <v>62.571428571428569</v>
      </c>
      <c r="BW6">
        <f t="shared" si="0"/>
        <v>62.857142857142854</v>
      </c>
      <c r="BX6">
        <f t="shared" si="0"/>
        <v>69.714285714285708</v>
      </c>
      <c r="BY6">
        <f t="shared" si="0"/>
        <v>61.285714285714285</v>
      </c>
      <c r="BZ6">
        <f t="shared" si="0"/>
        <v>75.571428571428569</v>
      </c>
      <c r="CA6">
        <f t="shared" si="0"/>
        <v>83.714285714285708</v>
      </c>
      <c r="CB6">
        <f t="shared" si="0"/>
        <v>84.375</v>
      </c>
      <c r="CC6">
        <f t="shared" si="0"/>
        <v>82.444444444444443</v>
      </c>
      <c r="CD6">
        <f t="shared" si="0"/>
        <v>96.444444444444443</v>
      </c>
      <c r="CE6">
        <f t="shared" si="0"/>
        <v>96.2</v>
      </c>
      <c r="CF6">
        <f t="shared" ref="CF6:CF16" si="4">AVERAGE(X6:AG6)</f>
        <v>95.2</v>
      </c>
      <c r="CG6">
        <f t="shared" ref="CG6:CG16" si="5">AVERAGE(Y6:AH6)</f>
        <v>98.3</v>
      </c>
      <c r="CH6">
        <f t="shared" ref="CH6:CH16" si="6">AVERAGE(Z6:AI6)</f>
        <v>100.3</v>
      </c>
      <c r="CI6">
        <f t="shared" ref="CI6:CI16" si="7">AVERAGE(AA6:AJ6)</f>
        <v>107.44444444444444</v>
      </c>
      <c r="CJ6">
        <f t="shared" ref="CJ6:CJ16" si="8">AVERAGE(AB6:AK6)</f>
        <v>102.625</v>
      </c>
      <c r="CK6">
        <f t="shared" ref="CK6:CK16" si="9">AVERAGE(AC6:AL6)</f>
        <v>102.42857142857143</v>
      </c>
      <c r="CL6">
        <f t="shared" ref="CL6:CL16" si="10">AVERAGE(AD6:AM6)</f>
        <v>104.66666666666667</v>
      </c>
      <c r="CM6">
        <f t="shared" ref="CM6:CM16" si="11">AVERAGE(AE6:AN6)</f>
        <v>112.2</v>
      </c>
      <c r="CN6">
        <f t="shared" ref="CN6:CN16" si="12">AVERAGE(AF6:AO6)</f>
        <v>103.25</v>
      </c>
      <c r="CO6">
        <f t="shared" ref="CO6:CO16" si="13">AVERAGE(AG6:AP6)</f>
        <v>106.33333333333333</v>
      </c>
      <c r="CP6">
        <f t="shared" ref="CP6:CP16" si="14">AVERAGE(AH6:AQ6)</f>
        <v>114.5</v>
      </c>
      <c r="CQ6">
        <f t="shared" ref="CQ6:CQ16" si="15">AVERAGE(AI6:AR6)</f>
        <v>111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91</v>
      </c>
      <c r="C7" s="16">
        <v>96</v>
      </c>
      <c r="D7" s="16">
        <v>20</v>
      </c>
      <c r="E7" s="16">
        <v>36</v>
      </c>
      <c r="F7" s="16">
        <v>99</v>
      </c>
      <c r="G7" s="16">
        <v>61</v>
      </c>
      <c r="H7" s="16">
        <v>107</v>
      </c>
      <c r="I7" s="16">
        <v>89</v>
      </c>
      <c r="J7" s="16">
        <v>79</v>
      </c>
      <c r="K7" s="16">
        <v>112</v>
      </c>
      <c r="L7" s="16">
        <v>45</v>
      </c>
      <c r="M7" s="16">
        <v>111</v>
      </c>
      <c r="N7" s="16">
        <v>64</v>
      </c>
      <c r="O7" s="16">
        <v>23</v>
      </c>
      <c r="P7" s="16">
        <v>61</v>
      </c>
      <c r="Q7" s="16">
        <v>79</v>
      </c>
      <c r="R7" s="16">
        <v>44</v>
      </c>
      <c r="S7" s="16"/>
      <c r="T7" s="16"/>
      <c r="U7" s="17">
        <v>57</v>
      </c>
      <c r="V7" s="17"/>
      <c r="W7" s="17">
        <v>189</v>
      </c>
      <c r="X7" s="17">
        <v>112</v>
      </c>
      <c r="Y7" s="17">
        <v>114</v>
      </c>
      <c r="Z7" s="17">
        <v>114</v>
      </c>
      <c r="AA7" s="17">
        <v>190</v>
      </c>
      <c r="AB7" s="17">
        <v>110</v>
      </c>
      <c r="AC7" s="17">
        <v>99</v>
      </c>
      <c r="AD7" s="17">
        <v>162</v>
      </c>
      <c r="AE7" s="10">
        <v>108</v>
      </c>
      <c r="AF7" s="10">
        <v>164</v>
      </c>
      <c r="AG7" s="10">
        <f>43+41+27</f>
        <v>111</v>
      </c>
      <c r="AH7" s="10">
        <f>(1+1+2+3+1+1+4+2+1+1+2+2)+(3+1+1+2+1+1+2+1+1+3+1+1+2+1+1+3+2+1+1+1+2)+(2+1+2+6+2+1+2+1+1)</f>
        <v>71</v>
      </c>
      <c r="AI7" s="10">
        <f>(2+1+2+2+1+2+2+3+1+1)+(1+1+1+6+4+2+4+2+1+2+4+2+1+1+1+1+1+2+2+1)+(2+1+1+8+2+4+2+2+4+1+5+2+3+7+2+7+7+1+2)+(10+1+1+4+2+1+1+1+1+2+2+1+1+1+2+1+1+2+2)+(4+2+1+4+2+2+2+2+2+11+2+1+1+2+1+1+2+2+2)+(1)</f>
        <v>204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79</v>
      </c>
      <c r="BK7">
        <f t="shared" si="0"/>
        <v>74.400000000000006</v>
      </c>
      <c r="BL7">
        <f t="shared" si="2"/>
        <v>75.900000000000006</v>
      </c>
      <c r="BM7">
        <f t="shared" si="0"/>
        <v>80.3</v>
      </c>
      <c r="BN7">
        <f t="shared" si="0"/>
        <v>79</v>
      </c>
      <c r="BO7">
        <f t="shared" si="0"/>
        <v>75.2</v>
      </c>
      <c r="BP7">
        <f t="shared" si="0"/>
        <v>77</v>
      </c>
      <c r="BQ7">
        <f t="shared" si="0"/>
        <v>70.7</v>
      </c>
      <c r="BR7">
        <f t="shared" si="3"/>
        <v>68.666666666666671</v>
      </c>
      <c r="BS7">
        <f t="shared" si="3"/>
        <v>67.375</v>
      </c>
      <c r="BT7">
        <f t="shared" si="0"/>
        <v>60.5</v>
      </c>
      <c r="BU7">
        <f t="shared" si="0"/>
        <v>62.714285714285715</v>
      </c>
      <c r="BV7">
        <f t="shared" si="0"/>
        <v>73.857142857142861</v>
      </c>
      <c r="BW7">
        <f t="shared" si="0"/>
        <v>80.714285714285708</v>
      </c>
      <c r="BX7">
        <f>AVERAGE(P7:Y7)</f>
        <v>93.714285714285708</v>
      </c>
      <c r="BY7">
        <f t="shared" si="0"/>
        <v>101.28571428571429</v>
      </c>
      <c r="BZ7">
        <f t="shared" si="0"/>
        <v>117.14285714285714</v>
      </c>
      <c r="CA7">
        <f t="shared" si="0"/>
        <v>126.57142857142857</v>
      </c>
      <c r="CB7">
        <f t="shared" si="0"/>
        <v>123.125</v>
      </c>
      <c r="CC7">
        <f t="shared" si="0"/>
        <v>127.44444444444444</v>
      </c>
      <c r="CD7">
        <f t="shared" si="0"/>
        <v>133.11111111111111</v>
      </c>
      <c r="CE7">
        <f>AVERAGE(W7:AF7)</f>
        <v>136.19999999999999</v>
      </c>
      <c r="CF7">
        <f t="shared" si="4"/>
        <v>128.4</v>
      </c>
      <c r="CG7">
        <f t="shared" si="5"/>
        <v>124.3</v>
      </c>
      <c r="CH7">
        <f t="shared" si="6"/>
        <v>133.30000000000001</v>
      </c>
      <c r="CI7">
        <f t="shared" si="7"/>
        <v>135.44444444444446</v>
      </c>
      <c r="CJ7">
        <f t="shared" si="8"/>
        <v>128.625</v>
      </c>
      <c r="CK7">
        <f t="shared" si="9"/>
        <v>131.28571428571428</v>
      </c>
      <c r="CL7">
        <f t="shared" si="10"/>
        <v>136.66666666666666</v>
      </c>
      <c r="CM7">
        <f t="shared" si="11"/>
        <v>131.6</v>
      </c>
      <c r="CN7">
        <f t="shared" si="12"/>
        <v>137.5</v>
      </c>
      <c r="CO7">
        <f t="shared" si="13"/>
        <v>128.66666666666666</v>
      </c>
      <c r="CP7">
        <f t="shared" si="14"/>
        <v>137.5</v>
      </c>
      <c r="CQ7">
        <f t="shared" si="15"/>
        <v>204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112</v>
      </c>
      <c r="C8" s="14">
        <v>94</v>
      </c>
      <c r="D8" s="14">
        <v>70</v>
      </c>
      <c r="E8" s="14">
        <v>87</v>
      </c>
      <c r="F8" s="14">
        <v>227</v>
      </c>
      <c r="G8" s="14">
        <v>119</v>
      </c>
      <c r="H8" s="14">
        <v>73</v>
      </c>
      <c r="I8" s="14">
        <v>156</v>
      </c>
      <c r="J8" s="14">
        <v>157</v>
      </c>
      <c r="K8" s="14">
        <v>79</v>
      </c>
      <c r="L8" s="14">
        <v>20</v>
      </c>
      <c r="M8" s="14">
        <v>89</v>
      </c>
      <c r="N8" s="14">
        <v>52</v>
      </c>
      <c r="O8" s="14">
        <v>62</v>
      </c>
      <c r="P8" s="14">
        <v>61</v>
      </c>
      <c r="Q8" s="14">
        <v>65</v>
      </c>
      <c r="R8" s="14">
        <v>90</v>
      </c>
      <c r="S8" s="14"/>
      <c r="T8" s="14"/>
      <c r="U8" s="15">
        <v>122</v>
      </c>
      <c r="V8" s="15"/>
      <c r="W8" s="15">
        <v>161</v>
      </c>
      <c r="X8" s="15">
        <v>162</v>
      </c>
      <c r="Y8" s="15">
        <v>72</v>
      </c>
      <c r="Z8" s="15">
        <v>120</v>
      </c>
      <c r="AA8" s="15">
        <v>169</v>
      </c>
      <c r="AB8" s="15">
        <v>242</v>
      </c>
      <c r="AC8" s="15">
        <v>127</v>
      </c>
      <c r="AD8" s="15">
        <v>172</v>
      </c>
      <c r="AE8" s="124">
        <v>196</v>
      </c>
      <c r="AF8" s="124">
        <v>224</v>
      </c>
      <c r="AG8" s="124">
        <f>5+42+33+37+20</f>
        <v>137</v>
      </c>
      <c r="AH8" s="124">
        <f>(1+2+1+1+1+1+1+2+2+2+2)+(4+2+2+1+1+2+2+2+2+2+2+1+1+1+1+1+1+1+1+1)+(2+7+2+2+1+1+2+2+1+2+2+1+1+2+1+5+5+2+1)+(1+1+2+1+1+1+1+1+2+1+1+1+3+2+1+2+1+2+1+2)+(1)</f>
        <v>118</v>
      </c>
      <c r="AI8" s="124">
        <f>(2+4+2+3+1+2+19+1+12+2+1+9+1+1+1+3+1+1)+(2+2+2+1+1+1+1+5+10+1+1+1+2+2+1+7+4+2+2)+(1+1+7+2+4+7+2+2+1+1+1+2+1+2+2+2+1+1+1+1)+(6+1+1+1+1+1+1+2+3+4+4+3+4+3+2+2+2+2+1+6)+(3+1+1+2+8+2+1+2+1+1+2+1+1+1)</f>
        <v>233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117.4</v>
      </c>
      <c r="BK8">
        <f t="shared" si="0"/>
        <v>108.2</v>
      </c>
      <c r="BL8">
        <f t="shared" si="2"/>
        <v>107.7</v>
      </c>
      <c r="BM8">
        <f t="shared" si="0"/>
        <v>105.9</v>
      </c>
      <c r="BN8">
        <f t="shared" si="0"/>
        <v>103.4</v>
      </c>
      <c r="BO8">
        <f t="shared" si="0"/>
        <v>86.8</v>
      </c>
      <c r="BP8">
        <f t="shared" si="0"/>
        <v>81.400000000000006</v>
      </c>
      <c r="BQ8">
        <f t="shared" si="0"/>
        <v>83.1</v>
      </c>
      <c r="BR8">
        <f t="shared" si="3"/>
        <v>75</v>
      </c>
      <c r="BS8">
        <f t="shared" si="3"/>
        <v>64.75</v>
      </c>
      <c r="BT8">
        <f>AVERAGE(L8:U8)</f>
        <v>70.125</v>
      </c>
      <c r="BU8">
        <f t="shared" si="0"/>
        <v>77.285714285714292</v>
      </c>
      <c r="BV8">
        <f t="shared" si="0"/>
        <v>87.571428571428569</v>
      </c>
      <c r="BW8">
        <f t="shared" si="0"/>
        <v>103.28571428571429</v>
      </c>
      <c r="BX8">
        <f t="shared" si="0"/>
        <v>104.71428571428571</v>
      </c>
      <c r="BY8">
        <f t="shared" si="0"/>
        <v>113.14285714285714</v>
      </c>
      <c r="BZ8">
        <f t="shared" si="0"/>
        <v>128</v>
      </c>
      <c r="CA8">
        <f t="shared" si="0"/>
        <v>149.71428571428572</v>
      </c>
      <c r="CB8">
        <f t="shared" si="0"/>
        <v>146.875</v>
      </c>
      <c r="CC8">
        <f t="shared" si="0"/>
        <v>149.66666666666666</v>
      </c>
      <c r="CD8">
        <f t="shared" si="0"/>
        <v>157.88888888888889</v>
      </c>
      <c r="CE8">
        <f t="shared" si="0"/>
        <v>164.5</v>
      </c>
      <c r="CF8">
        <f t="shared" si="4"/>
        <v>162.1</v>
      </c>
      <c r="CG8">
        <f t="shared" si="5"/>
        <v>157.69999999999999</v>
      </c>
      <c r="CH8">
        <f t="shared" si="6"/>
        <v>173.8</v>
      </c>
      <c r="CI8">
        <f t="shared" si="7"/>
        <v>179.77777777777777</v>
      </c>
      <c r="CJ8">
        <f t="shared" si="8"/>
        <v>181.125</v>
      </c>
      <c r="CK8">
        <f t="shared" si="9"/>
        <v>172.42857142857142</v>
      </c>
      <c r="CL8">
        <f t="shared" si="10"/>
        <v>180</v>
      </c>
      <c r="CM8">
        <f t="shared" si="11"/>
        <v>181.6</v>
      </c>
      <c r="CN8">
        <f t="shared" si="12"/>
        <v>178</v>
      </c>
      <c r="CO8">
        <f t="shared" si="13"/>
        <v>162.66666666666666</v>
      </c>
      <c r="CP8">
        <f t="shared" si="14"/>
        <v>175.5</v>
      </c>
      <c r="CQ8">
        <f t="shared" si="15"/>
        <v>233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213</v>
      </c>
      <c r="C9" s="16">
        <v>219</v>
      </c>
      <c r="D9" s="16">
        <v>281</v>
      </c>
      <c r="E9" s="16">
        <v>256</v>
      </c>
      <c r="F9" s="16">
        <v>249</v>
      </c>
      <c r="G9" s="16">
        <v>197</v>
      </c>
      <c r="H9" s="16">
        <v>223</v>
      </c>
      <c r="I9" s="16">
        <v>130</v>
      </c>
      <c r="J9" s="16">
        <v>285</v>
      </c>
      <c r="K9" s="16">
        <v>206</v>
      </c>
      <c r="L9" s="16">
        <v>82</v>
      </c>
      <c r="M9" s="16">
        <v>151</v>
      </c>
      <c r="N9" s="16">
        <v>108</v>
      </c>
      <c r="O9" s="16">
        <v>169</v>
      </c>
      <c r="P9" s="16">
        <v>144</v>
      </c>
      <c r="Q9" s="16">
        <v>86</v>
      </c>
      <c r="R9" s="16">
        <v>184</v>
      </c>
      <c r="S9" s="16"/>
      <c r="T9" s="16"/>
      <c r="U9" s="17">
        <v>188</v>
      </c>
      <c r="V9" s="17"/>
      <c r="W9" s="17">
        <v>259</v>
      </c>
      <c r="X9" s="17">
        <v>204</v>
      </c>
      <c r="Y9" s="17">
        <v>246</v>
      </c>
      <c r="Z9" s="17">
        <v>311</v>
      </c>
      <c r="AA9" s="17">
        <v>235</v>
      </c>
      <c r="AB9" s="17">
        <v>299</v>
      </c>
      <c r="AC9" s="17">
        <v>190</v>
      </c>
      <c r="AD9" s="17">
        <v>297</v>
      </c>
      <c r="AE9" s="10">
        <v>380</v>
      </c>
      <c r="AF9" s="10">
        <v>340</v>
      </c>
      <c r="AG9" s="10">
        <f>9+31+41+38+34+32+43+25</f>
        <v>253</v>
      </c>
      <c r="AH9" s="10">
        <f>(1+1+2+1+1+3+1+2+2+2+2+1+2+1+1+1+1+2+2+2)+(10+1+3+2+2+3+2+1+3+2+4+1+1+1+1+4+1+3+2)+(1+2+2+2+1+2+2+2+2+1+1+1+1+1+5+9+1+2+3+2)+(4+2+1+1+3+2+2+2+1+1+1+2+1+1+3+2+4+3+2+1)+(2+1+1+2+2+1+1+1+1+2+1+2+1+1+2+1+2+1+1+1)+(3+1+2+1+1+1+1+1+2+3+2+6+2+2+2+2+1+1+1+1)+(6+2+3+1+2+1+3+2+2+1+8+4+3+5+2+2+2+1+1)+(1+2+4+2+2+5+2+3+4+2+2+2+1+2+1+1+2+2+2)+(3+14+2+2+2+2+1+1+1+1+2+1+2+4+1+2+1+1+1+1)</f>
        <v>361</v>
      </c>
      <c r="AI9" s="10">
        <f>(2+1+1+3)+(2+2+2+2+2+1+4+2+3+4+2+3+3+1+3+1+2+1+1)+(1+1+2+2+3+2+2+2+1+1+1+1+1+3+2+5+1+1+1+1)+(3+2+2+10+1+1+1+1+2+1+1+1+1+1+3+2+1+2)+(2+1+13+2+1+2+1+1+2+6+1+2+2+2+2+2+1+1+1+4)+(1+2+3+1+2+3+1+1+3+1+1+3+5+2+6+2+1+1+1)+(2+1+1+1+1+2+2+2+1+2+2+5+1+2+2+6+1+2+2)+(3+4+1+1+1+1+2+2)</f>
        <v>260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225.9</v>
      </c>
      <c r="BK9">
        <f t="shared" si="0"/>
        <v>212.8</v>
      </c>
      <c r="BL9">
        <f t="shared" si="2"/>
        <v>206</v>
      </c>
      <c r="BM9">
        <f t="shared" si="0"/>
        <v>188.7</v>
      </c>
      <c r="BN9">
        <f t="shared" si="0"/>
        <v>180</v>
      </c>
      <c r="BO9">
        <f t="shared" si="0"/>
        <v>169.5</v>
      </c>
      <c r="BP9">
        <f t="shared" si="0"/>
        <v>158.4</v>
      </c>
      <c r="BQ9">
        <f t="shared" si="0"/>
        <v>154.5</v>
      </c>
      <c r="BR9">
        <f t="shared" si="3"/>
        <v>157.22222222222223</v>
      </c>
      <c r="BS9">
        <f t="shared" si="3"/>
        <v>141.25</v>
      </c>
      <c r="BT9">
        <f t="shared" si="0"/>
        <v>139</v>
      </c>
      <c r="BU9">
        <f t="shared" si="0"/>
        <v>147.14285714285714</v>
      </c>
      <c r="BV9">
        <f t="shared" si="0"/>
        <v>162.57142857142858</v>
      </c>
      <c r="BW9">
        <f t="shared" si="0"/>
        <v>176.28571428571428</v>
      </c>
      <c r="BX9">
        <f t="shared" si="0"/>
        <v>187.28571428571428</v>
      </c>
      <c r="BY9">
        <f t="shared" si="0"/>
        <v>211.14285714285714</v>
      </c>
      <c r="BZ9">
        <f t="shared" si="0"/>
        <v>232.42857142857142</v>
      </c>
      <c r="CA9">
        <f t="shared" si="0"/>
        <v>248.85714285714286</v>
      </c>
      <c r="CB9">
        <f t="shared" si="0"/>
        <v>241.5</v>
      </c>
      <c r="CC9">
        <f t="shared" si="0"/>
        <v>247.66666666666666</v>
      </c>
      <c r="CD9">
        <f t="shared" si="0"/>
        <v>269</v>
      </c>
      <c r="CE9">
        <f t="shared" si="0"/>
        <v>276.10000000000002</v>
      </c>
      <c r="CF9">
        <f t="shared" si="4"/>
        <v>275.5</v>
      </c>
      <c r="CG9">
        <f t="shared" si="5"/>
        <v>291.2</v>
      </c>
      <c r="CH9">
        <f t="shared" si="6"/>
        <v>292.60000000000002</v>
      </c>
      <c r="CI9">
        <f t="shared" si="7"/>
        <v>290.55555555555554</v>
      </c>
      <c r="CJ9">
        <f t="shared" si="8"/>
        <v>297.5</v>
      </c>
      <c r="CK9">
        <f t="shared" si="9"/>
        <v>297.28571428571428</v>
      </c>
      <c r="CL9">
        <f t="shared" si="10"/>
        <v>315.16666666666669</v>
      </c>
      <c r="CM9">
        <f t="shared" si="11"/>
        <v>318.8</v>
      </c>
      <c r="CN9">
        <f t="shared" si="12"/>
        <v>303.5</v>
      </c>
      <c r="CO9">
        <f t="shared" si="13"/>
        <v>291.33333333333331</v>
      </c>
      <c r="CP9">
        <f t="shared" si="14"/>
        <v>310.5</v>
      </c>
      <c r="CQ9">
        <f t="shared" si="15"/>
        <v>260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160</v>
      </c>
      <c r="C10" s="14">
        <v>244</v>
      </c>
      <c r="D10" s="14">
        <v>214</v>
      </c>
      <c r="E10" s="14">
        <v>182</v>
      </c>
      <c r="F10" s="14">
        <v>194</v>
      </c>
      <c r="G10" s="14">
        <v>170</v>
      </c>
      <c r="H10" s="14">
        <v>180</v>
      </c>
      <c r="I10" s="14">
        <v>171</v>
      </c>
      <c r="J10" s="14">
        <v>212</v>
      </c>
      <c r="K10" s="14">
        <v>129</v>
      </c>
      <c r="L10" s="14">
        <v>66</v>
      </c>
      <c r="M10" s="14">
        <v>157</v>
      </c>
      <c r="N10" s="14">
        <v>116</v>
      </c>
      <c r="O10" s="14">
        <v>166</v>
      </c>
      <c r="P10" s="14">
        <v>180</v>
      </c>
      <c r="Q10" s="14">
        <v>121</v>
      </c>
      <c r="R10" s="14">
        <v>110</v>
      </c>
      <c r="S10" s="14"/>
      <c r="T10" s="14"/>
      <c r="U10" s="15">
        <v>161</v>
      </c>
      <c r="V10" s="15"/>
      <c r="W10" s="15">
        <v>196</v>
      </c>
      <c r="X10" s="15">
        <v>191</v>
      </c>
      <c r="Y10" s="15">
        <v>264</v>
      </c>
      <c r="Z10" s="15">
        <v>205</v>
      </c>
      <c r="AA10" s="15">
        <v>284</v>
      </c>
      <c r="AB10" s="15">
        <v>158</v>
      </c>
      <c r="AC10" s="15">
        <v>293</v>
      </c>
      <c r="AD10" s="15">
        <v>297</v>
      </c>
      <c r="AE10" s="124">
        <v>389</v>
      </c>
      <c r="AF10" s="124">
        <v>438</v>
      </c>
      <c r="AG10" s="124">
        <f>21+40+35+38+37+48+43+40+36+43</f>
        <v>381</v>
      </c>
      <c r="AH10" s="124">
        <f>(1+3+1+1+4+1+1+1+3+1+1+1+2+2+3+1+3+2+1+1)+(3+2+1+2+1+3+1+1+1+1+1+6+1+30+1+1+1+1)+(1+1+1+1+1+1+2+1+1+1+1+3+1+4+1+3+1+2+1+2)+(2+1+1+1+2+1+1+1+1+1+1+1+2+2+1+1+3+2+1+7)+(1+1+2+5+2+1+2+2+2+2+2+2+2+4+2+1+1+1+2+1)+(1+1+1+2+1+1+1+1+2+1+2+1+1+2+2+1+1+4+1)+(2+5+1+2+2+1+1+3+1+4+3+1+1+1+1+2+4+2+3+2)+(1+2+2+2+3)</f>
        <v>272</v>
      </c>
      <c r="AI10" s="124">
        <f>(2+1+1+1+1+5+2+2+11+1+8+2)+(1+1+1+1+2+2+1+2+2+1+4+1+1+1+1+2+2+1+2+2)+(1+3+2+6+2+2+1+1+2+4+1+1+1+1+2+3+1+1+1+4)+(1+2+2+2+1+1+1+2+3+1+12+1+1+1+3+3+1+1+5+2)+(1+1+12+2+2+1+3+1+1+7+1+1+2+3+1+3+2+1+1+2)+(1+1+4+1+1+2+2+2+1+2+1+2+2+4+2+3+1+1)+(2+2+3+1+1+3+1+2+2+1+1+2+1+1+2+3+2+1+4+2)+(2+2+2+2+1)</f>
        <v>281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185.6</v>
      </c>
      <c r="BK10">
        <f t="shared" si="0"/>
        <v>176.2</v>
      </c>
      <c r="BL10">
        <f t="shared" si="2"/>
        <v>167.5</v>
      </c>
      <c r="BM10">
        <f t="shared" si="0"/>
        <v>157.69999999999999</v>
      </c>
      <c r="BN10">
        <f t="shared" si="0"/>
        <v>156.1</v>
      </c>
      <c r="BO10">
        <f t="shared" si="0"/>
        <v>154.69999999999999</v>
      </c>
      <c r="BP10">
        <f t="shared" si="0"/>
        <v>149.80000000000001</v>
      </c>
      <c r="BQ10">
        <f t="shared" si="0"/>
        <v>142.80000000000001</v>
      </c>
      <c r="BR10">
        <f t="shared" si="3"/>
        <v>139.66666666666666</v>
      </c>
      <c r="BS10">
        <f t="shared" si="3"/>
        <v>130.625</v>
      </c>
      <c r="BT10">
        <f t="shared" si="0"/>
        <v>134.625</v>
      </c>
      <c r="BU10">
        <f t="shared" si="0"/>
        <v>144.42857142857142</v>
      </c>
      <c r="BV10">
        <f t="shared" si="0"/>
        <v>150</v>
      </c>
      <c r="BW10">
        <f t="shared" si="0"/>
        <v>160.71428571428572</v>
      </c>
      <c r="BX10">
        <f t="shared" si="0"/>
        <v>174.71428571428572</v>
      </c>
      <c r="BY10">
        <f t="shared" si="0"/>
        <v>178.28571428571428</v>
      </c>
      <c r="BZ10">
        <f t="shared" si="0"/>
        <v>201.57142857142858</v>
      </c>
      <c r="CA10">
        <f t="shared" si="0"/>
        <v>208.42857142857142</v>
      </c>
      <c r="CB10">
        <f t="shared" si="0"/>
        <v>219</v>
      </c>
      <c r="CC10">
        <f t="shared" si="0"/>
        <v>227.66666666666666</v>
      </c>
      <c r="CD10">
        <f t="shared" si="0"/>
        <v>253</v>
      </c>
      <c r="CE10">
        <f t="shared" si="0"/>
        <v>271.5</v>
      </c>
      <c r="CF10">
        <f t="shared" si="4"/>
        <v>290</v>
      </c>
      <c r="CG10">
        <f t="shared" si="5"/>
        <v>298.10000000000002</v>
      </c>
      <c r="CH10">
        <f t="shared" si="6"/>
        <v>299.8</v>
      </c>
      <c r="CI10">
        <f t="shared" si="7"/>
        <v>310.33333333333331</v>
      </c>
      <c r="CJ10">
        <f t="shared" si="8"/>
        <v>313.625</v>
      </c>
      <c r="CK10">
        <f t="shared" si="9"/>
        <v>335.85714285714283</v>
      </c>
      <c r="CL10">
        <f t="shared" si="10"/>
        <v>343</v>
      </c>
      <c r="CM10">
        <f t="shared" si="11"/>
        <v>352.2</v>
      </c>
      <c r="CN10">
        <f t="shared" si="12"/>
        <v>343</v>
      </c>
      <c r="CO10">
        <f t="shared" si="13"/>
        <v>311.33333333333331</v>
      </c>
      <c r="CP10">
        <f t="shared" si="14"/>
        <v>276.5</v>
      </c>
      <c r="CQ10">
        <f t="shared" si="15"/>
        <v>281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210</v>
      </c>
      <c r="C11" s="16">
        <v>279</v>
      </c>
      <c r="D11" s="16">
        <v>507</v>
      </c>
      <c r="E11" s="16">
        <v>307</v>
      </c>
      <c r="F11" s="16">
        <v>267</v>
      </c>
      <c r="G11" s="16">
        <v>197</v>
      </c>
      <c r="H11" s="16">
        <v>239</v>
      </c>
      <c r="I11" s="16">
        <v>325</v>
      </c>
      <c r="J11" s="16">
        <v>302</v>
      </c>
      <c r="K11" s="16">
        <v>260</v>
      </c>
      <c r="L11" s="16">
        <v>141</v>
      </c>
      <c r="M11" s="16">
        <v>237</v>
      </c>
      <c r="N11" s="16">
        <v>209</v>
      </c>
      <c r="O11" s="16">
        <v>178</v>
      </c>
      <c r="P11" s="16">
        <v>234</v>
      </c>
      <c r="Q11" s="16">
        <v>161</v>
      </c>
      <c r="R11" s="16">
        <v>226</v>
      </c>
      <c r="S11" s="16"/>
      <c r="T11" s="16"/>
      <c r="U11" s="17">
        <v>247</v>
      </c>
      <c r="V11" s="17"/>
      <c r="W11" s="17">
        <v>260</v>
      </c>
      <c r="X11" s="17">
        <v>209</v>
      </c>
      <c r="Y11" s="17">
        <v>241</v>
      </c>
      <c r="Z11" s="17">
        <v>294</v>
      </c>
      <c r="AA11" s="17">
        <v>313</v>
      </c>
      <c r="AB11" s="17">
        <v>426</v>
      </c>
      <c r="AC11" s="17">
        <v>238</v>
      </c>
      <c r="AD11" s="17">
        <v>338</v>
      </c>
      <c r="AE11" s="10">
        <v>461</v>
      </c>
      <c r="AF11" s="10">
        <v>249</v>
      </c>
      <c r="AG11" s="10">
        <f>12+44+46+38+60+40+49+54+41+2</f>
        <v>386</v>
      </c>
      <c r="AH11" s="10">
        <f>(1+2+5+8+2+1+1+5+2+2+1+1+1+2+3)+(2+2+2+1+1+1+2+1+1+1+1+1+1+2+1+1+2+2+2+1)+(1+2+2+1+3+6+1+2+1+1+1+1+1+1+2+13+1+1+2+3)+(1+1+2+1+2+1+2+2+3+2+2+2+3+1+2+1+2+1+2)+(2+1+1+1+5+1+2+2+1+2+2+1+2+2+2+1+1+1+1)+(1+1+1+1+2+1+1+1+2+10+2)+(2+2+2+4+1+1+2+1+3+4+2+1+2+9+2+2+2+1+2)+(2+2+1+2+1+5+1+1+1+4+1+2+2+4+1+1+1+6+2)+(1+1+1+1+2+4+1+1+8+2+3+2)</f>
        <v>310</v>
      </c>
      <c r="AI11" s="10">
        <f>(1+1+2+4+3+1+1+4+2+2+2+1+1)+(3+2+2+1+4+2+5+1+1+3+2+2+2+2+2+3+2+1+3)+(2+1+3+1+1+2+3+1+4+1+1+1+2+2+2+1+1+1+2)+(1+2+3+2+2+1+4+5+7+1+5+1+1+2+1+2+4+1+2+1)+(2+11+1+2+1+1+1+1+2+2+1+1+2+2+1+2+1+2+2+1)+(1+2+1+1+1+1+2+2+1+2+1+13+2+2+2+1+2+2+1+1)+(1+1+2+1+1+10+1+1+1+1+1+2+2+4+2+2+2+5+1+1)+(1+1+1+1+2+2+1+4+2+1+3+1+2+1)</f>
        <v>293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289.3</v>
      </c>
      <c r="BK11">
        <f t="shared" si="0"/>
        <v>282.39999999999998</v>
      </c>
      <c r="BL11">
        <f t="shared" si="2"/>
        <v>278.2</v>
      </c>
      <c r="BM11">
        <f t="shared" si="0"/>
        <v>248.4</v>
      </c>
      <c r="BN11">
        <f t="shared" si="0"/>
        <v>235.5</v>
      </c>
      <c r="BO11">
        <f t="shared" si="0"/>
        <v>232.2</v>
      </c>
      <c r="BP11">
        <f t="shared" si="0"/>
        <v>228.6</v>
      </c>
      <c r="BQ11">
        <f t="shared" si="0"/>
        <v>227.3</v>
      </c>
      <c r="BR11">
        <f t="shared" si="3"/>
        <v>216.44444444444446</v>
      </c>
      <c r="BS11">
        <f t="shared" si="3"/>
        <v>205.75</v>
      </c>
      <c r="BT11">
        <f t="shared" si="0"/>
        <v>204.125</v>
      </c>
      <c r="BU11">
        <f t="shared" si="0"/>
        <v>213.14285714285714</v>
      </c>
      <c r="BV11">
        <f t="shared" si="0"/>
        <v>216.42857142857142</v>
      </c>
      <c r="BW11">
        <f t="shared" si="0"/>
        <v>216.42857142857142</v>
      </c>
      <c r="BX11">
        <f t="shared" si="0"/>
        <v>225.42857142857142</v>
      </c>
      <c r="BY11">
        <f t="shared" si="0"/>
        <v>234</v>
      </c>
      <c r="BZ11">
        <f t="shared" si="0"/>
        <v>255.71428571428572</v>
      </c>
      <c r="CA11">
        <f t="shared" si="0"/>
        <v>284.28571428571428</v>
      </c>
      <c r="CB11">
        <f t="shared" si="0"/>
        <v>278.5</v>
      </c>
      <c r="CC11">
        <f t="shared" si="0"/>
        <v>285.11111111111109</v>
      </c>
      <c r="CD11">
        <f t="shared" si="0"/>
        <v>308.88888888888891</v>
      </c>
      <c r="CE11">
        <f t="shared" si="0"/>
        <v>302.89999999999998</v>
      </c>
      <c r="CF11">
        <f t="shared" si="4"/>
        <v>315.5</v>
      </c>
      <c r="CG11">
        <f t="shared" si="5"/>
        <v>325.60000000000002</v>
      </c>
      <c r="CH11">
        <f t="shared" si="6"/>
        <v>330.8</v>
      </c>
      <c r="CI11">
        <f t="shared" si="7"/>
        <v>334.88888888888891</v>
      </c>
      <c r="CJ11">
        <f t="shared" si="8"/>
        <v>337.625</v>
      </c>
      <c r="CK11">
        <f t="shared" si="9"/>
        <v>325</v>
      </c>
      <c r="CL11">
        <f t="shared" si="10"/>
        <v>339.5</v>
      </c>
      <c r="CM11">
        <f t="shared" si="11"/>
        <v>339.8</v>
      </c>
      <c r="CN11">
        <f t="shared" si="12"/>
        <v>309.5</v>
      </c>
      <c r="CO11">
        <f t="shared" si="13"/>
        <v>329.66666666666669</v>
      </c>
      <c r="CP11">
        <f t="shared" si="14"/>
        <v>301.5</v>
      </c>
      <c r="CQ11">
        <f t="shared" si="15"/>
        <v>293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384</v>
      </c>
      <c r="C12" s="14">
        <v>234</v>
      </c>
      <c r="D12" s="14">
        <v>284</v>
      </c>
      <c r="E12" s="14">
        <v>282</v>
      </c>
      <c r="F12" s="14">
        <v>304</v>
      </c>
      <c r="G12" s="14">
        <v>253</v>
      </c>
      <c r="H12" s="14">
        <v>259</v>
      </c>
      <c r="I12" s="14">
        <v>285</v>
      </c>
      <c r="J12" s="14">
        <v>287</v>
      </c>
      <c r="K12" s="14">
        <v>246</v>
      </c>
      <c r="L12" s="14">
        <v>71</v>
      </c>
      <c r="M12" s="14">
        <v>214</v>
      </c>
      <c r="N12" s="14">
        <v>246</v>
      </c>
      <c r="O12" s="14">
        <v>151</v>
      </c>
      <c r="P12" s="14">
        <v>203</v>
      </c>
      <c r="Q12" s="14">
        <v>145</v>
      </c>
      <c r="R12" s="14">
        <v>179</v>
      </c>
      <c r="S12" s="14"/>
      <c r="T12" s="14"/>
      <c r="U12" s="15">
        <v>187</v>
      </c>
      <c r="V12" s="15"/>
      <c r="W12" s="15">
        <v>222</v>
      </c>
      <c r="X12" s="15">
        <v>334</v>
      </c>
      <c r="Y12" s="15">
        <v>272</v>
      </c>
      <c r="Z12" s="15">
        <v>381</v>
      </c>
      <c r="AA12" s="15">
        <v>288</v>
      </c>
      <c r="AB12" s="15">
        <v>261</v>
      </c>
      <c r="AC12" s="15">
        <v>270</v>
      </c>
      <c r="AD12" s="15">
        <v>319</v>
      </c>
      <c r="AE12" s="124">
        <v>438</v>
      </c>
      <c r="AF12" s="124">
        <v>299</v>
      </c>
      <c r="AG12" s="124">
        <f>30+26+(1+1+2+2+2+2+1+1+2+2+1+2+2+2+2+2+1+1+7)+(4+2+1+1+3+5+2+1+2+1+1+2+8+2+2+1+2+2+2+1)+(2+1+1+1+2+1+1+1+2+1+1+1+7+2+1+2+5+1+2+3)+(4+1+2+1+2+2+3+2+1+2+1+1+7+2+2+1+1+2+1+2)+(2+4+1+1+6+2+1+4+2+4+2+2+1+1+1+8+1+2)+(5+2+2+3+5+4+4+2+1+1+1+3+1+2+3+3+6+1+1)+(1+2+4+1+1+1+1+1+1+1+1)</f>
        <v>325</v>
      </c>
      <c r="AH12" s="124">
        <f>(1+1+1+2+1+4+1)+(1+1+4+1+2+1+2+2+2+1+2+2+2+1+1+1+1+2+2)+(1+5+4+2+2+1+3+1+3+8+2+2+1+4+4+1+2+1+1)+(1+2+2+2+2+3+2+2+5+1+1+1+2+2+1+8+1+3)+(1+1+2+2+2+2+2+1+1+1+5+1+2+3+2)+(4+2+4+2+2+1+1+1+1+1+1+5+1+7+2+1+1+1+2+2)+(3+5+1+1+1+2+2+1+1+2+1+1+1+2+1+3+1+2+2)+(2+1+1+3+1+1+1+6+2+1+2+3+2+2)+(1+1+2+2+2+2+2+2+2+1+2+1+2+3+1+1+3)</f>
        <v>292</v>
      </c>
      <c r="AI12" s="124">
        <f>(1+2+10+1+1)+(6+1+1+3+1+6+5+1+1+2+3+2+2+2+1+2+1+2+2+1)+(1+2+13+3+8+1+1+2+1+1+1+2+6+2+1+2+3+1+1+2)+(1+2+1+6+1+2+2+1+2+1+1+4+2+1+2+1+1+3+1+2)+(2+2+1+1+2+2+1+1+1+4+2+8+2+1+2+2+1+1+2+1)+(2+2+1+1+2+1+1+5+4+4+1+3+2+1+1+1+3+1)+(1+1+2+1+5+2+2+8+5+2+1+2+2+3+1+2+4)</f>
        <v>270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281.8</v>
      </c>
      <c r="BK12">
        <f t="shared" si="0"/>
        <v>250.5</v>
      </c>
      <c r="BL12">
        <f t="shared" si="2"/>
        <v>248.5</v>
      </c>
      <c r="BM12">
        <f t="shared" si="0"/>
        <v>244.7</v>
      </c>
      <c r="BN12">
        <f t="shared" si="0"/>
        <v>231.6</v>
      </c>
      <c r="BO12">
        <f t="shared" si="0"/>
        <v>221.5</v>
      </c>
      <c r="BP12">
        <f t="shared" si="0"/>
        <v>210.7</v>
      </c>
      <c r="BQ12">
        <f t="shared" si="0"/>
        <v>202.7</v>
      </c>
      <c r="BR12">
        <f t="shared" si="3"/>
        <v>193.55555555555554</v>
      </c>
      <c r="BS12">
        <f t="shared" si="3"/>
        <v>181.875</v>
      </c>
      <c r="BT12">
        <f t="shared" si="0"/>
        <v>174.5</v>
      </c>
      <c r="BU12">
        <f t="shared" si="0"/>
        <v>189.28571428571428</v>
      </c>
      <c r="BV12">
        <f t="shared" si="0"/>
        <v>190.42857142857142</v>
      </c>
      <c r="BW12">
        <f t="shared" si="0"/>
        <v>203</v>
      </c>
      <c r="BX12">
        <f t="shared" si="0"/>
        <v>220.28571428571428</v>
      </c>
      <c r="BY12">
        <f t="shared" si="0"/>
        <v>245.71428571428572</v>
      </c>
      <c r="BZ12">
        <f t="shared" si="0"/>
        <v>266.14285714285717</v>
      </c>
      <c r="CA12">
        <f t="shared" si="0"/>
        <v>277.85714285714283</v>
      </c>
      <c r="CB12">
        <f t="shared" si="0"/>
        <v>276.875</v>
      </c>
      <c r="CC12">
        <f t="shared" si="0"/>
        <v>281.55555555555554</v>
      </c>
      <c r="CD12">
        <f t="shared" si="0"/>
        <v>309.44444444444446</v>
      </c>
      <c r="CE12">
        <f t="shared" si="0"/>
        <v>308.39999999999998</v>
      </c>
      <c r="CF12">
        <f t="shared" si="4"/>
        <v>318.7</v>
      </c>
      <c r="CG12">
        <f t="shared" si="5"/>
        <v>314.5</v>
      </c>
      <c r="CH12">
        <f t="shared" si="6"/>
        <v>314.3</v>
      </c>
      <c r="CI12">
        <f t="shared" si="7"/>
        <v>306.88888888888891</v>
      </c>
      <c r="CJ12">
        <f t="shared" si="8"/>
        <v>309.25</v>
      </c>
      <c r="CK12">
        <f t="shared" si="9"/>
        <v>316.14285714285717</v>
      </c>
      <c r="CL12">
        <f t="shared" si="10"/>
        <v>323.83333333333331</v>
      </c>
      <c r="CM12">
        <f t="shared" si="11"/>
        <v>324.8</v>
      </c>
      <c r="CN12">
        <f t="shared" si="12"/>
        <v>296.5</v>
      </c>
      <c r="CO12">
        <f t="shared" si="13"/>
        <v>295.66666666666669</v>
      </c>
      <c r="CP12">
        <f t="shared" si="14"/>
        <v>281</v>
      </c>
      <c r="CQ12">
        <f t="shared" si="15"/>
        <v>270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220</v>
      </c>
      <c r="C13" s="16">
        <v>182</v>
      </c>
      <c r="D13" s="16">
        <v>227</v>
      </c>
      <c r="E13" s="16">
        <v>213</v>
      </c>
      <c r="F13" s="16">
        <v>252</v>
      </c>
      <c r="G13" s="16">
        <v>134</v>
      </c>
      <c r="H13" s="16">
        <v>184</v>
      </c>
      <c r="I13" s="16">
        <v>314</v>
      </c>
      <c r="J13" s="16">
        <v>275</v>
      </c>
      <c r="K13" s="16">
        <v>178</v>
      </c>
      <c r="L13" s="16">
        <v>73</v>
      </c>
      <c r="M13" s="16">
        <v>99</v>
      </c>
      <c r="N13" s="16">
        <v>90</v>
      </c>
      <c r="O13" s="16">
        <v>145</v>
      </c>
      <c r="P13" s="16">
        <v>158</v>
      </c>
      <c r="Q13" s="16">
        <v>139</v>
      </c>
      <c r="R13" s="16">
        <v>173</v>
      </c>
      <c r="S13" s="16"/>
      <c r="T13" s="16"/>
      <c r="U13" s="17">
        <v>177</v>
      </c>
      <c r="V13" s="17"/>
      <c r="W13" s="17">
        <v>224</v>
      </c>
      <c r="X13" s="17">
        <v>212</v>
      </c>
      <c r="Y13" s="17">
        <v>143</v>
      </c>
      <c r="Z13" s="17">
        <v>252</v>
      </c>
      <c r="AA13" s="17">
        <v>277</v>
      </c>
      <c r="AB13" s="17">
        <v>305</v>
      </c>
      <c r="AC13" s="17">
        <v>217</v>
      </c>
      <c r="AD13" s="17">
        <v>263</v>
      </c>
      <c r="AE13" s="10">
        <v>457</v>
      </c>
      <c r="AF13" s="10">
        <v>293</v>
      </c>
      <c r="AG13" s="10">
        <f>(2+4+1+2+3+2+2+2+2)+(1+3+1+1+2+2+2+1+4+1+3+1+2+2+2+2+2+2+2)+(2+2+4+1+1+1+1+2+2+7+1+1+1+2+1+2+1+2+1+2)+(2+3+2+2+2+1+5+1+2+2+2+1+1+1+1+1+2+2+1)+(1+1+5+1+2+1+1+2+1+2+2+2+2+2+3+1+3+1+1+4)+(2+2+2+1+5+2+2+2+1+2+1+6+2+2+1+1+1+2)+(1+3+2+2+2+2+2+3+1+4+4+1+1+4+2+3+2+2+4+2)+(2+1+1+4+2+2+3+10+1+1+1+9+1+1+2+2+3+1+1)+(2)</f>
        <v>299</v>
      </c>
      <c r="AH13" s="10">
        <f>(1+2+2)+(3+1+1+1+2+2+1+1+6+1+3+1+1+1+1+1+1+1+1+2)+(1+1+3+1+1+2+3+2+2+2+1+2+2+3+3+2+2+2+1)+(2+7+1+1+2+4+2+1+1+1+2+3+1+1+1+1+1+1+4+1)+(2+1+7+1+5+1+1+11+2+1+1+2+1+1+1+1+2+2+2+2)+(2+4+1+6+1+2+1+1+2+4+2+1+7+2+2+1+2)+(1+1+1+1+3+2+2+2+1+2+1+1+2+1+8+1+2+3+4+1)+(3+1)</f>
        <v>243</v>
      </c>
      <c r="AI13" s="10">
        <f>(1+1+2)+(1+3+4+2+2+2+1+2+1+2+1+3+1+1+1+2+3+1+5+1)+(2+1+2+1+6+1+2+2+1+2+2+1+1+1+2+1+2+5+2+1)+(1+2+1+2+2+1+7+4+1+2+1+1+4+2+4+4+1+1+8)+(4+3+1+2+1+2+9+1+2+2+2+4+2+2+1+5+2+3+2)+(2+1+1+3+1+2+2+2+1+1+1+2+2+1+2+1+4+2+3)+(2+2+1+1+4+2+1+1+2+1+2+5+2+1+2)</f>
        <v>243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217.9</v>
      </c>
      <c r="BK13">
        <f t="shared" si="0"/>
        <v>203.2</v>
      </c>
      <c r="BL13">
        <f t="shared" si="2"/>
        <v>194.9</v>
      </c>
      <c r="BM13">
        <f t="shared" si="0"/>
        <v>181.2</v>
      </c>
      <c r="BN13">
        <f t="shared" si="0"/>
        <v>174.4</v>
      </c>
      <c r="BO13">
        <f t="shared" si="0"/>
        <v>165</v>
      </c>
      <c r="BP13">
        <f t="shared" si="0"/>
        <v>165.5</v>
      </c>
      <c r="BQ13">
        <f t="shared" si="0"/>
        <v>164.4</v>
      </c>
      <c r="BR13">
        <f t="shared" si="3"/>
        <v>147.77777777777777</v>
      </c>
      <c r="BS13">
        <f t="shared" si="3"/>
        <v>131.875</v>
      </c>
      <c r="BT13">
        <f t="shared" si="0"/>
        <v>131.75</v>
      </c>
      <c r="BU13">
        <f t="shared" si="0"/>
        <v>140.14285714285714</v>
      </c>
      <c r="BV13">
        <f t="shared" si="0"/>
        <v>158</v>
      </c>
      <c r="BW13">
        <f t="shared" si="0"/>
        <v>175.42857142857142</v>
      </c>
      <c r="BX13">
        <f t="shared" si="0"/>
        <v>175.14285714285714</v>
      </c>
      <c r="BY13">
        <f t="shared" si="0"/>
        <v>188.57142857142858</v>
      </c>
      <c r="BZ13">
        <f t="shared" si="0"/>
        <v>208.28571428571428</v>
      </c>
      <c r="CA13">
        <f t="shared" si="0"/>
        <v>227.14285714285714</v>
      </c>
      <c r="CB13">
        <f t="shared" si="0"/>
        <v>225.875</v>
      </c>
      <c r="CC13">
        <f t="shared" si="0"/>
        <v>230</v>
      </c>
      <c r="CD13">
        <f t="shared" si="0"/>
        <v>261.11111111111109</v>
      </c>
      <c r="CE13">
        <f t="shared" si="0"/>
        <v>264.3</v>
      </c>
      <c r="CF13">
        <f t="shared" si="4"/>
        <v>271.8</v>
      </c>
      <c r="CG13">
        <f t="shared" si="5"/>
        <v>274.89999999999998</v>
      </c>
      <c r="CH13">
        <f t="shared" si="6"/>
        <v>284.89999999999998</v>
      </c>
      <c r="CI13">
        <f t="shared" si="7"/>
        <v>288.55555555555554</v>
      </c>
      <c r="CJ13">
        <f t="shared" si="8"/>
        <v>290</v>
      </c>
      <c r="CK13">
        <f t="shared" si="9"/>
        <v>287.85714285714283</v>
      </c>
      <c r="CL13">
        <f t="shared" si="10"/>
        <v>299.66666666666669</v>
      </c>
      <c r="CM13">
        <f t="shared" si="11"/>
        <v>307</v>
      </c>
      <c r="CN13">
        <f t="shared" si="12"/>
        <v>269.5</v>
      </c>
      <c r="CO13">
        <f t="shared" si="13"/>
        <v>261.66666666666669</v>
      </c>
      <c r="CP13">
        <f t="shared" si="14"/>
        <v>243</v>
      </c>
      <c r="CQ13">
        <f t="shared" si="15"/>
        <v>243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341</v>
      </c>
      <c r="C14" s="14">
        <v>317</v>
      </c>
      <c r="D14" s="14">
        <v>301</v>
      </c>
      <c r="E14" s="14">
        <v>296</v>
      </c>
      <c r="F14" s="14">
        <v>150</v>
      </c>
      <c r="G14" s="14">
        <v>269</v>
      </c>
      <c r="H14" s="14">
        <v>265</v>
      </c>
      <c r="I14" s="14">
        <v>261</v>
      </c>
      <c r="J14" s="14">
        <v>140</v>
      </c>
      <c r="K14" s="14">
        <v>212</v>
      </c>
      <c r="L14" s="14">
        <v>114</v>
      </c>
      <c r="M14" s="14">
        <v>107</v>
      </c>
      <c r="N14" s="14">
        <v>135</v>
      </c>
      <c r="O14" s="14">
        <v>196</v>
      </c>
      <c r="P14" s="14">
        <v>99</v>
      </c>
      <c r="Q14" s="14">
        <v>198</v>
      </c>
      <c r="R14" s="14">
        <v>198</v>
      </c>
      <c r="S14" s="14"/>
      <c r="T14" s="14"/>
      <c r="U14" s="15">
        <v>195</v>
      </c>
      <c r="V14" s="15"/>
      <c r="W14" s="15">
        <v>183</v>
      </c>
      <c r="X14" s="15">
        <v>296</v>
      </c>
      <c r="Y14" s="15">
        <v>228</v>
      </c>
      <c r="Z14" s="15">
        <v>289</v>
      </c>
      <c r="AA14" s="15">
        <v>343</v>
      </c>
      <c r="AB14" s="15">
        <v>257</v>
      </c>
      <c r="AC14" s="15">
        <v>251</v>
      </c>
      <c r="AD14" s="15">
        <v>304</v>
      </c>
      <c r="AE14" s="124">
        <v>479</v>
      </c>
      <c r="AF14" s="124">
        <v>254</v>
      </c>
      <c r="AG14" s="124">
        <f>(2+2+6+4+2+8+4+2+2+7+2+3+2+3+1+2+1+1+2)+(1+1+1+2+1+1+1+3+3+1+3+4+2+1+2+2+1+4+1)+(2+1+2+2+2+2+2+2+2+3+2+4+1+1+1+3+2+1+3+2)+(3+2+1+1+3+2+4+2+1+1+1+2+1+1+1+2+1+1)+(1+4+3+2+3+3+1+1+3+3+1+1+4+3+2+1+2+5+5)+(2+5+2+2+2+4+5+3+3+1+3+5+2+2+3+2+2+1+1+1)+(1+1+5+3+2+2+2+1+3+2+4+1+1+2+1+6+3+2+3)+(2+4+3+5+2+3+1+2+2+2+2+1+1+2+1+1+2+1+5)+(2+2+1+1+2+2+2+1)</f>
        <v>360</v>
      </c>
      <c r="AH14" s="124">
        <f>(2+4+3+2+2+2+1+1+1+2+4+1+2+1+1+5)+(3+1+2+4+1+3+1+2+1+1+2+1+3+1+1+2+1+2+2+4)+(1+3+4+1+2+1+1+2+3+2+3+1+3+3+1+2+2+2+5+2)+(2+1+7+1+4+2+1+1+2+1+2+3+1+1+1+1+2+1)+(2+1+1+2+1+2+3+4+2+4+1+2+1+2+2+1+2+2+2)+(1+1+2+1+2+2+1)</f>
        <v>197</v>
      </c>
      <c r="AI14" s="124">
        <f>(1+1+3+2+1)+(6+2+5+1+1+2+1+1+1+3+4+2+1+1+3+6+1+1+1)+(4+2+1+2+1+5+12+2)+(2+2+2+2+2+3+1+2+2+2+1+2+2+2+1+2+2+1+1)+(2+2+3+12+1+1+2+2+3+2+3+4+2+2+2+2+1+1+3)+(2+8+4+7+1+4+4+4)+(4+2+3+1+1+1+1+1+2+1+1+3+1+3+2+2+1+3+1)+(2+1+1+2+2+1+2+1+4+2+3+1+1+2+3+2+1)+(2+6+2+1+8+1+1+2+2+2+2+1+2+2+2+1+1+2+2+1)</f>
        <v>306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255.2</v>
      </c>
      <c r="BK14">
        <f t="shared" si="0"/>
        <v>232.5</v>
      </c>
      <c r="BL14">
        <f t="shared" si="2"/>
        <v>211.5</v>
      </c>
      <c r="BM14">
        <f t="shared" si="0"/>
        <v>194.9</v>
      </c>
      <c r="BN14">
        <f t="shared" si="0"/>
        <v>184.9</v>
      </c>
      <c r="BO14">
        <f t="shared" si="0"/>
        <v>179.8</v>
      </c>
      <c r="BP14">
        <f t="shared" si="0"/>
        <v>172.7</v>
      </c>
      <c r="BQ14">
        <f t="shared" si="0"/>
        <v>166</v>
      </c>
      <c r="BR14">
        <f t="shared" si="3"/>
        <v>155.44444444444446</v>
      </c>
      <c r="BS14">
        <f t="shared" si="3"/>
        <v>157.375</v>
      </c>
      <c r="BT14">
        <f t="shared" si="0"/>
        <v>155.25</v>
      </c>
      <c r="BU14">
        <f t="shared" si="0"/>
        <v>161.14285714285714</v>
      </c>
      <c r="BV14">
        <f t="shared" si="0"/>
        <v>172</v>
      </c>
      <c r="BW14">
        <f t="shared" si="0"/>
        <v>195</v>
      </c>
      <c r="BX14">
        <f t="shared" si="0"/>
        <v>199.57142857142858</v>
      </c>
      <c r="BY14">
        <f t="shared" si="0"/>
        <v>226.71428571428572</v>
      </c>
      <c r="BZ14">
        <f t="shared" si="0"/>
        <v>247.42857142857142</v>
      </c>
      <c r="CA14">
        <f t="shared" si="0"/>
        <v>255.85714285714286</v>
      </c>
      <c r="CB14">
        <f t="shared" si="0"/>
        <v>255.25</v>
      </c>
      <c r="CC14">
        <f t="shared" si="0"/>
        <v>260.66666666666669</v>
      </c>
      <c r="CD14">
        <f t="shared" si="0"/>
        <v>292.22222222222223</v>
      </c>
      <c r="CE14">
        <f t="shared" si="0"/>
        <v>288.39999999999998</v>
      </c>
      <c r="CF14">
        <f t="shared" si="4"/>
        <v>306.10000000000002</v>
      </c>
      <c r="CG14">
        <f t="shared" si="5"/>
        <v>296.2</v>
      </c>
      <c r="CH14">
        <f t="shared" si="6"/>
        <v>304</v>
      </c>
      <c r="CI14">
        <f t="shared" si="7"/>
        <v>305.66666666666669</v>
      </c>
      <c r="CJ14">
        <f t="shared" si="8"/>
        <v>301</v>
      </c>
      <c r="CK14">
        <f t="shared" si="9"/>
        <v>307.28571428571428</v>
      </c>
      <c r="CL14">
        <f t="shared" si="10"/>
        <v>316.66666666666669</v>
      </c>
      <c r="CM14">
        <f t="shared" si="11"/>
        <v>319.2</v>
      </c>
      <c r="CN14">
        <f t="shared" si="12"/>
        <v>279.25</v>
      </c>
      <c r="CO14">
        <f t="shared" si="13"/>
        <v>287.66666666666669</v>
      </c>
      <c r="CP14">
        <f t="shared" si="14"/>
        <v>251.5</v>
      </c>
      <c r="CQ14">
        <f t="shared" si="15"/>
        <v>306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149</v>
      </c>
      <c r="C15" s="16">
        <v>105</v>
      </c>
      <c r="D15" s="16">
        <v>121</v>
      </c>
      <c r="E15" s="16">
        <v>108</v>
      </c>
      <c r="F15" s="16">
        <v>117</v>
      </c>
      <c r="G15" s="16">
        <v>121</v>
      </c>
      <c r="H15" s="16">
        <v>65</v>
      </c>
      <c r="I15" s="16">
        <v>135</v>
      </c>
      <c r="J15" s="16">
        <v>113</v>
      </c>
      <c r="K15" s="16">
        <v>84</v>
      </c>
      <c r="L15" s="16">
        <v>73</v>
      </c>
      <c r="M15" s="16">
        <v>68</v>
      </c>
      <c r="N15" s="16">
        <v>117</v>
      </c>
      <c r="O15" s="16">
        <v>71</v>
      </c>
      <c r="P15" s="16">
        <v>89</v>
      </c>
      <c r="Q15" s="16">
        <v>84</v>
      </c>
      <c r="R15" s="16">
        <v>82</v>
      </c>
      <c r="S15" s="16"/>
      <c r="T15" s="16"/>
      <c r="U15" s="17">
        <v>151</v>
      </c>
      <c r="V15" s="17"/>
      <c r="W15" s="17">
        <v>94</v>
      </c>
      <c r="X15" s="17">
        <v>150</v>
      </c>
      <c r="Y15" s="17">
        <v>139</v>
      </c>
      <c r="Z15" s="17">
        <v>181</v>
      </c>
      <c r="AA15" s="17">
        <v>156</v>
      </c>
      <c r="AB15" s="17">
        <v>181</v>
      </c>
      <c r="AC15" s="17">
        <v>104</v>
      </c>
      <c r="AD15" s="17">
        <v>146</v>
      </c>
      <c r="AE15" s="10">
        <v>251</v>
      </c>
      <c r="AF15" s="10">
        <v>210</v>
      </c>
      <c r="AG15" s="10">
        <f>(1+1+1+1+7+1+2+1+2+1)+(2+2+2+1+5+5+2+2+2+2+2+2+2+2+1+1+1+1+1)+(2+2+2+1+2+2+2+2+2+3+2+2+12+4+1+2)+(1+1+2+2+2+2+2+2+1+1+2+3+1+2+1+12+5+1)+(1+1+1+1+2+3+2+1+1)</f>
        <v>155</v>
      </c>
      <c r="AH15" s="10">
        <f>(2+2+1+2+1+9+1+1)+(2+2+5+2+2+1+2+2+4+4+2+2+1+3+2+2+3+7+1+2)+(1+2+1+5+3+1+1+2+3+3+2+1+2+2+1+1+1+2+2+1)+(2+2+2+3+2+4+2+3+1+11+1+4+1+1+1+1+2+1)+(5+1+2+2+2+1+1+1+1+1+1+2+3+1)</f>
        <v>175</v>
      </c>
      <c r="AI15" s="10">
        <f>(3+2+3+3+3+1+1+2+4+1+1+2+1+2+2+2+1+2+6)+(2+3+1+2+1+1+2+2)+(1+1+2+1+3+2+3+1+2+2+2)</f>
        <v>76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111.8</v>
      </c>
      <c r="BK15">
        <f t="shared" si="0"/>
        <v>104.2</v>
      </c>
      <c r="BL15">
        <f t="shared" si="2"/>
        <v>100.5</v>
      </c>
      <c r="BM15">
        <f t="shared" si="0"/>
        <v>100.1</v>
      </c>
      <c r="BN15">
        <f t="shared" si="0"/>
        <v>96.4</v>
      </c>
      <c r="BO15">
        <f t="shared" si="0"/>
        <v>93.6</v>
      </c>
      <c r="BP15">
        <f t="shared" si="0"/>
        <v>89.9</v>
      </c>
      <c r="BQ15">
        <f t="shared" si="0"/>
        <v>91.6</v>
      </c>
      <c r="BR15">
        <f t="shared" si="3"/>
        <v>86.777777777777771</v>
      </c>
      <c r="BS15">
        <f t="shared" si="3"/>
        <v>83.5</v>
      </c>
      <c r="BT15">
        <f t="shared" si="0"/>
        <v>91.875</v>
      </c>
      <c r="BU15">
        <f t="shared" si="0"/>
        <v>94.571428571428569</v>
      </c>
      <c r="BV15">
        <f t="shared" si="0"/>
        <v>98.285714285714292</v>
      </c>
      <c r="BW15">
        <f t="shared" si="0"/>
        <v>103</v>
      </c>
      <c r="BX15">
        <f t="shared" si="0"/>
        <v>112.71428571428571</v>
      </c>
      <c r="BY15">
        <f t="shared" si="0"/>
        <v>125.85714285714286</v>
      </c>
      <c r="BZ15">
        <f t="shared" si="0"/>
        <v>136.14285714285714</v>
      </c>
      <c r="CA15">
        <f t="shared" si="0"/>
        <v>150.28571428571428</v>
      </c>
      <c r="CB15">
        <f t="shared" si="0"/>
        <v>144.5</v>
      </c>
      <c r="CC15">
        <f t="shared" si="0"/>
        <v>144.66666666666666</v>
      </c>
      <c r="CD15">
        <f t="shared" si="0"/>
        <v>155.77777777777777</v>
      </c>
      <c r="CE15">
        <f t="shared" si="0"/>
        <v>161.19999999999999</v>
      </c>
      <c r="CF15">
        <f t="shared" si="4"/>
        <v>167.3</v>
      </c>
      <c r="CG15">
        <f t="shared" si="5"/>
        <v>169.8</v>
      </c>
      <c r="CH15">
        <f t="shared" si="6"/>
        <v>163.5</v>
      </c>
      <c r="CI15">
        <f t="shared" si="7"/>
        <v>161.55555555555554</v>
      </c>
      <c r="CJ15">
        <f t="shared" si="8"/>
        <v>162.25</v>
      </c>
      <c r="CK15">
        <f t="shared" si="9"/>
        <v>159.57142857142858</v>
      </c>
      <c r="CL15">
        <f t="shared" si="10"/>
        <v>168.83333333333334</v>
      </c>
      <c r="CM15">
        <f t="shared" si="11"/>
        <v>173.4</v>
      </c>
      <c r="CN15">
        <f t="shared" si="12"/>
        <v>154</v>
      </c>
      <c r="CO15">
        <f t="shared" si="13"/>
        <v>135.33333333333334</v>
      </c>
      <c r="CP15">
        <f t="shared" si="14"/>
        <v>125.5</v>
      </c>
      <c r="CQ15">
        <f t="shared" si="15"/>
        <v>76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51</v>
      </c>
      <c r="C16" s="14">
        <v>27</v>
      </c>
      <c r="D16" s="14">
        <v>24</v>
      </c>
      <c r="E16" s="14">
        <v>78</v>
      </c>
      <c r="F16" s="14">
        <v>50</v>
      </c>
      <c r="G16" s="14">
        <v>26</v>
      </c>
      <c r="H16" s="14">
        <v>32</v>
      </c>
      <c r="I16" s="14">
        <v>71</v>
      </c>
      <c r="J16" s="14">
        <v>42</v>
      </c>
      <c r="K16" s="14">
        <v>32</v>
      </c>
      <c r="L16" s="14">
        <v>76</v>
      </c>
      <c r="M16" s="14">
        <v>52</v>
      </c>
      <c r="N16" s="14">
        <v>71</v>
      </c>
      <c r="O16" s="14">
        <v>42</v>
      </c>
      <c r="P16" s="14">
        <v>19</v>
      </c>
      <c r="Q16" s="14">
        <v>58</v>
      </c>
      <c r="R16" s="14">
        <v>42</v>
      </c>
      <c r="S16" s="14"/>
      <c r="T16" s="14"/>
      <c r="U16" s="15">
        <v>60</v>
      </c>
      <c r="V16" s="15"/>
      <c r="W16" s="15">
        <v>71</v>
      </c>
      <c r="X16" s="15">
        <v>55</v>
      </c>
      <c r="Y16" s="15">
        <v>101</v>
      </c>
      <c r="Z16" s="15">
        <v>119</v>
      </c>
      <c r="AA16" s="15">
        <v>43</v>
      </c>
      <c r="AB16" s="15">
        <v>87</v>
      </c>
      <c r="AC16" s="15">
        <v>87</v>
      </c>
      <c r="AD16" s="15">
        <v>66</v>
      </c>
      <c r="AE16" s="124">
        <v>84</v>
      </c>
      <c r="AF16" s="124">
        <v>160</v>
      </c>
      <c r="AG16" s="124">
        <f>(3+1+1+2+6+2+1+2+1+5)+(1+2+1+2+1+1+3+1+2+5+1+2+2+2+1+1+2)+(1+1+1+2+1+1+1+2+2+1+1+2+2)</f>
        <v>72</v>
      </c>
      <c r="AH16" s="124">
        <f>(2+2+1+2+1+1+1+1+2+2+1+2+1+1+1+2+1+1+1+1)+(1+1+2+11+1+1+3+1+1+1+1+3+5+1+2+2+2+2+2+2)+(2+2)</f>
        <v>76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43.3</v>
      </c>
      <c r="BK16">
        <f t="shared" si="0"/>
        <v>45.8</v>
      </c>
      <c r="BL16">
        <f t="shared" si="2"/>
        <v>48.3</v>
      </c>
      <c r="BM16">
        <f t="shared" si="0"/>
        <v>53</v>
      </c>
      <c r="BN16">
        <f t="shared" si="0"/>
        <v>49.4</v>
      </c>
      <c r="BO16">
        <f t="shared" si="0"/>
        <v>46.3</v>
      </c>
      <c r="BP16">
        <f t="shared" si="0"/>
        <v>49.5</v>
      </c>
      <c r="BQ16">
        <f t="shared" si="0"/>
        <v>50.5</v>
      </c>
      <c r="BR16">
        <f t="shared" si="3"/>
        <v>48.222222222222221</v>
      </c>
      <c r="BS16">
        <f t="shared" si="3"/>
        <v>49</v>
      </c>
      <c r="BT16">
        <f t="shared" si="0"/>
        <v>52.5</v>
      </c>
      <c r="BU16">
        <f t="shared" si="0"/>
        <v>49.142857142857146</v>
      </c>
      <c r="BV16">
        <f t="shared" si="0"/>
        <v>51.857142857142854</v>
      </c>
      <c r="BW16">
        <f t="shared" si="0"/>
        <v>49.571428571428569</v>
      </c>
      <c r="BX16">
        <f t="shared" si="0"/>
        <v>58</v>
      </c>
      <c r="BY16">
        <f t="shared" si="0"/>
        <v>72.285714285714292</v>
      </c>
      <c r="BZ16">
        <f t="shared" si="0"/>
        <v>70.142857142857139</v>
      </c>
      <c r="CA16">
        <f t="shared" si="0"/>
        <v>76.571428571428569</v>
      </c>
      <c r="CB16">
        <f t="shared" si="0"/>
        <v>77.875</v>
      </c>
      <c r="CC16">
        <f t="shared" si="0"/>
        <v>76.555555555555557</v>
      </c>
      <c r="CD16">
        <f t="shared" si="0"/>
        <v>79.222222222222229</v>
      </c>
      <c r="CE16">
        <f t="shared" si="0"/>
        <v>87.3</v>
      </c>
      <c r="CF16">
        <f t="shared" si="4"/>
        <v>87.4</v>
      </c>
      <c r="CG16">
        <f t="shared" si="5"/>
        <v>89.5</v>
      </c>
      <c r="CH16">
        <f t="shared" si="6"/>
        <v>88.222222222222229</v>
      </c>
      <c r="CI16">
        <f t="shared" si="7"/>
        <v>84.375</v>
      </c>
      <c r="CJ16">
        <f t="shared" si="8"/>
        <v>90.285714285714292</v>
      </c>
      <c r="CK16">
        <f t="shared" si="9"/>
        <v>90.833333333333329</v>
      </c>
      <c r="CL16">
        <f t="shared" si="10"/>
        <v>91.6</v>
      </c>
      <c r="CM16">
        <f t="shared" si="11"/>
        <v>98</v>
      </c>
      <c r="CN16">
        <f t="shared" si="12"/>
        <v>102.66666666666667</v>
      </c>
      <c r="CO16">
        <f t="shared" si="13"/>
        <v>74</v>
      </c>
      <c r="CP16">
        <f t="shared" si="14"/>
        <v>76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2076</v>
      </c>
      <c r="C18" s="22">
        <f t="shared" ref="C18:AZ18" si="29">SUM(C5:C16)</f>
        <v>1986</v>
      </c>
      <c r="D18" s="22">
        <f t="shared" si="29"/>
        <v>2214</v>
      </c>
      <c r="E18" s="22">
        <f t="shared" si="29"/>
        <v>1890</v>
      </c>
      <c r="F18" s="22">
        <f t="shared" si="29"/>
        <v>2028</v>
      </c>
      <c r="G18" s="22">
        <f t="shared" si="29"/>
        <v>1630</v>
      </c>
      <c r="H18" s="22">
        <f t="shared" si="29"/>
        <v>1773</v>
      </c>
      <c r="I18" s="22">
        <f t="shared" si="29"/>
        <v>2113</v>
      </c>
      <c r="J18" s="22">
        <f t="shared" si="29"/>
        <v>2021</v>
      </c>
      <c r="K18" s="22">
        <f t="shared" si="29"/>
        <v>1674</v>
      </c>
      <c r="L18" s="22">
        <f t="shared" si="29"/>
        <v>865</v>
      </c>
      <c r="M18" s="22">
        <f t="shared" si="29"/>
        <v>1482</v>
      </c>
      <c r="N18" s="22">
        <f t="shared" si="29"/>
        <v>1354</v>
      </c>
      <c r="O18" s="22">
        <f t="shared" si="29"/>
        <v>1280</v>
      </c>
      <c r="P18" s="22">
        <f t="shared" si="29"/>
        <v>1375</v>
      </c>
      <c r="Q18" s="22">
        <f t="shared" si="29"/>
        <v>1227</v>
      </c>
      <c r="R18" s="22">
        <f t="shared" si="29"/>
        <v>1452</v>
      </c>
      <c r="S18" s="22">
        <f t="shared" si="29"/>
        <v>0</v>
      </c>
      <c r="T18" s="22">
        <f t="shared" si="29"/>
        <v>0</v>
      </c>
      <c r="U18" s="22">
        <f t="shared" si="29"/>
        <v>1586</v>
      </c>
      <c r="V18" s="22">
        <f t="shared" si="29"/>
        <v>0</v>
      </c>
      <c r="W18" s="22">
        <f t="shared" si="29"/>
        <v>2078</v>
      </c>
      <c r="X18" s="22">
        <f t="shared" si="29"/>
        <v>2107</v>
      </c>
      <c r="Y18" s="22">
        <f t="shared" si="29"/>
        <v>1988</v>
      </c>
      <c r="Z18" s="22">
        <f t="shared" si="29"/>
        <v>2388</v>
      </c>
      <c r="AA18" s="22">
        <f t="shared" si="29"/>
        <v>2568</v>
      </c>
      <c r="AB18" s="22">
        <f t="shared" si="29"/>
        <v>2565</v>
      </c>
      <c r="AC18" s="22">
        <f t="shared" si="29"/>
        <v>2075</v>
      </c>
      <c r="AD18" s="22">
        <f t="shared" si="29"/>
        <v>2504</v>
      </c>
      <c r="AE18" s="22">
        <f t="shared" si="29"/>
        <v>3533</v>
      </c>
      <c r="AF18" s="22">
        <f t="shared" si="29"/>
        <v>2848</v>
      </c>
      <c r="AG18" s="22">
        <f t="shared" si="29"/>
        <v>2641</v>
      </c>
      <c r="AH18" s="22">
        <f t="shared" si="29"/>
        <v>2321</v>
      </c>
      <c r="AI18" s="22">
        <f t="shared" si="29"/>
        <v>2336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>AVERAGE(P18:Y18)</f>
        <v>1181.3</v>
      </c>
      <c r="BY18" s="25">
        <f>AVERAGE(Q18:Z18)</f>
        <v>1282.5999999999999</v>
      </c>
      <c r="BZ18" s="25">
        <f>AVERAGE(R18:AA18)</f>
        <v>1416.7</v>
      </c>
      <c r="CA18" s="25">
        <f>AVERAGE(S18:AB18)</f>
        <v>1528</v>
      </c>
      <c r="CB18" s="25">
        <f>AVERAGE(T18:AC18)</f>
        <v>1735.5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transitionEvaluation="1" codeName="Sheet20">
    <tabColor theme="5"/>
  </sheetPr>
  <dimension ref="A1:DG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E14" sqref="AE14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3" width="5.7109375" style="5" customWidth="1"/>
    <col min="24" max="24" width="6.140625" style="5" customWidth="1"/>
    <col min="25" max="29" width="5.7109375" style="5" customWidth="1"/>
    <col min="30" max="30" width="6.42578125" style="5" customWidth="1"/>
    <col min="31" max="31" width="6.28515625" customWidth="1"/>
    <col min="32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7" width="22.140625" style="5" customWidth="1"/>
    <col min="78" max="78" width="9.42578125" style="5" customWidth="1"/>
    <col min="79" max="79" width="17.140625" style="5" customWidth="1"/>
    <col min="80" max="80" width="17.28515625" style="5" customWidth="1"/>
    <col min="81" max="81" width="9.42578125" style="5" customWidth="1"/>
    <col min="82" max="82" width="16.85546875" style="5" customWidth="1"/>
    <col min="83" max="111" width="9.42578125" style="5" hidden="1" customWidth="1"/>
    <col min="112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44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16</v>
      </c>
      <c r="C5" s="16">
        <v>20</v>
      </c>
      <c r="D5" s="16">
        <v>18</v>
      </c>
      <c r="E5" s="16">
        <v>0</v>
      </c>
      <c r="F5" s="16">
        <v>46</v>
      </c>
      <c r="G5" s="16">
        <v>13</v>
      </c>
      <c r="H5" s="16">
        <v>42</v>
      </c>
      <c r="I5" s="16">
        <v>29</v>
      </c>
      <c r="J5" s="16">
        <v>40</v>
      </c>
      <c r="K5" s="16">
        <v>35</v>
      </c>
      <c r="L5" s="16">
        <v>41</v>
      </c>
      <c r="M5" s="16">
        <v>24</v>
      </c>
      <c r="N5" s="16">
        <v>8</v>
      </c>
      <c r="O5" s="16">
        <v>24</v>
      </c>
      <c r="P5" s="16">
        <v>28</v>
      </c>
      <c r="Q5" s="16">
        <v>26</v>
      </c>
      <c r="R5" s="16">
        <v>49</v>
      </c>
      <c r="S5" s="16"/>
      <c r="T5" s="16"/>
      <c r="U5" s="17">
        <v>30</v>
      </c>
      <c r="V5" s="17"/>
      <c r="W5" s="17">
        <v>59</v>
      </c>
      <c r="X5" s="17">
        <v>46</v>
      </c>
      <c r="Y5" s="17">
        <v>38</v>
      </c>
      <c r="Z5" s="17">
        <v>29</v>
      </c>
      <c r="AA5" s="17">
        <v>63</v>
      </c>
      <c r="AB5" s="17">
        <v>61</v>
      </c>
      <c r="AC5" s="17">
        <v>21</v>
      </c>
      <c r="AD5" s="112">
        <v>0</v>
      </c>
      <c r="AE5" s="10">
        <v>41</v>
      </c>
      <c r="AF5" s="10">
        <v>123</v>
      </c>
      <c r="AG5" s="10">
        <v>25</v>
      </c>
      <c r="AH5" s="10">
        <f>28+16</f>
        <v>44</v>
      </c>
      <c r="AI5" s="10">
        <v>20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25.9</v>
      </c>
      <c r="BK5">
        <f t="shared" ref="BK5:DD16" si="0">AVERAGE(C5:L5)</f>
        <v>28.4</v>
      </c>
      <c r="BL5">
        <f>AVERAGE(D5:M5)</f>
        <v>28.8</v>
      </c>
      <c r="BM5">
        <f t="shared" si="0"/>
        <v>27.8</v>
      </c>
      <c r="BN5">
        <f t="shared" si="0"/>
        <v>30.2</v>
      </c>
      <c r="BO5">
        <f t="shared" si="0"/>
        <v>28.4</v>
      </c>
      <c r="BP5">
        <f t="shared" si="0"/>
        <v>29.7</v>
      </c>
      <c r="BQ5">
        <f t="shared" si="0"/>
        <v>30.4</v>
      </c>
      <c r="BR5">
        <f t="shared" si="0"/>
        <v>30.555555555555557</v>
      </c>
      <c r="BS5">
        <f t="shared" si="0"/>
        <v>29.375</v>
      </c>
      <c r="BT5">
        <f t="shared" si="0"/>
        <v>28.75</v>
      </c>
      <c r="BU5">
        <f t="shared" si="0"/>
        <v>27</v>
      </c>
      <c r="BV5">
        <f t="shared" si="0"/>
        <v>32</v>
      </c>
      <c r="BW5">
        <f t="shared" si="0"/>
        <v>37.428571428571431</v>
      </c>
      <c r="BX5">
        <f t="shared" si="0"/>
        <v>39.428571428571431</v>
      </c>
      <c r="BY5">
        <f t="shared" si="0"/>
        <v>39.571428571428569</v>
      </c>
      <c r="BZ5">
        <f t="shared" si="0"/>
        <v>44.857142857142854</v>
      </c>
      <c r="CA5">
        <f t="shared" si="0"/>
        <v>46.571428571428569</v>
      </c>
      <c r="CB5">
        <f t="shared" si="0"/>
        <v>43.375</v>
      </c>
      <c r="CC5">
        <f t="shared" si="0"/>
        <v>38.555555555555557</v>
      </c>
      <c r="CD5">
        <f t="shared" si="0"/>
        <v>39.777777777777779</v>
      </c>
      <c r="CE5">
        <f t="shared" si="0"/>
        <v>48.1</v>
      </c>
      <c r="CF5">
        <f t="shared" si="0"/>
        <v>44.7</v>
      </c>
      <c r="CG5">
        <f t="shared" si="0"/>
        <v>44.5</v>
      </c>
      <c r="CH5">
        <f t="shared" si="0"/>
        <v>42.7</v>
      </c>
      <c r="CI5">
        <f t="shared" si="0"/>
        <v>44.222222222222221</v>
      </c>
      <c r="CJ5">
        <f t="shared" si="0"/>
        <v>41.875</v>
      </c>
      <c r="CK5">
        <f t="shared" si="0"/>
        <v>39.142857142857146</v>
      </c>
      <c r="CL5">
        <f t="shared" si="0"/>
        <v>42.166666666666664</v>
      </c>
      <c r="CM5">
        <f t="shared" si="0"/>
        <v>50.6</v>
      </c>
      <c r="CN5">
        <f t="shared" si="0"/>
        <v>53</v>
      </c>
      <c r="CO5">
        <f t="shared" si="0"/>
        <v>29.666666666666668</v>
      </c>
      <c r="CP5">
        <f t="shared" si="0"/>
        <v>32</v>
      </c>
      <c r="CQ5">
        <f t="shared" si="0"/>
        <v>20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44</v>
      </c>
      <c r="C6" s="14">
        <v>35</v>
      </c>
      <c r="D6" s="14">
        <v>16</v>
      </c>
      <c r="E6" s="14">
        <v>5</v>
      </c>
      <c r="F6" s="14">
        <v>23</v>
      </c>
      <c r="G6" s="14">
        <v>26</v>
      </c>
      <c r="H6" s="14">
        <v>144</v>
      </c>
      <c r="I6" s="14">
        <v>43</v>
      </c>
      <c r="J6" s="14">
        <v>42</v>
      </c>
      <c r="K6" s="14">
        <v>11</v>
      </c>
      <c r="L6" s="14">
        <v>19</v>
      </c>
      <c r="M6" s="14">
        <v>27</v>
      </c>
      <c r="N6" s="14">
        <v>19</v>
      </c>
      <c r="O6" s="14">
        <v>36</v>
      </c>
      <c r="P6" s="14">
        <v>12</v>
      </c>
      <c r="Q6" s="14">
        <v>10</v>
      </c>
      <c r="R6" s="14">
        <v>20</v>
      </c>
      <c r="S6" s="14"/>
      <c r="T6" s="14"/>
      <c r="U6" s="15">
        <v>19</v>
      </c>
      <c r="V6" s="15"/>
      <c r="W6" s="15">
        <v>75</v>
      </c>
      <c r="X6" s="15">
        <v>37</v>
      </c>
      <c r="Y6" s="15">
        <v>51</v>
      </c>
      <c r="Z6" s="15">
        <v>6</v>
      </c>
      <c r="AA6" s="15">
        <v>40</v>
      </c>
      <c r="AB6" s="15">
        <v>51</v>
      </c>
      <c r="AC6" s="15">
        <v>55</v>
      </c>
      <c r="AD6" s="111">
        <v>0</v>
      </c>
      <c r="AE6" s="124">
        <v>47</v>
      </c>
      <c r="AF6" s="124">
        <v>47</v>
      </c>
      <c r="AG6" s="124">
        <v>6</v>
      </c>
      <c r="AH6" s="124">
        <f>55+5</f>
        <v>60</v>
      </c>
      <c r="AI6" s="124">
        <v>67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38.9</v>
      </c>
      <c r="BK6">
        <f t="shared" si="0"/>
        <v>36.4</v>
      </c>
      <c r="BL6">
        <f t="shared" ref="BL6:BL16" si="2">AVERAGE(D6:M6)</f>
        <v>35.6</v>
      </c>
      <c r="BM6">
        <f t="shared" si="0"/>
        <v>35.9</v>
      </c>
      <c r="BN6">
        <f t="shared" si="0"/>
        <v>39</v>
      </c>
      <c r="BO6">
        <f t="shared" si="0"/>
        <v>37.9</v>
      </c>
      <c r="BP6">
        <f t="shared" si="0"/>
        <v>36.299999999999997</v>
      </c>
      <c r="BQ6">
        <f t="shared" si="0"/>
        <v>23.9</v>
      </c>
      <c r="BR6">
        <f t="shared" ref="BR6:BS16" si="3">AVERAGE(J6:S6)</f>
        <v>21.777777777777779</v>
      </c>
      <c r="BS6">
        <f t="shared" si="3"/>
        <v>19.25</v>
      </c>
      <c r="BT6">
        <f t="shared" si="0"/>
        <v>20.25</v>
      </c>
      <c r="BU6">
        <f t="shared" si="0"/>
        <v>20.428571428571427</v>
      </c>
      <c r="BV6">
        <f t="shared" si="0"/>
        <v>27.285714285714285</v>
      </c>
      <c r="BW6">
        <f t="shared" si="0"/>
        <v>29.857142857142858</v>
      </c>
      <c r="BX6">
        <f t="shared" si="0"/>
        <v>32</v>
      </c>
      <c r="BY6">
        <f t="shared" si="0"/>
        <v>31.142857142857142</v>
      </c>
      <c r="BZ6">
        <f t="shared" si="0"/>
        <v>35.428571428571431</v>
      </c>
      <c r="CA6">
        <f t="shared" si="0"/>
        <v>39.857142857142854</v>
      </c>
      <c r="CB6">
        <f t="shared" si="0"/>
        <v>41.75</v>
      </c>
      <c r="CC6">
        <f t="shared" si="0"/>
        <v>37.111111111111114</v>
      </c>
      <c r="CD6">
        <f t="shared" si="0"/>
        <v>40.222222222222221</v>
      </c>
      <c r="CE6">
        <f t="shared" si="0"/>
        <v>40.9</v>
      </c>
      <c r="CF6">
        <f t="shared" ref="CF6:CF16" si="4">AVERAGE(X6:AG6)</f>
        <v>34</v>
      </c>
      <c r="CG6">
        <f t="shared" ref="CG6:CG16" si="5">AVERAGE(Y6:AH6)</f>
        <v>36.299999999999997</v>
      </c>
      <c r="CH6">
        <f t="shared" ref="CH6:CH16" si="6">AVERAGE(Z6:AI6)</f>
        <v>37.9</v>
      </c>
      <c r="CI6">
        <f t="shared" ref="CI6:CI16" si="7">AVERAGE(AA6:AJ6)</f>
        <v>41.444444444444443</v>
      </c>
      <c r="CJ6">
        <f t="shared" ref="CJ6:CJ16" si="8">AVERAGE(AB6:AK6)</f>
        <v>41.625</v>
      </c>
      <c r="CK6">
        <f t="shared" ref="CK6:CK16" si="9">AVERAGE(AC6:AL6)</f>
        <v>40.285714285714285</v>
      </c>
      <c r="CL6">
        <f t="shared" ref="CL6:CL16" si="10">AVERAGE(AD6:AM6)</f>
        <v>37.833333333333336</v>
      </c>
      <c r="CM6">
        <f t="shared" ref="CM6:CM16" si="11">AVERAGE(AE6:AN6)</f>
        <v>45.4</v>
      </c>
      <c r="CN6">
        <f t="shared" ref="CN6:CN16" si="12">AVERAGE(AF6:AO6)</f>
        <v>45</v>
      </c>
      <c r="CO6">
        <f t="shared" ref="CO6:CO16" si="13">AVERAGE(AG6:AP6)</f>
        <v>44.333333333333336</v>
      </c>
      <c r="CP6">
        <f t="shared" ref="CP6:CP16" si="14">AVERAGE(AH6:AQ6)</f>
        <v>63.5</v>
      </c>
      <c r="CQ6">
        <f t="shared" ref="CQ6:CQ16" si="15">AVERAGE(AI6:AR6)</f>
        <v>67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49</v>
      </c>
      <c r="C7" s="16">
        <v>37</v>
      </c>
      <c r="D7" s="16">
        <v>5</v>
      </c>
      <c r="E7" s="16">
        <v>50</v>
      </c>
      <c r="F7" s="16">
        <v>40</v>
      </c>
      <c r="G7" s="16">
        <v>50</v>
      </c>
      <c r="H7" s="16">
        <v>44</v>
      </c>
      <c r="I7" s="16">
        <v>28</v>
      </c>
      <c r="J7" s="16">
        <v>43</v>
      </c>
      <c r="K7" s="16">
        <v>27</v>
      </c>
      <c r="L7" s="16">
        <v>18</v>
      </c>
      <c r="M7" s="16">
        <v>27</v>
      </c>
      <c r="N7" s="16">
        <v>29</v>
      </c>
      <c r="O7" s="16">
        <v>25</v>
      </c>
      <c r="P7" s="16">
        <v>3</v>
      </c>
      <c r="Q7" s="16">
        <v>30</v>
      </c>
      <c r="R7" s="16">
        <v>32</v>
      </c>
      <c r="S7" s="16"/>
      <c r="T7" s="16"/>
      <c r="U7" s="17">
        <v>31</v>
      </c>
      <c r="V7" s="17"/>
      <c r="W7" s="17">
        <v>64</v>
      </c>
      <c r="X7" s="17">
        <v>54</v>
      </c>
      <c r="Y7" s="17">
        <v>46</v>
      </c>
      <c r="Z7" s="17">
        <v>11</v>
      </c>
      <c r="AA7" s="17">
        <v>96</v>
      </c>
      <c r="AB7" s="17">
        <v>37</v>
      </c>
      <c r="AC7" s="17">
        <v>6</v>
      </c>
      <c r="AD7" s="112">
        <v>0</v>
      </c>
      <c r="AE7" s="10">
        <v>48</v>
      </c>
      <c r="AF7" s="10">
        <v>106</v>
      </c>
      <c r="AG7" s="10">
        <f>26+15</f>
        <v>41</v>
      </c>
      <c r="AH7" s="10">
        <f>26+24</f>
        <v>50</v>
      </c>
      <c r="AI7" s="10">
        <v>40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37.299999999999997</v>
      </c>
      <c r="BK7">
        <f t="shared" si="0"/>
        <v>34.200000000000003</v>
      </c>
      <c r="BL7">
        <f t="shared" si="2"/>
        <v>33.200000000000003</v>
      </c>
      <c r="BM7">
        <f t="shared" si="0"/>
        <v>35.6</v>
      </c>
      <c r="BN7">
        <f t="shared" si="0"/>
        <v>33.1</v>
      </c>
      <c r="BO7">
        <f t="shared" si="0"/>
        <v>29.4</v>
      </c>
      <c r="BP7">
        <f t="shared" si="0"/>
        <v>27.4</v>
      </c>
      <c r="BQ7">
        <f t="shared" si="0"/>
        <v>26.2</v>
      </c>
      <c r="BR7">
        <f t="shared" si="3"/>
        <v>26</v>
      </c>
      <c r="BS7">
        <f t="shared" si="3"/>
        <v>23.875</v>
      </c>
      <c r="BT7">
        <f t="shared" si="0"/>
        <v>24.375</v>
      </c>
      <c r="BU7">
        <f t="shared" si="0"/>
        <v>25.285714285714285</v>
      </c>
      <c r="BV7">
        <f t="shared" si="0"/>
        <v>30.571428571428573</v>
      </c>
      <c r="BW7">
        <f t="shared" si="0"/>
        <v>34.142857142857146</v>
      </c>
      <c r="BX7">
        <f>AVERAGE(P7:Y7)</f>
        <v>37.142857142857146</v>
      </c>
      <c r="BY7">
        <f t="shared" si="0"/>
        <v>38.285714285714285</v>
      </c>
      <c r="BZ7">
        <f t="shared" si="0"/>
        <v>47.714285714285715</v>
      </c>
      <c r="CA7">
        <f t="shared" si="0"/>
        <v>48.428571428571431</v>
      </c>
      <c r="CB7">
        <f t="shared" si="0"/>
        <v>43.125</v>
      </c>
      <c r="CC7">
        <f t="shared" si="0"/>
        <v>38.333333333333336</v>
      </c>
      <c r="CD7">
        <f t="shared" si="0"/>
        <v>40.222222222222221</v>
      </c>
      <c r="CE7">
        <f>AVERAGE(W7:AF7)</f>
        <v>46.8</v>
      </c>
      <c r="CF7">
        <f t="shared" si="4"/>
        <v>44.5</v>
      </c>
      <c r="CG7">
        <f t="shared" si="5"/>
        <v>44.1</v>
      </c>
      <c r="CH7">
        <f t="shared" si="6"/>
        <v>43.5</v>
      </c>
      <c r="CI7">
        <f t="shared" si="7"/>
        <v>47.111111111111114</v>
      </c>
      <c r="CJ7">
        <f t="shared" si="8"/>
        <v>41</v>
      </c>
      <c r="CK7">
        <f t="shared" si="9"/>
        <v>41.571428571428569</v>
      </c>
      <c r="CL7">
        <f t="shared" si="10"/>
        <v>47.5</v>
      </c>
      <c r="CM7">
        <f t="shared" si="11"/>
        <v>57</v>
      </c>
      <c r="CN7">
        <f t="shared" si="12"/>
        <v>59.25</v>
      </c>
      <c r="CO7">
        <f t="shared" si="13"/>
        <v>43.666666666666664</v>
      </c>
      <c r="CP7">
        <f t="shared" si="14"/>
        <v>45</v>
      </c>
      <c r="CQ7">
        <f t="shared" si="15"/>
        <v>40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51</v>
      </c>
      <c r="C8" s="14">
        <v>40</v>
      </c>
      <c r="D8" s="14">
        <v>22</v>
      </c>
      <c r="E8" s="14">
        <v>108</v>
      </c>
      <c r="F8" s="14">
        <v>43</v>
      </c>
      <c r="G8" s="14">
        <v>23</v>
      </c>
      <c r="H8" s="14">
        <v>98</v>
      </c>
      <c r="I8" s="14">
        <v>51</v>
      </c>
      <c r="J8" s="14">
        <v>0</v>
      </c>
      <c r="K8" s="14">
        <v>54</v>
      </c>
      <c r="L8" s="14">
        <v>41</v>
      </c>
      <c r="M8" s="14">
        <v>73</v>
      </c>
      <c r="N8" s="14">
        <v>39</v>
      </c>
      <c r="O8" s="14">
        <v>47</v>
      </c>
      <c r="P8" s="14">
        <v>25</v>
      </c>
      <c r="Q8" s="14">
        <v>44</v>
      </c>
      <c r="R8" s="14">
        <v>33</v>
      </c>
      <c r="S8" s="14"/>
      <c r="T8" s="14"/>
      <c r="U8" s="15">
        <v>34</v>
      </c>
      <c r="V8" s="15"/>
      <c r="W8" s="15">
        <v>40</v>
      </c>
      <c r="X8" s="15">
        <v>71</v>
      </c>
      <c r="Y8" s="15">
        <v>40</v>
      </c>
      <c r="Z8" s="15">
        <v>59</v>
      </c>
      <c r="AA8" s="15">
        <v>70</v>
      </c>
      <c r="AB8" s="15">
        <v>79</v>
      </c>
      <c r="AC8" s="15">
        <v>69</v>
      </c>
      <c r="AD8" s="111">
        <v>64</v>
      </c>
      <c r="AE8" s="124">
        <v>69</v>
      </c>
      <c r="AF8" s="124">
        <v>117</v>
      </c>
      <c r="AG8" s="124">
        <f>20+57+37+4</f>
        <v>118</v>
      </c>
      <c r="AH8" s="124">
        <f>40+13</f>
        <v>53</v>
      </c>
      <c r="AI8" s="124">
        <v>48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49</v>
      </c>
      <c r="BK8">
        <f t="shared" si="0"/>
        <v>48</v>
      </c>
      <c r="BL8">
        <f t="shared" si="2"/>
        <v>51.3</v>
      </c>
      <c r="BM8">
        <f t="shared" si="0"/>
        <v>53</v>
      </c>
      <c r="BN8">
        <f t="shared" si="0"/>
        <v>46.9</v>
      </c>
      <c r="BO8">
        <f t="shared" si="0"/>
        <v>45.1</v>
      </c>
      <c r="BP8">
        <f t="shared" si="0"/>
        <v>47.2</v>
      </c>
      <c r="BQ8">
        <f t="shared" si="0"/>
        <v>40.700000000000003</v>
      </c>
      <c r="BR8">
        <f t="shared" si="3"/>
        <v>39.555555555555557</v>
      </c>
      <c r="BS8">
        <f t="shared" si="3"/>
        <v>44.5</v>
      </c>
      <c r="BT8">
        <f>AVERAGE(L8:U8)</f>
        <v>42</v>
      </c>
      <c r="BU8">
        <f t="shared" si="0"/>
        <v>42.142857142857146</v>
      </c>
      <c r="BV8">
        <f t="shared" si="0"/>
        <v>37.428571428571431</v>
      </c>
      <c r="BW8">
        <f t="shared" si="0"/>
        <v>42</v>
      </c>
      <c r="BX8">
        <f t="shared" si="0"/>
        <v>41</v>
      </c>
      <c r="BY8">
        <f t="shared" si="0"/>
        <v>45.857142857142854</v>
      </c>
      <c r="BZ8">
        <f t="shared" si="0"/>
        <v>49.571428571428569</v>
      </c>
      <c r="CA8">
        <f t="shared" si="0"/>
        <v>56.142857142857146</v>
      </c>
      <c r="CB8">
        <f t="shared" si="0"/>
        <v>57.75</v>
      </c>
      <c r="CC8">
        <f t="shared" si="0"/>
        <v>58.444444444444443</v>
      </c>
      <c r="CD8">
        <f t="shared" si="0"/>
        <v>62.333333333333336</v>
      </c>
      <c r="CE8">
        <f t="shared" si="0"/>
        <v>67.8</v>
      </c>
      <c r="CF8">
        <f t="shared" si="4"/>
        <v>75.599999999999994</v>
      </c>
      <c r="CG8">
        <f t="shared" si="5"/>
        <v>73.8</v>
      </c>
      <c r="CH8">
        <f t="shared" si="6"/>
        <v>74.599999999999994</v>
      </c>
      <c r="CI8">
        <f t="shared" si="7"/>
        <v>76.333333333333329</v>
      </c>
      <c r="CJ8">
        <f t="shared" si="8"/>
        <v>77.125</v>
      </c>
      <c r="CK8">
        <f t="shared" si="9"/>
        <v>76.857142857142861</v>
      </c>
      <c r="CL8">
        <f t="shared" si="10"/>
        <v>78.166666666666671</v>
      </c>
      <c r="CM8">
        <f t="shared" si="11"/>
        <v>81</v>
      </c>
      <c r="CN8">
        <f t="shared" si="12"/>
        <v>84</v>
      </c>
      <c r="CO8">
        <f t="shared" si="13"/>
        <v>73</v>
      </c>
      <c r="CP8">
        <f t="shared" si="14"/>
        <v>50.5</v>
      </c>
      <c r="CQ8">
        <f t="shared" si="15"/>
        <v>48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115</v>
      </c>
      <c r="C9" s="16">
        <v>91</v>
      </c>
      <c r="D9" s="16">
        <v>87</v>
      </c>
      <c r="E9" s="16">
        <v>180</v>
      </c>
      <c r="F9" s="16">
        <v>86</v>
      </c>
      <c r="G9" s="16">
        <v>111</v>
      </c>
      <c r="H9" s="16">
        <v>135</v>
      </c>
      <c r="I9" s="16">
        <v>142</v>
      </c>
      <c r="J9" s="16">
        <v>37</v>
      </c>
      <c r="K9" s="16">
        <v>69</v>
      </c>
      <c r="L9" s="16">
        <v>34</v>
      </c>
      <c r="M9" s="16">
        <v>61</v>
      </c>
      <c r="N9" s="16">
        <v>38</v>
      </c>
      <c r="O9" s="16">
        <v>93</v>
      </c>
      <c r="P9" s="16">
        <v>78</v>
      </c>
      <c r="Q9" s="16">
        <v>48</v>
      </c>
      <c r="R9" s="16">
        <v>81</v>
      </c>
      <c r="S9" s="16"/>
      <c r="T9" s="16"/>
      <c r="U9" s="17">
        <v>115</v>
      </c>
      <c r="V9" s="17"/>
      <c r="W9" s="17">
        <v>114</v>
      </c>
      <c r="X9" s="17">
        <v>75</v>
      </c>
      <c r="Y9" s="17">
        <v>100</v>
      </c>
      <c r="Z9" s="17">
        <v>108</v>
      </c>
      <c r="AA9" s="17">
        <v>102</v>
      </c>
      <c r="AB9" s="17">
        <v>155</v>
      </c>
      <c r="AC9" s="17">
        <v>91</v>
      </c>
      <c r="AD9" s="112">
        <v>99</v>
      </c>
      <c r="AE9" s="10">
        <v>109</v>
      </c>
      <c r="AF9" s="10">
        <v>156</v>
      </c>
      <c r="AG9" s="10">
        <f>30+44+6</f>
        <v>80</v>
      </c>
      <c r="AH9" s="10">
        <f>20+34+40+8</f>
        <v>102</v>
      </c>
      <c r="AI9" s="10">
        <v>71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105.3</v>
      </c>
      <c r="BK9">
        <f t="shared" si="0"/>
        <v>97.2</v>
      </c>
      <c r="BL9">
        <f t="shared" si="2"/>
        <v>94.2</v>
      </c>
      <c r="BM9">
        <f t="shared" si="0"/>
        <v>89.3</v>
      </c>
      <c r="BN9">
        <f t="shared" si="0"/>
        <v>80.599999999999994</v>
      </c>
      <c r="BO9">
        <f t="shared" si="0"/>
        <v>79.8</v>
      </c>
      <c r="BP9">
        <f t="shared" si="0"/>
        <v>73.5</v>
      </c>
      <c r="BQ9">
        <f t="shared" si="0"/>
        <v>68.099999999999994</v>
      </c>
      <c r="BR9">
        <f t="shared" si="3"/>
        <v>59.888888888888886</v>
      </c>
      <c r="BS9">
        <f t="shared" si="3"/>
        <v>62.75</v>
      </c>
      <c r="BT9">
        <f t="shared" si="0"/>
        <v>68.5</v>
      </c>
      <c r="BU9">
        <f t="shared" si="0"/>
        <v>73.428571428571431</v>
      </c>
      <c r="BV9">
        <f t="shared" si="0"/>
        <v>81</v>
      </c>
      <c r="BW9">
        <f t="shared" si="0"/>
        <v>86.285714285714292</v>
      </c>
      <c r="BX9">
        <f t="shared" si="0"/>
        <v>87.285714285714292</v>
      </c>
      <c r="BY9">
        <f t="shared" si="0"/>
        <v>91.571428571428569</v>
      </c>
      <c r="BZ9">
        <f t="shared" si="0"/>
        <v>99.285714285714292</v>
      </c>
      <c r="CA9">
        <f t="shared" si="0"/>
        <v>109.85714285714286</v>
      </c>
      <c r="CB9">
        <f t="shared" si="0"/>
        <v>107.5</v>
      </c>
      <c r="CC9">
        <f t="shared" si="0"/>
        <v>106.55555555555556</v>
      </c>
      <c r="CD9">
        <f t="shared" si="0"/>
        <v>105.88888888888889</v>
      </c>
      <c r="CE9">
        <f t="shared" si="0"/>
        <v>110.9</v>
      </c>
      <c r="CF9">
        <f t="shared" si="4"/>
        <v>107.5</v>
      </c>
      <c r="CG9">
        <f t="shared" si="5"/>
        <v>110.2</v>
      </c>
      <c r="CH9">
        <f t="shared" si="6"/>
        <v>107.3</v>
      </c>
      <c r="CI9">
        <f t="shared" si="7"/>
        <v>107.22222222222223</v>
      </c>
      <c r="CJ9">
        <f t="shared" si="8"/>
        <v>107.875</v>
      </c>
      <c r="CK9">
        <f t="shared" si="9"/>
        <v>101.14285714285714</v>
      </c>
      <c r="CL9">
        <f t="shared" si="10"/>
        <v>102.83333333333333</v>
      </c>
      <c r="CM9">
        <f t="shared" si="11"/>
        <v>103.6</v>
      </c>
      <c r="CN9">
        <f t="shared" si="12"/>
        <v>102.25</v>
      </c>
      <c r="CO9">
        <f t="shared" si="13"/>
        <v>84.333333333333329</v>
      </c>
      <c r="CP9">
        <f t="shared" si="14"/>
        <v>86.5</v>
      </c>
      <c r="CQ9">
        <f t="shared" si="15"/>
        <v>71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69</v>
      </c>
      <c r="C10" s="14">
        <v>59</v>
      </c>
      <c r="D10" s="14">
        <v>49</v>
      </c>
      <c r="E10" s="14">
        <v>51</v>
      </c>
      <c r="F10" s="14">
        <v>98</v>
      </c>
      <c r="G10" s="14">
        <v>103</v>
      </c>
      <c r="H10" s="14">
        <v>80</v>
      </c>
      <c r="I10" s="14">
        <v>63</v>
      </c>
      <c r="J10" s="14">
        <v>69</v>
      </c>
      <c r="K10" s="14">
        <v>37</v>
      </c>
      <c r="L10" s="14">
        <v>43</v>
      </c>
      <c r="M10" s="14">
        <v>99</v>
      </c>
      <c r="N10" s="14">
        <v>82</v>
      </c>
      <c r="O10" s="14">
        <v>54</v>
      </c>
      <c r="P10" s="14">
        <v>28</v>
      </c>
      <c r="Q10" s="14">
        <v>36</v>
      </c>
      <c r="R10" s="14">
        <v>38</v>
      </c>
      <c r="S10" s="14"/>
      <c r="T10" s="14"/>
      <c r="U10" s="15">
        <v>78</v>
      </c>
      <c r="V10" s="15"/>
      <c r="W10" s="15">
        <v>78</v>
      </c>
      <c r="X10" s="15">
        <v>84</v>
      </c>
      <c r="Y10" s="15">
        <v>120</v>
      </c>
      <c r="Z10" s="15">
        <v>100</v>
      </c>
      <c r="AA10" s="15">
        <v>109</v>
      </c>
      <c r="AB10" s="15">
        <v>52</v>
      </c>
      <c r="AC10" s="15">
        <v>133</v>
      </c>
      <c r="AD10" s="111">
        <v>96</v>
      </c>
      <c r="AE10" s="124">
        <v>135</v>
      </c>
      <c r="AF10" s="124">
        <v>121</v>
      </c>
      <c r="AG10" s="124">
        <f>21+42+23</f>
        <v>86</v>
      </c>
      <c r="AH10" s="124">
        <f>21+32+35</f>
        <v>88</v>
      </c>
      <c r="AI10" s="124">
        <v>64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67.8</v>
      </c>
      <c r="BK10">
        <f t="shared" si="0"/>
        <v>65.2</v>
      </c>
      <c r="BL10">
        <f t="shared" si="2"/>
        <v>69.2</v>
      </c>
      <c r="BM10">
        <f t="shared" si="0"/>
        <v>72.5</v>
      </c>
      <c r="BN10">
        <f t="shared" si="0"/>
        <v>72.8</v>
      </c>
      <c r="BO10">
        <f t="shared" si="0"/>
        <v>65.8</v>
      </c>
      <c r="BP10">
        <f t="shared" si="0"/>
        <v>59.1</v>
      </c>
      <c r="BQ10">
        <f t="shared" si="0"/>
        <v>54.9</v>
      </c>
      <c r="BR10">
        <f t="shared" si="3"/>
        <v>54</v>
      </c>
      <c r="BS10">
        <f t="shared" si="3"/>
        <v>52.125</v>
      </c>
      <c r="BT10">
        <f t="shared" si="0"/>
        <v>57.25</v>
      </c>
      <c r="BU10">
        <f t="shared" si="0"/>
        <v>59.285714285714285</v>
      </c>
      <c r="BV10">
        <f t="shared" si="0"/>
        <v>56.285714285714285</v>
      </c>
      <c r="BW10">
        <f t="shared" si="0"/>
        <v>56.571428571428569</v>
      </c>
      <c r="BX10">
        <f t="shared" si="0"/>
        <v>66</v>
      </c>
      <c r="BY10">
        <f t="shared" si="0"/>
        <v>76.285714285714292</v>
      </c>
      <c r="BZ10">
        <f t="shared" si="0"/>
        <v>86.714285714285708</v>
      </c>
      <c r="CA10">
        <f t="shared" si="0"/>
        <v>88.714285714285708</v>
      </c>
      <c r="CB10">
        <f t="shared" si="0"/>
        <v>94.25</v>
      </c>
      <c r="CC10">
        <f t="shared" si="0"/>
        <v>94.444444444444443</v>
      </c>
      <c r="CD10">
        <f t="shared" si="0"/>
        <v>100.77777777777777</v>
      </c>
      <c r="CE10">
        <f t="shared" si="0"/>
        <v>102.8</v>
      </c>
      <c r="CF10">
        <f t="shared" si="4"/>
        <v>103.6</v>
      </c>
      <c r="CG10">
        <f t="shared" si="5"/>
        <v>104</v>
      </c>
      <c r="CH10">
        <f t="shared" si="6"/>
        <v>98.4</v>
      </c>
      <c r="CI10">
        <f t="shared" si="7"/>
        <v>98.222222222222229</v>
      </c>
      <c r="CJ10">
        <f t="shared" si="8"/>
        <v>96.875</v>
      </c>
      <c r="CK10">
        <f t="shared" si="9"/>
        <v>103.28571428571429</v>
      </c>
      <c r="CL10">
        <f t="shared" si="10"/>
        <v>98.333333333333329</v>
      </c>
      <c r="CM10">
        <f t="shared" si="11"/>
        <v>98.8</v>
      </c>
      <c r="CN10">
        <f t="shared" si="12"/>
        <v>89.75</v>
      </c>
      <c r="CO10">
        <f t="shared" si="13"/>
        <v>79.333333333333329</v>
      </c>
      <c r="CP10">
        <f t="shared" si="14"/>
        <v>76</v>
      </c>
      <c r="CQ10">
        <f t="shared" si="15"/>
        <v>64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73</v>
      </c>
      <c r="C11" s="16">
        <v>84</v>
      </c>
      <c r="D11" s="16">
        <v>98</v>
      </c>
      <c r="E11" s="16">
        <v>92</v>
      </c>
      <c r="F11" s="16">
        <v>82</v>
      </c>
      <c r="G11" s="16">
        <v>78</v>
      </c>
      <c r="H11" s="16">
        <v>103</v>
      </c>
      <c r="I11" s="16">
        <v>89</v>
      </c>
      <c r="J11" s="16">
        <v>81</v>
      </c>
      <c r="K11" s="16">
        <v>75</v>
      </c>
      <c r="L11" s="16">
        <v>83</v>
      </c>
      <c r="M11" s="16">
        <v>119</v>
      </c>
      <c r="N11" s="16">
        <v>83</v>
      </c>
      <c r="O11" s="16">
        <v>65</v>
      </c>
      <c r="P11" s="16">
        <v>84</v>
      </c>
      <c r="Q11" s="16">
        <v>105</v>
      </c>
      <c r="R11" s="16">
        <v>90</v>
      </c>
      <c r="S11" s="16"/>
      <c r="T11" s="16"/>
      <c r="U11" s="17">
        <v>104</v>
      </c>
      <c r="V11" s="17"/>
      <c r="W11" s="17">
        <v>93</v>
      </c>
      <c r="X11" s="17">
        <v>71</v>
      </c>
      <c r="Y11" s="17">
        <v>181</v>
      </c>
      <c r="Z11" s="17">
        <v>104</v>
      </c>
      <c r="AA11" s="17">
        <v>174</v>
      </c>
      <c r="AB11" s="17">
        <v>162</v>
      </c>
      <c r="AC11" s="17">
        <v>149</v>
      </c>
      <c r="AD11" s="112">
        <v>147</v>
      </c>
      <c r="AE11" s="10">
        <v>82</v>
      </c>
      <c r="AF11" s="10">
        <v>146</v>
      </c>
      <c r="AG11" s="10">
        <f>16+34+36+7</f>
        <v>93</v>
      </c>
      <c r="AH11" s="10">
        <f>39+35+14</f>
        <v>88</v>
      </c>
      <c r="AI11" s="10">
        <v>98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85.5</v>
      </c>
      <c r="BK11">
        <f t="shared" si="0"/>
        <v>86.5</v>
      </c>
      <c r="BL11">
        <f t="shared" si="2"/>
        <v>90</v>
      </c>
      <c r="BM11">
        <f t="shared" si="0"/>
        <v>88.5</v>
      </c>
      <c r="BN11">
        <f t="shared" si="0"/>
        <v>85.8</v>
      </c>
      <c r="BO11">
        <f t="shared" si="0"/>
        <v>86</v>
      </c>
      <c r="BP11">
        <f t="shared" si="0"/>
        <v>88.7</v>
      </c>
      <c r="BQ11">
        <f t="shared" si="0"/>
        <v>87.4</v>
      </c>
      <c r="BR11">
        <f t="shared" si="3"/>
        <v>87.222222222222229</v>
      </c>
      <c r="BS11">
        <f t="shared" si="3"/>
        <v>88</v>
      </c>
      <c r="BT11">
        <f t="shared" si="0"/>
        <v>91.625</v>
      </c>
      <c r="BU11">
        <f t="shared" si="0"/>
        <v>92.857142857142861</v>
      </c>
      <c r="BV11">
        <f t="shared" si="0"/>
        <v>89.142857142857139</v>
      </c>
      <c r="BW11">
        <f t="shared" si="0"/>
        <v>87.428571428571431</v>
      </c>
      <c r="BX11">
        <f t="shared" si="0"/>
        <v>104</v>
      </c>
      <c r="BY11">
        <f t="shared" si="0"/>
        <v>106.85714285714286</v>
      </c>
      <c r="BZ11">
        <f t="shared" si="0"/>
        <v>116.71428571428571</v>
      </c>
      <c r="CA11">
        <f t="shared" si="0"/>
        <v>127</v>
      </c>
      <c r="CB11">
        <f t="shared" si="0"/>
        <v>129.75</v>
      </c>
      <c r="CC11">
        <f t="shared" si="0"/>
        <v>131.66666666666666</v>
      </c>
      <c r="CD11">
        <f t="shared" si="0"/>
        <v>129.22222222222223</v>
      </c>
      <c r="CE11">
        <f t="shared" si="0"/>
        <v>130.9</v>
      </c>
      <c r="CF11">
        <f t="shared" si="4"/>
        <v>130.9</v>
      </c>
      <c r="CG11">
        <f t="shared" si="5"/>
        <v>132.6</v>
      </c>
      <c r="CH11">
        <f t="shared" si="6"/>
        <v>124.3</v>
      </c>
      <c r="CI11">
        <f t="shared" si="7"/>
        <v>126.55555555555556</v>
      </c>
      <c r="CJ11">
        <f t="shared" si="8"/>
        <v>120.625</v>
      </c>
      <c r="CK11">
        <f t="shared" si="9"/>
        <v>114.71428571428571</v>
      </c>
      <c r="CL11">
        <f t="shared" si="10"/>
        <v>109</v>
      </c>
      <c r="CM11">
        <f t="shared" si="11"/>
        <v>101.4</v>
      </c>
      <c r="CN11">
        <f t="shared" si="12"/>
        <v>106.25</v>
      </c>
      <c r="CO11">
        <f t="shared" si="13"/>
        <v>93</v>
      </c>
      <c r="CP11">
        <f t="shared" si="14"/>
        <v>93</v>
      </c>
      <c r="CQ11">
        <f t="shared" si="15"/>
        <v>98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126</v>
      </c>
      <c r="C12" s="14">
        <v>119</v>
      </c>
      <c r="D12" s="14">
        <v>126</v>
      </c>
      <c r="E12" s="14">
        <v>83</v>
      </c>
      <c r="F12" s="14">
        <v>139</v>
      </c>
      <c r="G12" s="14">
        <v>125</v>
      </c>
      <c r="H12" s="14">
        <v>107</v>
      </c>
      <c r="I12" s="14">
        <v>130</v>
      </c>
      <c r="J12" s="14">
        <v>109</v>
      </c>
      <c r="K12" s="14">
        <v>82</v>
      </c>
      <c r="L12" s="14">
        <v>68</v>
      </c>
      <c r="M12" s="14">
        <v>127</v>
      </c>
      <c r="N12" s="14">
        <v>108</v>
      </c>
      <c r="O12" s="14">
        <v>113</v>
      </c>
      <c r="P12" s="14">
        <v>41</v>
      </c>
      <c r="Q12" s="14">
        <v>78</v>
      </c>
      <c r="R12" s="14">
        <v>49</v>
      </c>
      <c r="S12" s="14"/>
      <c r="T12" s="14"/>
      <c r="U12" s="15">
        <v>98</v>
      </c>
      <c r="V12" s="15"/>
      <c r="W12" s="15">
        <v>137</v>
      </c>
      <c r="X12" s="15">
        <v>109</v>
      </c>
      <c r="Y12" s="15">
        <v>203</v>
      </c>
      <c r="Z12" s="15">
        <v>147</v>
      </c>
      <c r="AA12" s="15">
        <v>133</v>
      </c>
      <c r="AB12" s="15">
        <v>178</v>
      </c>
      <c r="AC12" s="15">
        <v>109</v>
      </c>
      <c r="AD12" s="111">
        <v>177</v>
      </c>
      <c r="AE12" s="124">
        <v>184</v>
      </c>
      <c r="AF12" s="124">
        <v>106</v>
      </c>
      <c r="AG12" s="124">
        <f>24+44+11+10</f>
        <v>89</v>
      </c>
      <c r="AH12" s="124">
        <v>125</v>
      </c>
      <c r="AI12" s="124">
        <v>114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114.6</v>
      </c>
      <c r="BK12">
        <f t="shared" si="0"/>
        <v>108.8</v>
      </c>
      <c r="BL12">
        <f t="shared" si="2"/>
        <v>109.6</v>
      </c>
      <c r="BM12">
        <f t="shared" si="0"/>
        <v>107.8</v>
      </c>
      <c r="BN12">
        <f t="shared" si="0"/>
        <v>110.8</v>
      </c>
      <c r="BO12">
        <f t="shared" si="0"/>
        <v>101</v>
      </c>
      <c r="BP12">
        <f t="shared" si="0"/>
        <v>96.3</v>
      </c>
      <c r="BQ12">
        <f t="shared" si="0"/>
        <v>90.5</v>
      </c>
      <c r="BR12">
        <f t="shared" si="3"/>
        <v>86.111111111111114</v>
      </c>
      <c r="BS12">
        <f t="shared" si="3"/>
        <v>83.25</v>
      </c>
      <c r="BT12">
        <f t="shared" si="0"/>
        <v>85.25</v>
      </c>
      <c r="BU12">
        <f t="shared" si="0"/>
        <v>87.714285714285708</v>
      </c>
      <c r="BV12">
        <f t="shared" si="0"/>
        <v>89.142857142857139</v>
      </c>
      <c r="BW12">
        <f t="shared" si="0"/>
        <v>89.285714285714292</v>
      </c>
      <c r="BX12">
        <f t="shared" si="0"/>
        <v>102.14285714285714</v>
      </c>
      <c r="BY12">
        <f t="shared" si="0"/>
        <v>117.28571428571429</v>
      </c>
      <c r="BZ12">
        <f t="shared" si="0"/>
        <v>125.14285714285714</v>
      </c>
      <c r="CA12">
        <f t="shared" si="0"/>
        <v>143.57142857142858</v>
      </c>
      <c r="CB12">
        <f t="shared" si="0"/>
        <v>139.25</v>
      </c>
      <c r="CC12">
        <f t="shared" si="0"/>
        <v>143.44444444444446</v>
      </c>
      <c r="CD12">
        <f t="shared" si="0"/>
        <v>153</v>
      </c>
      <c r="CE12">
        <f t="shared" si="0"/>
        <v>148.30000000000001</v>
      </c>
      <c r="CF12">
        <f t="shared" si="4"/>
        <v>143.5</v>
      </c>
      <c r="CG12">
        <f t="shared" si="5"/>
        <v>145.1</v>
      </c>
      <c r="CH12">
        <f t="shared" si="6"/>
        <v>136.19999999999999</v>
      </c>
      <c r="CI12">
        <f t="shared" si="7"/>
        <v>135</v>
      </c>
      <c r="CJ12">
        <f t="shared" si="8"/>
        <v>135.25</v>
      </c>
      <c r="CK12">
        <f t="shared" si="9"/>
        <v>129.14285714285714</v>
      </c>
      <c r="CL12">
        <f t="shared" si="10"/>
        <v>132.5</v>
      </c>
      <c r="CM12">
        <f t="shared" si="11"/>
        <v>123.6</v>
      </c>
      <c r="CN12">
        <f t="shared" si="12"/>
        <v>108.5</v>
      </c>
      <c r="CO12">
        <f t="shared" si="13"/>
        <v>109.33333333333333</v>
      </c>
      <c r="CP12">
        <f t="shared" si="14"/>
        <v>119.5</v>
      </c>
      <c r="CQ12">
        <f t="shared" si="15"/>
        <v>114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69</v>
      </c>
      <c r="C13" s="16">
        <v>87</v>
      </c>
      <c r="D13" s="16">
        <v>101</v>
      </c>
      <c r="E13" s="16">
        <v>85</v>
      </c>
      <c r="F13" s="16">
        <v>111</v>
      </c>
      <c r="G13" s="16">
        <v>292</v>
      </c>
      <c r="H13" s="16">
        <v>68</v>
      </c>
      <c r="I13" s="16">
        <v>97</v>
      </c>
      <c r="J13" s="16">
        <v>128</v>
      </c>
      <c r="K13" s="16">
        <v>102</v>
      </c>
      <c r="L13" s="16">
        <v>35</v>
      </c>
      <c r="M13" s="16">
        <v>85</v>
      </c>
      <c r="N13" s="16">
        <v>44</v>
      </c>
      <c r="O13" s="16">
        <v>101</v>
      </c>
      <c r="P13" s="16">
        <v>85</v>
      </c>
      <c r="Q13" s="16">
        <v>91</v>
      </c>
      <c r="R13" s="16">
        <v>97</v>
      </c>
      <c r="S13" s="16"/>
      <c r="T13" s="16"/>
      <c r="U13" s="17">
        <v>88</v>
      </c>
      <c r="V13" s="17"/>
      <c r="W13" s="17">
        <v>56</v>
      </c>
      <c r="X13" s="17">
        <v>81</v>
      </c>
      <c r="Y13" s="17">
        <v>123</v>
      </c>
      <c r="Z13" s="17">
        <v>92</v>
      </c>
      <c r="AA13" s="17">
        <v>97</v>
      </c>
      <c r="AB13" s="17">
        <v>125</v>
      </c>
      <c r="AC13" s="17">
        <v>130</v>
      </c>
      <c r="AD13" s="112">
        <v>152</v>
      </c>
      <c r="AE13" s="10">
        <v>220</v>
      </c>
      <c r="AF13" s="10">
        <v>97</v>
      </c>
      <c r="AG13" s="10">
        <f>19+5+35+5+29</f>
        <v>93</v>
      </c>
      <c r="AH13" s="10">
        <v>130</v>
      </c>
      <c r="AI13" s="10">
        <v>36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114</v>
      </c>
      <c r="BK13">
        <f t="shared" si="0"/>
        <v>110.6</v>
      </c>
      <c r="BL13">
        <f t="shared" si="2"/>
        <v>110.4</v>
      </c>
      <c r="BM13">
        <f t="shared" si="0"/>
        <v>104.7</v>
      </c>
      <c r="BN13">
        <f t="shared" si="0"/>
        <v>106.3</v>
      </c>
      <c r="BO13">
        <f t="shared" si="0"/>
        <v>103.7</v>
      </c>
      <c r="BP13">
        <f t="shared" si="0"/>
        <v>83.6</v>
      </c>
      <c r="BQ13">
        <f t="shared" si="0"/>
        <v>86.5</v>
      </c>
      <c r="BR13">
        <f t="shared" si="3"/>
        <v>85.333333333333329</v>
      </c>
      <c r="BS13">
        <f t="shared" si="3"/>
        <v>80</v>
      </c>
      <c r="BT13">
        <f t="shared" si="0"/>
        <v>78.25</v>
      </c>
      <c r="BU13">
        <f t="shared" si="0"/>
        <v>84.428571428571431</v>
      </c>
      <c r="BV13">
        <f t="shared" si="0"/>
        <v>80.285714285714292</v>
      </c>
      <c r="BW13">
        <f t="shared" si="0"/>
        <v>85.571428571428569</v>
      </c>
      <c r="BX13">
        <f t="shared" si="0"/>
        <v>88.714285714285708</v>
      </c>
      <c r="BY13">
        <f t="shared" si="0"/>
        <v>89.714285714285708</v>
      </c>
      <c r="BZ13">
        <f t="shared" si="0"/>
        <v>90.571428571428569</v>
      </c>
      <c r="CA13">
        <f t="shared" si="0"/>
        <v>94.571428571428569</v>
      </c>
      <c r="CB13">
        <f t="shared" si="0"/>
        <v>99</v>
      </c>
      <c r="CC13">
        <f t="shared" si="0"/>
        <v>104.88888888888889</v>
      </c>
      <c r="CD13">
        <f t="shared" si="0"/>
        <v>119.55555555555556</v>
      </c>
      <c r="CE13">
        <f t="shared" si="0"/>
        <v>117.3</v>
      </c>
      <c r="CF13">
        <f t="shared" si="4"/>
        <v>121</v>
      </c>
      <c r="CG13">
        <f t="shared" si="5"/>
        <v>125.9</v>
      </c>
      <c r="CH13">
        <f t="shared" si="6"/>
        <v>117.2</v>
      </c>
      <c r="CI13">
        <f t="shared" si="7"/>
        <v>120</v>
      </c>
      <c r="CJ13">
        <f t="shared" si="8"/>
        <v>122.875</v>
      </c>
      <c r="CK13">
        <f t="shared" si="9"/>
        <v>122.57142857142857</v>
      </c>
      <c r="CL13">
        <f t="shared" si="10"/>
        <v>121.33333333333333</v>
      </c>
      <c r="CM13">
        <f t="shared" si="11"/>
        <v>115.2</v>
      </c>
      <c r="CN13">
        <f t="shared" si="12"/>
        <v>89</v>
      </c>
      <c r="CO13">
        <f t="shared" si="13"/>
        <v>86.333333333333329</v>
      </c>
      <c r="CP13">
        <f t="shared" si="14"/>
        <v>83</v>
      </c>
      <c r="CQ13">
        <f t="shared" si="15"/>
        <v>36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72</v>
      </c>
      <c r="C14" s="14">
        <v>141</v>
      </c>
      <c r="D14" s="14">
        <v>133</v>
      </c>
      <c r="E14" s="14">
        <v>133</v>
      </c>
      <c r="F14" s="14">
        <v>59</v>
      </c>
      <c r="G14" s="14">
        <v>115</v>
      </c>
      <c r="H14" s="14">
        <v>94</v>
      </c>
      <c r="I14" s="14">
        <v>102</v>
      </c>
      <c r="J14" s="14">
        <v>288</v>
      </c>
      <c r="K14" s="14">
        <v>115</v>
      </c>
      <c r="L14" s="14">
        <v>109</v>
      </c>
      <c r="M14" s="14">
        <v>66</v>
      </c>
      <c r="N14" s="14">
        <v>83</v>
      </c>
      <c r="O14" s="14">
        <v>71</v>
      </c>
      <c r="P14" s="14">
        <v>73</v>
      </c>
      <c r="Q14" s="14">
        <v>79</v>
      </c>
      <c r="R14" s="14">
        <v>95</v>
      </c>
      <c r="S14" s="14"/>
      <c r="T14" s="14"/>
      <c r="U14" s="15">
        <v>110</v>
      </c>
      <c r="V14" s="15"/>
      <c r="W14" s="15">
        <v>111</v>
      </c>
      <c r="X14" s="15">
        <v>113</v>
      </c>
      <c r="Y14" s="15">
        <v>97</v>
      </c>
      <c r="Z14" s="15">
        <v>140</v>
      </c>
      <c r="AA14" s="15">
        <v>155</v>
      </c>
      <c r="AB14" s="15">
        <v>198</v>
      </c>
      <c r="AC14" s="15">
        <v>128</v>
      </c>
      <c r="AD14" s="111">
        <v>150</v>
      </c>
      <c r="AE14" s="124">
        <v>243</v>
      </c>
      <c r="AF14" s="124">
        <v>153</v>
      </c>
      <c r="AG14" s="124">
        <f>15+10+15+40+35+12</f>
        <v>127</v>
      </c>
      <c r="AH14" s="124">
        <v>102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125.2</v>
      </c>
      <c r="BK14">
        <f t="shared" si="0"/>
        <v>128.9</v>
      </c>
      <c r="BL14">
        <f t="shared" si="2"/>
        <v>121.4</v>
      </c>
      <c r="BM14">
        <f t="shared" si="0"/>
        <v>116.4</v>
      </c>
      <c r="BN14">
        <f t="shared" si="0"/>
        <v>110.2</v>
      </c>
      <c r="BO14">
        <f t="shared" si="0"/>
        <v>111.6</v>
      </c>
      <c r="BP14">
        <f t="shared" si="0"/>
        <v>108</v>
      </c>
      <c r="BQ14">
        <f t="shared" si="0"/>
        <v>108.1</v>
      </c>
      <c r="BR14">
        <f t="shared" si="3"/>
        <v>108.77777777777777</v>
      </c>
      <c r="BS14">
        <f t="shared" si="3"/>
        <v>86.375</v>
      </c>
      <c r="BT14">
        <f t="shared" si="0"/>
        <v>85.75</v>
      </c>
      <c r="BU14">
        <f t="shared" si="0"/>
        <v>82.428571428571431</v>
      </c>
      <c r="BV14">
        <f t="shared" si="0"/>
        <v>88.857142857142861</v>
      </c>
      <c r="BW14">
        <f t="shared" si="0"/>
        <v>93.142857142857139</v>
      </c>
      <c r="BX14">
        <f t="shared" si="0"/>
        <v>96.857142857142861</v>
      </c>
      <c r="BY14">
        <f t="shared" si="0"/>
        <v>106.42857142857143</v>
      </c>
      <c r="BZ14">
        <f t="shared" si="0"/>
        <v>117.28571428571429</v>
      </c>
      <c r="CA14">
        <f t="shared" si="0"/>
        <v>132</v>
      </c>
      <c r="CB14">
        <f t="shared" si="0"/>
        <v>131.5</v>
      </c>
      <c r="CC14">
        <f t="shared" si="0"/>
        <v>133.55555555555554</v>
      </c>
      <c r="CD14">
        <f t="shared" si="0"/>
        <v>148.33333333333334</v>
      </c>
      <c r="CE14">
        <f t="shared" si="0"/>
        <v>148.80000000000001</v>
      </c>
      <c r="CF14">
        <f t="shared" si="4"/>
        <v>150.4</v>
      </c>
      <c r="CG14">
        <f t="shared" si="5"/>
        <v>149.30000000000001</v>
      </c>
      <c r="CH14">
        <f t="shared" si="6"/>
        <v>155.11111111111111</v>
      </c>
      <c r="CI14">
        <f t="shared" si="7"/>
        <v>157</v>
      </c>
      <c r="CJ14">
        <f t="shared" si="8"/>
        <v>157.28571428571428</v>
      </c>
      <c r="CK14">
        <f t="shared" si="9"/>
        <v>150.5</v>
      </c>
      <c r="CL14">
        <f t="shared" si="10"/>
        <v>155</v>
      </c>
      <c r="CM14">
        <f t="shared" si="11"/>
        <v>156.25</v>
      </c>
      <c r="CN14">
        <f t="shared" si="12"/>
        <v>127.33333333333333</v>
      </c>
      <c r="CO14">
        <f t="shared" si="13"/>
        <v>114.5</v>
      </c>
      <c r="CP14">
        <f t="shared" si="14"/>
        <v>102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56</v>
      </c>
      <c r="C15" s="16">
        <v>60</v>
      </c>
      <c r="D15" s="16">
        <v>81</v>
      </c>
      <c r="E15" s="16">
        <v>41</v>
      </c>
      <c r="F15" s="16">
        <v>39</v>
      </c>
      <c r="G15" s="16">
        <v>55</v>
      </c>
      <c r="H15" s="16">
        <v>37</v>
      </c>
      <c r="I15" s="16">
        <v>66</v>
      </c>
      <c r="J15" s="16">
        <v>65</v>
      </c>
      <c r="K15" s="16">
        <v>84</v>
      </c>
      <c r="L15" s="16">
        <v>42</v>
      </c>
      <c r="M15" s="16">
        <v>50</v>
      </c>
      <c r="N15" s="16">
        <v>46</v>
      </c>
      <c r="O15" s="16">
        <v>37</v>
      </c>
      <c r="P15" s="16">
        <v>35</v>
      </c>
      <c r="Q15" s="16">
        <v>52</v>
      </c>
      <c r="R15" s="16">
        <v>30</v>
      </c>
      <c r="S15" s="16"/>
      <c r="T15" s="16"/>
      <c r="U15" s="17">
        <v>84</v>
      </c>
      <c r="V15" s="17"/>
      <c r="W15" s="17">
        <v>46</v>
      </c>
      <c r="X15" s="17">
        <v>70</v>
      </c>
      <c r="Y15" s="17">
        <v>50</v>
      </c>
      <c r="Z15" s="17">
        <v>82</v>
      </c>
      <c r="AA15" s="17">
        <v>79</v>
      </c>
      <c r="AB15" s="17">
        <v>105</v>
      </c>
      <c r="AC15" s="17">
        <v>77</v>
      </c>
      <c r="AD15" s="112">
        <v>51</v>
      </c>
      <c r="AE15" s="10">
        <v>139</v>
      </c>
      <c r="AF15" s="10">
        <v>90</v>
      </c>
      <c r="AG15" s="10">
        <f>5+28+44+24</f>
        <v>101</v>
      </c>
      <c r="AH15" s="10">
        <v>75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58.4</v>
      </c>
      <c r="BK15">
        <f t="shared" si="0"/>
        <v>57</v>
      </c>
      <c r="BL15">
        <f t="shared" si="2"/>
        <v>56</v>
      </c>
      <c r="BM15">
        <f t="shared" si="0"/>
        <v>52.5</v>
      </c>
      <c r="BN15">
        <f t="shared" si="0"/>
        <v>52.1</v>
      </c>
      <c r="BO15">
        <f t="shared" si="0"/>
        <v>51.7</v>
      </c>
      <c r="BP15">
        <f t="shared" si="0"/>
        <v>51.4</v>
      </c>
      <c r="BQ15">
        <f t="shared" si="0"/>
        <v>50.7</v>
      </c>
      <c r="BR15">
        <f t="shared" si="3"/>
        <v>49</v>
      </c>
      <c r="BS15">
        <f t="shared" si="3"/>
        <v>47</v>
      </c>
      <c r="BT15">
        <f t="shared" si="0"/>
        <v>47</v>
      </c>
      <c r="BU15">
        <f t="shared" si="0"/>
        <v>47.714285714285715</v>
      </c>
      <c r="BV15">
        <f t="shared" si="0"/>
        <v>47.142857142857146</v>
      </c>
      <c r="BW15">
        <f t="shared" si="0"/>
        <v>50.571428571428569</v>
      </c>
      <c r="BX15">
        <f t="shared" si="0"/>
        <v>52.428571428571431</v>
      </c>
      <c r="BY15">
        <f t="shared" si="0"/>
        <v>59.142857142857146</v>
      </c>
      <c r="BZ15">
        <f t="shared" si="0"/>
        <v>63</v>
      </c>
      <c r="CA15">
        <f t="shared" si="0"/>
        <v>73.714285714285708</v>
      </c>
      <c r="CB15">
        <f t="shared" si="0"/>
        <v>74.125</v>
      </c>
      <c r="CC15">
        <f t="shared" si="0"/>
        <v>71.555555555555557</v>
      </c>
      <c r="CD15">
        <f t="shared" si="0"/>
        <v>77.666666666666671</v>
      </c>
      <c r="CE15">
        <f t="shared" si="0"/>
        <v>78.900000000000006</v>
      </c>
      <c r="CF15">
        <f t="shared" si="4"/>
        <v>84.4</v>
      </c>
      <c r="CG15">
        <f t="shared" si="5"/>
        <v>84.9</v>
      </c>
      <c r="CH15">
        <f t="shared" si="6"/>
        <v>88.777777777777771</v>
      </c>
      <c r="CI15">
        <f t="shared" si="7"/>
        <v>89.625</v>
      </c>
      <c r="CJ15">
        <f t="shared" si="8"/>
        <v>91.142857142857139</v>
      </c>
      <c r="CK15">
        <f t="shared" si="9"/>
        <v>88.833333333333329</v>
      </c>
      <c r="CL15">
        <f t="shared" si="10"/>
        <v>91.2</v>
      </c>
      <c r="CM15">
        <f t="shared" si="11"/>
        <v>101.25</v>
      </c>
      <c r="CN15">
        <f t="shared" si="12"/>
        <v>88.666666666666671</v>
      </c>
      <c r="CO15">
        <f t="shared" si="13"/>
        <v>88</v>
      </c>
      <c r="CP15">
        <f t="shared" si="14"/>
        <v>75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30</v>
      </c>
      <c r="C16" s="14">
        <v>29</v>
      </c>
      <c r="D16" s="14">
        <v>10</v>
      </c>
      <c r="E16" s="14">
        <v>44</v>
      </c>
      <c r="F16" s="14">
        <v>28</v>
      </c>
      <c r="G16" s="14">
        <v>30</v>
      </c>
      <c r="H16" s="14">
        <v>45</v>
      </c>
      <c r="I16" s="14">
        <v>26</v>
      </c>
      <c r="J16" s="14">
        <v>54</v>
      </c>
      <c r="K16" s="14">
        <v>21</v>
      </c>
      <c r="L16" s="14">
        <v>41</v>
      </c>
      <c r="M16" s="14">
        <v>25</v>
      </c>
      <c r="N16" s="14">
        <v>50</v>
      </c>
      <c r="O16" s="14">
        <v>31</v>
      </c>
      <c r="P16" s="14">
        <v>10</v>
      </c>
      <c r="Q16" s="14">
        <v>33</v>
      </c>
      <c r="R16" s="14">
        <v>29</v>
      </c>
      <c r="S16" s="14"/>
      <c r="T16" s="14"/>
      <c r="U16" s="15">
        <v>13</v>
      </c>
      <c r="V16" s="15"/>
      <c r="W16" s="15">
        <v>44</v>
      </c>
      <c r="X16" s="15">
        <v>7</v>
      </c>
      <c r="Y16" s="15">
        <v>35</v>
      </c>
      <c r="Z16" s="15">
        <v>49</v>
      </c>
      <c r="AA16" s="15">
        <v>36</v>
      </c>
      <c r="AB16" s="15">
        <v>34</v>
      </c>
      <c r="AC16" s="15">
        <v>44</v>
      </c>
      <c r="AD16" s="111">
        <v>74</v>
      </c>
      <c r="AE16" s="124">
        <v>37</v>
      </c>
      <c r="AF16" s="124">
        <v>58</v>
      </c>
      <c r="AG16" s="124">
        <f>14+6</f>
        <v>20</v>
      </c>
      <c r="AH16" s="124">
        <v>59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31.7</v>
      </c>
      <c r="BK16">
        <f t="shared" si="0"/>
        <v>32.799999999999997</v>
      </c>
      <c r="BL16">
        <f t="shared" si="2"/>
        <v>32.4</v>
      </c>
      <c r="BM16">
        <f t="shared" si="0"/>
        <v>36.4</v>
      </c>
      <c r="BN16">
        <f t="shared" si="0"/>
        <v>35.1</v>
      </c>
      <c r="BO16">
        <f t="shared" si="0"/>
        <v>33.299999999999997</v>
      </c>
      <c r="BP16">
        <f t="shared" si="0"/>
        <v>33.6</v>
      </c>
      <c r="BQ16">
        <f t="shared" si="0"/>
        <v>32</v>
      </c>
      <c r="BR16">
        <f t="shared" si="3"/>
        <v>32.666666666666664</v>
      </c>
      <c r="BS16">
        <f t="shared" si="3"/>
        <v>30</v>
      </c>
      <c r="BT16">
        <f t="shared" si="0"/>
        <v>29</v>
      </c>
      <c r="BU16">
        <f t="shared" si="0"/>
        <v>27.285714285714285</v>
      </c>
      <c r="BV16">
        <f t="shared" si="0"/>
        <v>30</v>
      </c>
      <c r="BW16">
        <f t="shared" si="0"/>
        <v>23.857142857142858</v>
      </c>
      <c r="BX16">
        <f t="shared" si="0"/>
        <v>24.428571428571427</v>
      </c>
      <c r="BY16">
        <f t="shared" si="0"/>
        <v>30</v>
      </c>
      <c r="BZ16">
        <f t="shared" si="0"/>
        <v>30.428571428571427</v>
      </c>
      <c r="CA16">
        <f t="shared" si="0"/>
        <v>31.142857142857142</v>
      </c>
      <c r="CB16">
        <f t="shared" si="0"/>
        <v>32.75</v>
      </c>
      <c r="CC16">
        <f t="shared" si="0"/>
        <v>37.333333333333336</v>
      </c>
      <c r="CD16">
        <f t="shared" si="0"/>
        <v>40</v>
      </c>
      <c r="CE16">
        <f t="shared" si="0"/>
        <v>41.8</v>
      </c>
      <c r="CF16">
        <f t="shared" si="4"/>
        <v>39.4</v>
      </c>
      <c r="CG16">
        <f t="shared" si="5"/>
        <v>44.6</v>
      </c>
      <c r="CH16">
        <f t="shared" si="6"/>
        <v>45.666666666666664</v>
      </c>
      <c r="CI16">
        <f t="shared" si="7"/>
        <v>45.25</v>
      </c>
      <c r="CJ16">
        <f t="shared" si="8"/>
        <v>46.571428571428569</v>
      </c>
      <c r="CK16">
        <f t="shared" si="9"/>
        <v>48.666666666666664</v>
      </c>
      <c r="CL16">
        <f t="shared" si="10"/>
        <v>49.6</v>
      </c>
      <c r="CM16">
        <f t="shared" si="11"/>
        <v>43.5</v>
      </c>
      <c r="CN16">
        <f t="shared" si="12"/>
        <v>45.666666666666664</v>
      </c>
      <c r="CO16">
        <f t="shared" si="13"/>
        <v>39.5</v>
      </c>
      <c r="CP16">
        <f t="shared" si="14"/>
        <v>59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770</v>
      </c>
      <c r="C18" s="22">
        <f t="shared" ref="C18:AZ18" si="29">SUM(C5:C16)</f>
        <v>802</v>
      </c>
      <c r="D18" s="22">
        <f t="shared" si="29"/>
        <v>746</v>
      </c>
      <c r="E18" s="22">
        <f t="shared" si="29"/>
        <v>872</v>
      </c>
      <c r="F18" s="22">
        <f t="shared" si="29"/>
        <v>794</v>
      </c>
      <c r="G18" s="22">
        <f t="shared" si="29"/>
        <v>1021</v>
      </c>
      <c r="H18" s="22">
        <f t="shared" si="29"/>
        <v>997</v>
      </c>
      <c r="I18" s="22">
        <f t="shared" si="29"/>
        <v>866</v>
      </c>
      <c r="J18" s="22">
        <f t="shared" si="29"/>
        <v>956</v>
      </c>
      <c r="K18" s="22">
        <f t="shared" si="29"/>
        <v>712</v>
      </c>
      <c r="L18" s="22">
        <f t="shared" si="29"/>
        <v>574</v>
      </c>
      <c r="M18" s="22">
        <f t="shared" si="29"/>
        <v>783</v>
      </c>
      <c r="N18" s="22">
        <f t="shared" si="29"/>
        <v>629</v>
      </c>
      <c r="O18" s="22">
        <f t="shared" si="29"/>
        <v>697</v>
      </c>
      <c r="P18" s="22">
        <f t="shared" si="29"/>
        <v>502</v>
      </c>
      <c r="Q18" s="22">
        <f t="shared" si="29"/>
        <v>632</v>
      </c>
      <c r="R18" s="22">
        <f t="shared" si="29"/>
        <v>643</v>
      </c>
      <c r="S18" s="22">
        <f t="shared" si="29"/>
        <v>0</v>
      </c>
      <c r="T18" s="22">
        <f t="shared" si="29"/>
        <v>0</v>
      </c>
      <c r="U18" s="22">
        <f t="shared" si="29"/>
        <v>804</v>
      </c>
      <c r="V18" s="22">
        <f t="shared" si="29"/>
        <v>0</v>
      </c>
      <c r="W18" s="22">
        <f t="shared" si="29"/>
        <v>917</v>
      </c>
      <c r="X18" s="22">
        <f t="shared" si="29"/>
        <v>818</v>
      </c>
      <c r="Y18" s="22">
        <f t="shared" si="29"/>
        <v>1084</v>
      </c>
      <c r="Z18" s="22">
        <f t="shared" si="29"/>
        <v>927</v>
      </c>
      <c r="AA18" s="22">
        <f t="shared" si="29"/>
        <v>1154</v>
      </c>
      <c r="AB18" s="22">
        <f t="shared" si="29"/>
        <v>1237</v>
      </c>
      <c r="AC18" s="22">
        <f t="shared" si="29"/>
        <v>1012</v>
      </c>
      <c r="AD18" s="22">
        <f t="shared" si="29"/>
        <v>1010</v>
      </c>
      <c r="AE18" s="22">
        <f t="shared" si="29"/>
        <v>1354</v>
      </c>
      <c r="AF18" s="22">
        <f t="shared" si="29"/>
        <v>1320</v>
      </c>
      <c r="AG18" s="22">
        <f t="shared" si="29"/>
        <v>879</v>
      </c>
      <c r="AH18" s="22">
        <f t="shared" si="29"/>
        <v>976</v>
      </c>
      <c r="AI18" s="22">
        <f t="shared" si="29"/>
        <v>558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>AVERAGE(P18:Y18)</f>
        <v>540</v>
      </c>
      <c r="BY18" s="25">
        <f>AVERAGE(Q18:Z18)</f>
        <v>582.5</v>
      </c>
      <c r="BZ18" s="25">
        <f>AVERAGE(R18:AA18)</f>
        <v>634.70000000000005</v>
      </c>
      <c r="CA18" s="25">
        <f>AVERAGE(S18:AB18)</f>
        <v>694.1</v>
      </c>
      <c r="CB18" s="25">
        <f>AVERAGE(T18:AC18)</f>
        <v>795.3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transitionEvaluation="1" codeName="Sheet21">
    <tabColor theme="5"/>
  </sheetPr>
  <dimension ref="A1:DD192"/>
  <sheetViews>
    <sheetView defaultGridColor="0" colorId="22" zoomScaleNormal="100" workbookViewId="0">
      <pane xSplit="1" topLeftCell="R1" activePane="topRight" state="frozen"/>
      <selection activeCell="A2" sqref="A2"/>
      <selection pane="topRight" activeCell="AJ13" sqref="AJ13"/>
    </sheetView>
  </sheetViews>
  <sheetFormatPr baseColWidth="10" defaultColWidth="9.42578125" defaultRowHeight="20" customHeight="1" x14ac:dyDescent="0.2"/>
  <cols>
    <col min="1" max="1" width="45.85546875" style="5" customWidth="1"/>
    <col min="2" max="18" width="5.7109375" style="5" customWidth="1"/>
    <col min="19" max="20" width="5.7109375" style="5" hidden="1" customWidth="1"/>
    <col min="21" max="21" width="5.7109375" style="5" customWidth="1"/>
    <col min="22" max="22" width="5.7109375" style="5" hidden="1" customWidth="1"/>
    <col min="23" max="26" width="5.7109375" style="5" customWidth="1"/>
    <col min="27" max="28" width="9.140625" style="5" customWidth="1"/>
    <col min="29" max="30" width="9.42578125" style="5" customWidth="1"/>
    <col min="31" max="31" width="7.28515625" customWidth="1"/>
    <col min="32" max="52" width="9.42578125" customWidth="1"/>
    <col min="53" max="74" width="9.42578125" style="5" customWidth="1"/>
    <col min="75" max="75" width="4.7109375" style="5" customWidth="1"/>
    <col min="76" max="76" width="18.28515625" style="5" customWidth="1"/>
    <col min="77" max="77" width="21.42578125" style="5" customWidth="1"/>
    <col min="78" max="78" width="8.7109375" style="5" customWidth="1"/>
    <col min="79" max="79" width="16.85546875" style="5" customWidth="1"/>
    <col min="80" max="81" width="17.710937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 t="e">
        <f>+BM:AAE:AU</f>
        <v>#NAME?</v>
      </c>
      <c r="BE1" s="35"/>
    </row>
    <row r="2" spans="1:108" s="34" customFormat="1" ht="25" customHeight="1" x14ac:dyDescent="0.25">
      <c r="A2" s="36" t="s">
        <v>45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 t="s">
        <v>73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96</v>
      </c>
      <c r="C5" s="16">
        <v>102</v>
      </c>
      <c r="D5" s="16">
        <v>157</v>
      </c>
      <c r="E5" s="16">
        <v>93</v>
      </c>
      <c r="F5" s="16">
        <v>247</v>
      </c>
      <c r="G5" s="16">
        <v>78</v>
      </c>
      <c r="H5" s="16">
        <v>137</v>
      </c>
      <c r="I5" s="16">
        <v>239</v>
      </c>
      <c r="J5" s="16">
        <v>119</v>
      </c>
      <c r="K5" s="16">
        <v>346</v>
      </c>
      <c r="L5" s="16">
        <v>93</v>
      </c>
      <c r="M5" s="16">
        <v>159</v>
      </c>
      <c r="N5" s="16">
        <v>92</v>
      </c>
      <c r="O5" s="16">
        <v>148</v>
      </c>
      <c r="P5" s="16">
        <v>162</v>
      </c>
      <c r="Q5" s="16">
        <v>186</v>
      </c>
      <c r="R5" s="16">
        <v>189</v>
      </c>
      <c r="S5" s="16"/>
      <c r="T5" s="16"/>
      <c r="U5" s="17">
        <v>168</v>
      </c>
      <c r="V5" s="17"/>
      <c r="W5" s="17">
        <v>260</v>
      </c>
      <c r="X5" s="17">
        <v>280</v>
      </c>
      <c r="Y5" s="17">
        <v>237</v>
      </c>
      <c r="Z5" s="17">
        <v>329</v>
      </c>
      <c r="AA5" s="76">
        <v>244</v>
      </c>
      <c r="AB5" s="16">
        <v>435</v>
      </c>
      <c r="AC5" s="16">
        <v>242</v>
      </c>
      <c r="AD5" s="16">
        <v>365</v>
      </c>
      <c r="AE5" s="10">
        <v>454</v>
      </c>
      <c r="AF5" s="10">
        <v>532</v>
      </c>
      <c r="AG5" s="10">
        <f>36+26+43+38+43+39+40+20+15</f>
        <v>300</v>
      </c>
      <c r="AH5" s="10">
        <f>1+49+35+55+29+51+59+42+52+36+39+31+24</f>
        <v>503</v>
      </c>
      <c r="AI5" s="10">
        <f>(3+1+2+7+2+2)+(2+2+2+1+2+2+2+1+2+1+3+2+1+3+2+1+1+1)+(3+8+3+1+1+1+2+2+3+1+2+2+3+1+3+2+8+2)+(2+2+3+2+1+1+2+1+1+1+1+7+1+1+1+2+1)+(2+12+2+3+2+2+2+1+2+2+1+1+1+2+1+1+1+2)+(4+3+2+1+1+2+1+1+2+2+2+1+2+1)+(3+2+2+2+1+2+1+2+1+1+2+1+1+1+1+3+1+2)+(2+2+2+2+2+2+2+2+3+1+2+1+1+1+1+2+1+2+2)</f>
        <v>253</v>
      </c>
      <c r="AJ5" s="10">
        <f>SUM(1+2+2+1+3+2+2+1+1+2+2+14+2+2+1+1+2+4+2+1+2+1+1+1+2+3+7+2+3+1+2+2+2+1+1+1+1+2+4+2+4+2+2+1+3+2+2+1+2+1+1+1+1+2+1+2+1+12+2+1+1+3+3+3+1+1+3+7+1+1+2+2+4+1+1+3+1+2+4+7+2+3+1+1+4+2+1+1+3+2+2+1+4+2+1+7+2+1+1+2+1+1+2+12+2+1+7+5+1+1+1+1+1+2+2+1)</f>
        <v>268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161.4</v>
      </c>
      <c r="BK5">
        <f t="shared" ref="BK5:DD16" si="0">AVERAGE(C5:L5)</f>
        <v>161.1</v>
      </c>
      <c r="BL5">
        <f>AVERAGE(D5:M5)</f>
        <v>166.8</v>
      </c>
      <c r="BM5">
        <f t="shared" si="0"/>
        <v>160.30000000000001</v>
      </c>
      <c r="BN5">
        <f t="shared" si="0"/>
        <v>165.8</v>
      </c>
      <c r="BO5">
        <f t="shared" si="0"/>
        <v>157.30000000000001</v>
      </c>
      <c r="BP5">
        <f t="shared" si="0"/>
        <v>168.1</v>
      </c>
      <c r="BQ5">
        <f t="shared" si="0"/>
        <v>173.3</v>
      </c>
      <c r="BR5">
        <f t="shared" si="0"/>
        <v>166</v>
      </c>
      <c r="BS5">
        <f t="shared" si="0"/>
        <v>171.875</v>
      </c>
      <c r="BT5">
        <f t="shared" si="0"/>
        <v>149.625</v>
      </c>
      <c r="BU5">
        <f t="shared" si="0"/>
        <v>157.71428571428572</v>
      </c>
      <c r="BV5">
        <f t="shared" si="0"/>
        <v>172.14285714285714</v>
      </c>
      <c r="BW5">
        <f t="shared" si="0"/>
        <v>199</v>
      </c>
      <c r="BX5">
        <f t="shared" si="0"/>
        <v>211.71428571428572</v>
      </c>
      <c r="BY5">
        <f t="shared" si="0"/>
        <v>235.57142857142858</v>
      </c>
      <c r="BZ5">
        <f t="shared" si="0"/>
        <v>243.85714285714286</v>
      </c>
      <c r="CA5">
        <f t="shared" si="0"/>
        <v>279</v>
      </c>
      <c r="CB5">
        <f t="shared" si="0"/>
        <v>274.375</v>
      </c>
      <c r="CC5">
        <f t="shared" si="0"/>
        <v>284.44444444444446</v>
      </c>
      <c r="CD5">
        <f t="shared" si="0"/>
        <v>316.22222222222223</v>
      </c>
      <c r="CE5">
        <f t="shared" si="0"/>
        <v>337.8</v>
      </c>
      <c r="CF5">
        <f t="shared" si="0"/>
        <v>341.8</v>
      </c>
      <c r="CG5">
        <f t="shared" si="0"/>
        <v>364.1</v>
      </c>
      <c r="CH5">
        <f t="shared" si="0"/>
        <v>365.7</v>
      </c>
      <c r="CI5">
        <f t="shared" si="0"/>
        <v>359.6</v>
      </c>
      <c r="CJ5">
        <f t="shared" si="0"/>
        <v>372.44444444444446</v>
      </c>
      <c r="CK5">
        <f t="shared" si="0"/>
        <v>364.625</v>
      </c>
      <c r="CL5">
        <f t="shared" si="0"/>
        <v>382.14285714285717</v>
      </c>
      <c r="CM5">
        <f t="shared" si="0"/>
        <v>385</v>
      </c>
      <c r="CN5">
        <f t="shared" si="0"/>
        <v>371.2</v>
      </c>
      <c r="CO5">
        <f t="shared" si="0"/>
        <v>331</v>
      </c>
      <c r="CP5">
        <f t="shared" si="0"/>
        <v>341.33333333333331</v>
      </c>
      <c r="CQ5">
        <f t="shared" si="0"/>
        <v>260.5</v>
      </c>
      <c r="CR5">
        <f t="shared" si="0"/>
        <v>268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183</v>
      </c>
      <c r="C6" s="14">
        <v>123</v>
      </c>
      <c r="D6" s="14">
        <v>126</v>
      </c>
      <c r="E6" s="14">
        <v>105</v>
      </c>
      <c r="F6" s="14">
        <v>134</v>
      </c>
      <c r="G6" s="14">
        <v>111</v>
      </c>
      <c r="H6" s="14">
        <v>163</v>
      </c>
      <c r="I6" s="14">
        <v>207</v>
      </c>
      <c r="J6" s="14">
        <v>195</v>
      </c>
      <c r="K6" s="14">
        <v>140</v>
      </c>
      <c r="L6" s="14">
        <v>128</v>
      </c>
      <c r="M6" s="14">
        <v>255</v>
      </c>
      <c r="N6" s="14">
        <v>116</v>
      </c>
      <c r="O6" s="14">
        <v>156</v>
      </c>
      <c r="P6" s="14">
        <v>146</v>
      </c>
      <c r="Q6" s="14">
        <v>176</v>
      </c>
      <c r="R6" s="14">
        <v>135</v>
      </c>
      <c r="S6" s="14"/>
      <c r="T6" s="14"/>
      <c r="U6" s="15">
        <v>161</v>
      </c>
      <c r="V6" s="15"/>
      <c r="W6" s="15">
        <v>314</v>
      </c>
      <c r="X6" s="15">
        <v>150</v>
      </c>
      <c r="Y6" s="15">
        <v>178</v>
      </c>
      <c r="Z6" s="15">
        <v>192</v>
      </c>
      <c r="AA6" s="76">
        <v>188</v>
      </c>
      <c r="AB6" s="14">
        <v>378</v>
      </c>
      <c r="AC6" s="14">
        <v>327</v>
      </c>
      <c r="AD6" s="14">
        <v>338</v>
      </c>
      <c r="AE6" s="124">
        <v>429</v>
      </c>
      <c r="AF6" s="124">
        <v>349</v>
      </c>
      <c r="AG6" s="124">
        <f>25+34+43+37+36+27+43+38+11</f>
        <v>294</v>
      </c>
      <c r="AH6" s="124">
        <f>22+41+37+33+34+42+45+43+20</f>
        <v>317</v>
      </c>
      <c r="AI6" s="124">
        <f>(1+1+1+2+1+1+2+3+1+1+2+2+3+1+1+3+2+2+1+1)+(3+2+2+3+1+2+4+3+1+1+1+1+2+1+1+1+1+2+2+1)+(1+3+1+1+2+2+1+1+1+4+4+1+2+1+1+2+1+1+1+2)+(1+1+1+2+1+1+2+2+1+2+1+2+2+2+2+1+1+2+2+2)+(2+2+1+2+2+2+1+1+2+1+2+2+2+3+2+2+1+2+1+1)+(3+2+1+2+6+4+2+1+4+2+2+5+1+1+1+2+2+1)+(4+1+1+1+3+1+2+2+2+1+2+2+1+1+2+2+2+2+2+2)+(1+1+1+1+2+1+1+1+1+2+5+6+3+1+4+2+2+1+2)+(3+5+3+1+1+3+1+1+1+1+4+1+2+1+1+2+2+12+2)+(1+1+1+1+1)</f>
        <v>333</v>
      </c>
      <c r="AJ6" s="124">
        <f>SUM(1+2+2+2+2+4+1+1+1+2+2+1+2+1+2+2+2+3+1+1+4+2+2+5+1+1+2+2+4+2+2+1+3+1+2+1+2+1+1+1+1+1+1+1+2+1+2+1+2+2+1+2+1+2+4+1+3+1+5+1+1+1+1+1+1+2+2+1+1+2+1+2+2+4+4+4+1+2+3+2+1+1+4+4+2+2+2+2+2+1+1+1+1+2+1+2+2+2+1+2)</f>
        <v>184</v>
      </c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148.69999999999999</v>
      </c>
      <c r="BK6">
        <f t="shared" si="0"/>
        <v>143.19999999999999</v>
      </c>
      <c r="BL6">
        <f t="shared" ref="BL6:BL16" si="2">AVERAGE(D6:M6)</f>
        <v>156.4</v>
      </c>
      <c r="BM6">
        <f t="shared" si="0"/>
        <v>155.4</v>
      </c>
      <c r="BN6">
        <f t="shared" si="0"/>
        <v>160.5</v>
      </c>
      <c r="BO6">
        <f t="shared" si="0"/>
        <v>161.69999999999999</v>
      </c>
      <c r="BP6">
        <f t="shared" si="0"/>
        <v>168.2</v>
      </c>
      <c r="BQ6">
        <f t="shared" si="0"/>
        <v>165.4</v>
      </c>
      <c r="BR6">
        <f t="shared" ref="BR6:BS16" si="3">AVERAGE(J6:S6)</f>
        <v>160.77777777777777</v>
      </c>
      <c r="BS6">
        <f t="shared" si="3"/>
        <v>156.5</v>
      </c>
      <c r="BT6">
        <f t="shared" si="0"/>
        <v>159.125</v>
      </c>
      <c r="BU6">
        <f t="shared" si="0"/>
        <v>163.57142857142858</v>
      </c>
      <c r="BV6">
        <f t="shared" si="0"/>
        <v>172</v>
      </c>
      <c r="BW6">
        <f t="shared" si="0"/>
        <v>176.85714285714286</v>
      </c>
      <c r="BX6">
        <f t="shared" si="0"/>
        <v>180</v>
      </c>
      <c r="BY6">
        <f t="shared" si="0"/>
        <v>186.57142857142858</v>
      </c>
      <c r="BZ6">
        <f t="shared" si="0"/>
        <v>188.28571428571428</v>
      </c>
      <c r="CA6">
        <f t="shared" si="0"/>
        <v>223</v>
      </c>
      <c r="CB6">
        <f t="shared" si="0"/>
        <v>236</v>
      </c>
      <c r="CC6">
        <f t="shared" si="0"/>
        <v>247.33333333333334</v>
      </c>
      <c r="CD6">
        <f t="shared" si="0"/>
        <v>277.11111111111109</v>
      </c>
      <c r="CE6">
        <f t="shared" si="0"/>
        <v>284.3</v>
      </c>
      <c r="CF6">
        <f t="shared" ref="CF6:CF16" si="4">AVERAGE(X6:AG6)</f>
        <v>282.3</v>
      </c>
      <c r="CG6">
        <f t="shared" ref="CG6:CG16" si="5">AVERAGE(Y6:AH6)</f>
        <v>299</v>
      </c>
      <c r="CH6">
        <f t="shared" ref="CH6:CH16" si="6">AVERAGE(Z6:AI6)</f>
        <v>314.5</v>
      </c>
      <c r="CI6">
        <f t="shared" ref="CI6:CI16" si="7">AVERAGE(AA6:AJ6)</f>
        <v>313.7</v>
      </c>
      <c r="CJ6">
        <f t="shared" ref="CJ6:CJ16" si="8">AVERAGE(AB6:AK6)</f>
        <v>327.66666666666669</v>
      </c>
      <c r="CK6">
        <f t="shared" ref="CK6:CK16" si="9">AVERAGE(AC6:AL6)</f>
        <v>321.375</v>
      </c>
      <c r="CL6">
        <f t="shared" ref="CL6:CL16" si="10">AVERAGE(AD6:AM6)</f>
        <v>320.57142857142856</v>
      </c>
      <c r="CM6">
        <f t="shared" ref="CM6:CM16" si="11">AVERAGE(AE6:AN6)</f>
        <v>317.66666666666669</v>
      </c>
      <c r="CN6">
        <f t="shared" ref="CN6:CN16" si="12">AVERAGE(AF6:AO6)</f>
        <v>295.39999999999998</v>
      </c>
      <c r="CO6">
        <f t="shared" ref="CO6:CO16" si="13">AVERAGE(AG6:AP6)</f>
        <v>282</v>
      </c>
      <c r="CP6">
        <f t="shared" ref="CP6:CP16" si="14">AVERAGE(AH6:AQ6)</f>
        <v>278</v>
      </c>
      <c r="CQ6">
        <f t="shared" ref="CQ6:CQ16" si="15">AVERAGE(AI6:AR6)</f>
        <v>258.5</v>
      </c>
      <c r="CR6">
        <f t="shared" ref="CR6:CR16" si="16">AVERAGE(AJ6:AS6)</f>
        <v>184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244</v>
      </c>
      <c r="C7" s="16">
        <v>148</v>
      </c>
      <c r="D7" s="16">
        <v>47</v>
      </c>
      <c r="E7" s="16">
        <v>73</v>
      </c>
      <c r="F7" s="16">
        <v>233</v>
      </c>
      <c r="G7" s="16">
        <v>203</v>
      </c>
      <c r="H7" s="16">
        <v>129</v>
      </c>
      <c r="I7" s="16">
        <v>179</v>
      </c>
      <c r="J7" s="16">
        <v>188</v>
      </c>
      <c r="K7" s="16">
        <v>235</v>
      </c>
      <c r="L7" s="16">
        <v>159</v>
      </c>
      <c r="M7" s="16">
        <v>295</v>
      </c>
      <c r="N7" s="16">
        <v>160</v>
      </c>
      <c r="O7" s="16">
        <v>240</v>
      </c>
      <c r="P7" s="16">
        <v>184</v>
      </c>
      <c r="Q7" s="16">
        <v>271</v>
      </c>
      <c r="R7" s="16">
        <v>103</v>
      </c>
      <c r="S7" s="16"/>
      <c r="T7" s="16"/>
      <c r="U7" s="17">
        <v>299</v>
      </c>
      <c r="V7" s="17"/>
      <c r="W7" s="17">
        <v>297</v>
      </c>
      <c r="X7" s="17">
        <v>326</v>
      </c>
      <c r="Y7" s="17">
        <v>246</v>
      </c>
      <c r="Z7" s="17">
        <v>297</v>
      </c>
      <c r="AA7" s="76">
        <v>261</v>
      </c>
      <c r="AB7" s="16">
        <v>273</v>
      </c>
      <c r="AC7" s="16">
        <v>324</v>
      </c>
      <c r="AD7" s="16">
        <v>371</v>
      </c>
      <c r="AE7" s="10">
        <v>497</v>
      </c>
      <c r="AF7" s="10">
        <v>548</v>
      </c>
      <c r="AG7" s="10">
        <f>23+48+39+33+34+40+46+46+1</f>
        <v>310</v>
      </c>
      <c r="AH7" s="10">
        <f>30+35+35+37+42+33+37+8</f>
        <v>257</v>
      </c>
      <c r="AJ7" s="10">
        <f>SUM(1+2+12+3+2+3+1+2+2+2+5+1+2+1+1+1+2+2+2+1+2+1+2+1+2+2+1+2+1+2+2+3+1+2+2+1+2+3+4+3+6+1+1+1+1+8+1+1+1+1+2+2+1+1+4+2+2+1+2+1+1+2+1+2+1+3+1+2+2+2+2+5+2+2+2+2+2+2+2+1+2+2+2+2+2+3+2+4+3+1+4+3+2+2+1+2+3+5+1+1+1+2+3+2+2+1+1+2+1+2+1+1+7+1+1+2+2+1+1+1+2+3+1+1+2+1+1+1+1+1+1+2+1+1+1+1+1+1+1+3+2+2+2+1+2+1+2+2+3+2+1+2+2+2+1+1+3+1+1+2+4+1+2+1+1+3+1+1+2+1+2+21+2+3+2+3+2+2+2+2+1+1+1)</f>
        <v>371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167.9</v>
      </c>
      <c r="BK7">
        <f t="shared" si="0"/>
        <v>159.4</v>
      </c>
      <c r="BL7">
        <f t="shared" si="2"/>
        <v>174.1</v>
      </c>
      <c r="BM7">
        <f t="shared" si="0"/>
        <v>185.4</v>
      </c>
      <c r="BN7">
        <f t="shared" si="0"/>
        <v>202.1</v>
      </c>
      <c r="BO7">
        <f t="shared" si="0"/>
        <v>197.2</v>
      </c>
      <c r="BP7">
        <f t="shared" si="0"/>
        <v>204</v>
      </c>
      <c r="BQ7">
        <f t="shared" si="0"/>
        <v>201.4</v>
      </c>
      <c r="BR7">
        <f t="shared" si="3"/>
        <v>203.88888888888889</v>
      </c>
      <c r="BS7">
        <f t="shared" si="3"/>
        <v>205.875</v>
      </c>
      <c r="BT7">
        <f t="shared" si="0"/>
        <v>213.875</v>
      </c>
      <c r="BU7">
        <f t="shared" si="0"/>
        <v>221.71428571428572</v>
      </c>
      <c r="BV7">
        <f t="shared" si="0"/>
        <v>222</v>
      </c>
      <c r="BW7">
        <f t="shared" si="0"/>
        <v>245.71428571428572</v>
      </c>
      <c r="BX7">
        <f>AVERAGE(P7:Y7)</f>
        <v>246.57142857142858</v>
      </c>
      <c r="BY7">
        <f t="shared" si="0"/>
        <v>262.71428571428572</v>
      </c>
      <c r="BZ7">
        <f t="shared" si="0"/>
        <v>261.28571428571428</v>
      </c>
      <c r="CA7">
        <f t="shared" si="0"/>
        <v>285.57142857142856</v>
      </c>
      <c r="CB7">
        <f t="shared" si="0"/>
        <v>290.375</v>
      </c>
      <c r="CC7">
        <f t="shared" si="0"/>
        <v>299.33333333333331</v>
      </c>
      <c r="CD7">
        <f t="shared" si="0"/>
        <v>321.33333333333331</v>
      </c>
      <c r="CE7">
        <f>AVERAGE(W7:AF7)</f>
        <v>344</v>
      </c>
      <c r="CF7">
        <f t="shared" si="4"/>
        <v>345.3</v>
      </c>
      <c r="CG7">
        <f t="shared" si="5"/>
        <v>338.4</v>
      </c>
      <c r="CH7">
        <f t="shared" si="6"/>
        <v>348.66666666666669</v>
      </c>
      <c r="CI7">
        <f t="shared" si="7"/>
        <v>356.88888888888891</v>
      </c>
      <c r="CJ7">
        <f t="shared" si="8"/>
        <v>368.875</v>
      </c>
      <c r="CK7">
        <f t="shared" si="9"/>
        <v>382.57142857142856</v>
      </c>
      <c r="CL7">
        <f t="shared" si="10"/>
        <v>392.33333333333331</v>
      </c>
      <c r="CM7">
        <f t="shared" si="11"/>
        <v>396.6</v>
      </c>
      <c r="CN7">
        <f t="shared" si="12"/>
        <v>371.5</v>
      </c>
      <c r="CO7">
        <f t="shared" si="13"/>
        <v>312.66666666666669</v>
      </c>
      <c r="CP7">
        <f t="shared" si="14"/>
        <v>314</v>
      </c>
      <c r="CQ7">
        <f t="shared" si="15"/>
        <v>371</v>
      </c>
      <c r="CR7">
        <f t="shared" si="16"/>
        <v>371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304</v>
      </c>
      <c r="C8" s="14">
        <v>180</v>
      </c>
      <c r="D8" s="14">
        <v>143</v>
      </c>
      <c r="E8" s="14">
        <v>171</v>
      </c>
      <c r="F8" s="14">
        <v>422</v>
      </c>
      <c r="G8" s="14">
        <v>246</v>
      </c>
      <c r="H8" s="14">
        <v>240</v>
      </c>
      <c r="I8" s="14">
        <v>317</v>
      </c>
      <c r="J8" s="14">
        <v>484</v>
      </c>
      <c r="K8" s="14">
        <v>273</v>
      </c>
      <c r="L8" s="14">
        <v>196</v>
      </c>
      <c r="M8" s="14">
        <v>294</v>
      </c>
      <c r="N8" s="14">
        <v>233</v>
      </c>
      <c r="O8" s="14">
        <v>350</v>
      </c>
      <c r="P8" s="14">
        <v>195</v>
      </c>
      <c r="Q8" s="14">
        <v>456</v>
      </c>
      <c r="R8" s="14">
        <v>165</v>
      </c>
      <c r="S8" s="14"/>
      <c r="T8" s="14"/>
      <c r="U8" s="15">
        <v>430</v>
      </c>
      <c r="V8" s="15"/>
      <c r="W8" s="15">
        <v>384</v>
      </c>
      <c r="X8" s="15">
        <v>363</v>
      </c>
      <c r="Y8" s="15">
        <v>288</v>
      </c>
      <c r="Z8" s="15">
        <v>531</v>
      </c>
      <c r="AA8" s="15">
        <v>793</v>
      </c>
      <c r="AB8" s="15">
        <v>797</v>
      </c>
      <c r="AC8" s="15">
        <v>330</v>
      </c>
      <c r="AD8" s="15">
        <v>456</v>
      </c>
      <c r="AE8" s="124">
        <v>325</v>
      </c>
      <c r="AF8" s="124">
        <v>604</v>
      </c>
      <c r="AG8" s="124">
        <f>27+55+51+35+39+45+54+38+29</f>
        <v>373</v>
      </c>
      <c r="AH8" s="124">
        <f>24+20+26+48+40+24+36+37+41+24+11</f>
        <v>331</v>
      </c>
      <c r="AI8" s="124"/>
      <c r="AJ8" s="124">
        <f>SUM(1+1+1+3+2+3+2+2+1+2+1+1+2+4+5+1+2+3+1+3+2+1+1+2+4+2+2+2+2+1+4+2+3+2+1+4+1+2+2+2+1+2+2+2+2+2+1+1+2+3+1+2+2+2+5+3+4+2+2+1+3+2+1+5+2+1+3+2+3+4+4+1+2+2+2+18+2+1+1+1+2+2+1+1+1+2+2+1+2+2+2+1+2+2+1+4+2+3+1+2+2+4+3+2+1+1+2+2+2+2+3+1+3+2+1+1+1+1+2+4+5+2+2+1+1+2+3+2+1+3+3+1+2+1+10+1+1+3+1+2+1+1+2+2+2+2+2+1+2+1+2+1+1+2+2+2+2+2+1+2)</f>
        <v>341</v>
      </c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>
        <v>78273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278</v>
      </c>
      <c r="BK8">
        <f t="shared" si="0"/>
        <v>267.2</v>
      </c>
      <c r="BL8">
        <f t="shared" si="2"/>
        <v>278.60000000000002</v>
      </c>
      <c r="BM8">
        <f t="shared" si="0"/>
        <v>287.60000000000002</v>
      </c>
      <c r="BN8">
        <f t="shared" si="0"/>
        <v>305.5</v>
      </c>
      <c r="BO8">
        <f t="shared" si="0"/>
        <v>282.8</v>
      </c>
      <c r="BP8">
        <f t="shared" si="0"/>
        <v>303.8</v>
      </c>
      <c r="BQ8">
        <f t="shared" si="0"/>
        <v>296.3</v>
      </c>
      <c r="BR8">
        <f t="shared" si="3"/>
        <v>294</v>
      </c>
      <c r="BS8">
        <f t="shared" si="3"/>
        <v>270.25</v>
      </c>
      <c r="BT8">
        <f>AVERAGE(L8:U8)</f>
        <v>289.875</v>
      </c>
      <c r="BU8">
        <f t="shared" si="0"/>
        <v>303.28571428571428</v>
      </c>
      <c r="BV8">
        <f t="shared" si="0"/>
        <v>316.14285714285717</v>
      </c>
      <c r="BW8">
        <f t="shared" si="0"/>
        <v>334.71428571428572</v>
      </c>
      <c r="BX8">
        <f t="shared" si="0"/>
        <v>325.85714285714283</v>
      </c>
      <c r="BY8">
        <f t="shared" si="0"/>
        <v>373.85714285714283</v>
      </c>
      <c r="BZ8">
        <f t="shared" si="0"/>
        <v>422</v>
      </c>
      <c r="CA8">
        <f t="shared" si="0"/>
        <v>512.28571428571433</v>
      </c>
      <c r="CB8">
        <f t="shared" si="0"/>
        <v>489.5</v>
      </c>
      <c r="CC8">
        <f t="shared" si="0"/>
        <v>485.77777777777777</v>
      </c>
      <c r="CD8">
        <f t="shared" si="0"/>
        <v>474.11111111111109</v>
      </c>
      <c r="CE8">
        <f t="shared" si="0"/>
        <v>487.1</v>
      </c>
      <c r="CF8">
        <f t="shared" si="4"/>
        <v>486</v>
      </c>
      <c r="CG8">
        <f t="shared" si="5"/>
        <v>482.8</v>
      </c>
      <c r="CH8">
        <f t="shared" si="6"/>
        <v>504.44444444444446</v>
      </c>
      <c r="CI8">
        <f t="shared" si="7"/>
        <v>483.33333333333331</v>
      </c>
      <c r="CJ8">
        <f t="shared" si="8"/>
        <v>444.625</v>
      </c>
      <c r="CK8">
        <f t="shared" si="9"/>
        <v>394.28571428571428</v>
      </c>
      <c r="CL8">
        <f t="shared" si="10"/>
        <v>405</v>
      </c>
      <c r="CM8">
        <f t="shared" si="11"/>
        <v>394.8</v>
      </c>
      <c r="CN8">
        <f t="shared" si="12"/>
        <v>412.25</v>
      </c>
      <c r="CO8">
        <f t="shared" si="13"/>
        <v>348.33333333333331</v>
      </c>
      <c r="CP8">
        <f t="shared" si="14"/>
        <v>336</v>
      </c>
      <c r="CQ8">
        <f t="shared" si="15"/>
        <v>341</v>
      </c>
      <c r="CR8">
        <f t="shared" si="16"/>
        <v>341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472</v>
      </c>
      <c r="C9" s="16">
        <v>717</v>
      </c>
      <c r="D9" s="16">
        <v>487</v>
      </c>
      <c r="E9" s="16">
        <v>498</v>
      </c>
      <c r="F9" s="16">
        <v>638</v>
      </c>
      <c r="G9" s="16">
        <v>563</v>
      </c>
      <c r="H9" s="16">
        <v>585</v>
      </c>
      <c r="I9" s="16">
        <v>534</v>
      </c>
      <c r="J9" s="16">
        <v>957</v>
      </c>
      <c r="K9" s="16">
        <v>621</v>
      </c>
      <c r="L9" s="16">
        <v>492</v>
      </c>
      <c r="M9" s="16">
        <v>537</v>
      </c>
      <c r="N9" s="16">
        <v>427</v>
      </c>
      <c r="O9" s="16">
        <v>640</v>
      </c>
      <c r="P9" s="16">
        <v>546</v>
      </c>
      <c r="Q9" s="16">
        <v>378</v>
      </c>
      <c r="R9" s="16">
        <v>461</v>
      </c>
      <c r="S9" s="16"/>
      <c r="T9" s="16"/>
      <c r="U9" s="17">
        <v>871</v>
      </c>
      <c r="V9" s="17"/>
      <c r="W9" s="17">
        <v>634</v>
      </c>
      <c r="X9" s="17">
        <v>601</v>
      </c>
      <c r="Y9" s="17">
        <v>703</v>
      </c>
      <c r="Z9" s="17">
        <v>1293</v>
      </c>
      <c r="AA9" s="17">
        <v>826</v>
      </c>
      <c r="AB9" s="17">
        <v>904</v>
      </c>
      <c r="AC9" s="17">
        <v>691</v>
      </c>
      <c r="AD9" s="17">
        <v>915</v>
      </c>
      <c r="AE9" s="10">
        <v>748</v>
      </c>
      <c r="AF9" s="10">
        <v>896</v>
      </c>
      <c r="AG9" s="10">
        <f>10+67+33+64+48+33+33+51+42+30+41+44+38+35</f>
        <v>569</v>
      </c>
      <c r="AH9" s="10">
        <f>27+42+33+36+39+50+52+53+47+32+34+48+54+53+16</f>
        <v>616</v>
      </c>
      <c r="AJ9" s="10">
        <f>SUM(3+2+1+1+1+1+2+2+2+2+2+1+2+1+1+2+10+3+1+2+2+3+2+1+1+4+2+9+2+2+2+2+4+1+2+1+2+2+2+1+3+1+2+1+1+2+1+2+1+2+3+1+1+1+2+2+4+1+1+2+3+1+5+2+2+3+2+2+2+9+4+1+2+13+2+1+1+1+2+2+1+1+1+1+1+3+3+1+2+1+2+1+5+2+2+3+2+9+2+3+2+3+1+2+2+3+1+2+2+2+2+3+3+2+10+3+2+4+2+3+2+2+4+1+1+8+2+2+1+28+5+1+2+2+3+2+4+4+1+3+2+2+1+1+1+4+1+1+2+2+3+2+1+3+4+1+1+1+2+2+2+2+1)</f>
        <v>403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607.20000000000005</v>
      </c>
      <c r="BK9">
        <f t="shared" si="0"/>
        <v>609.20000000000005</v>
      </c>
      <c r="BL9">
        <f t="shared" si="2"/>
        <v>591.20000000000005</v>
      </c>
      <c r="BM9">
        <f t="shared" si="0"/>
        <v>585.20000000000005</v>
      </c>
      <c r="BN9">
        <f t="shared" si="0"/>
        <v>599.4</v>
      </c>
      <c r="BO9">
        <f t="shared" si="0"/>
        <v>590.20000000000005</v>
      </c>
      <c r="BP9">
        <f t="shared" si="0"/>
        <v>571.70000000000005</v>
      </c>
      <c r="BQ9">
        <f t="shared" si="0"/>
        <v>559.29999999999995</v>
      </c>
      <c r="BR9">
        <f t="shared" si="3"/>
        <v>562.11111111111109</v>
      </c>
      <c r="BS9">
        <f t="shared" si="3"/>
        <v>512.75</v>
      </c>
      <c r="BT9">
        <f t="shared" si="0"/>
        <v>544</v>
      </c>
      <c r="BU9">
        <f t="shared" si="0"/>
        <v>551.42857142857144</v>
      </c>
      <c r="BV9">
        <f t="shared" si="0"/>
        <v>565.28571428571433</v>
      </c>
      <c r="BW9">
        <f t="shared" si="0"/>
        <v>590.14285714285711</v>
      </c>
      <c r="BX9">
        <f t="shared" si="0"/>
        <v>599.14285714285711</v>
      </c>
      <c r="BY9">
        <f t="shared" si="0"/>
        <v>705.85714285714289</v>
      </c>
      <c r="BZ9">
        <f t="shared" si="0"/>
        <v>769.85714285714289</v>
      </c>
      <c r="CA9">
        <f t="shared" si="0"/>
        <v>833.14285714285711</v>
      </c>
      <c r="CB9">
        <f t="shared" si="0"/>
        <v>815.375</v>
      </c>
      <c r="CC9">
        <f t="shared" si="0"/>
        <v>826.44444444444446</v>
      </c>
      <c r="CD9">
        <f t="shared" si="0"/>
        <v>812.77777777777783</v>
      </c>
      <c r="CE9">
        <f t="shared" si="0"/>
        <v>821.1</v>
      </c>
      <c r="CF9">
        <f t="shared" si="4"/>
        <v>814.6</v>
      </c>
      <c r="CG9">
        <f t="shared" si="5"/>
        <v>816.1</v>
      </c>
      <c r="CH9">
        <f t="shared" si="6"/>
        <v>828.66666666666663</v>
      </c>
      <c r="CI9">
        <f t="shared" si="7"/>
        <v>729.77777777777783</v>
      </c>
      <c r="CJ9">
        <f t="shared" si="8"/>
        <v>717.75</v>
      </c>
      <c r="CK9">
        <f t="shared" si="9"/>
        <v>691.14285714285711</v>
      </c>
      <c r="CL9">
        <f t="shared" si="10"/>
        <v>691.16666666666663</v>
      </c>
      <c r="CM9">
        <f t="shared" si="11"/>
        <v>646.4</v>
      </c>
      <c r="CN9">
        <f t="shared" si="12"/>
        <v>621</v>
      </c>
      <c r="CO9">
        <f t="shared" si="13"/>
        <v>529.33333333333337</v>
      </c>
      <c r="CP9">
        <f t="shared" si="14"/>
        <v>509.5</v>
      </c>
      <c r="CQ9">
        <f t="shared" si="15"/>
        <v>403</v>
      </c>
      <c r="CR9">
        <f t="shared" si="16"/>
        <v>403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505</v>
      </c>
      <c r="C10" s="14">
        <v>291</v>
      </c>
      <c r="D10" s="14">
        <v>391</v>
      </c>
      <c r="E10" s="14">
        <v>356</v>
      </c>
      <c r="F10" s="14">
        <v>444</v>
      </c>
      <c r="G10" s="14">
        <v>538</v>
      </c>
      <c r="H10" s="14">
        <v>441</v>
      </c>
      <c r="I10" s="14">
        <v>307</v>
      </c>
      <c r="J10" s="14">
        <v>241</v>
      </c>
      <c r="K10" s="14">
        <v>655</v>
      </c>
      <c r="L10" s="14">
        <v>431</v>
      </c>
      <c r="M10" s="14">
        <v>565</v>
      </c>
      <c r="N10" s="14">
        <v>334</v>
      </c>
      <c r="O10" s="14">
        <v>462</v>
      </c>
      <c r="P10" s="14">
        <v>351</v>
      </c>
      <c r="Q10" s="14">
        <v>306</v>
      </c>
      <c r="R10" s="14">
        <v>567</v>
      </c>
      <c r="S10" s="14"/>
      <c r="T10" s="14"/>
      <c r="U10" s="15">
        <v>582</v>
      </c>
      <c r="V10" s="15"/>
      <c r="W10" s="15">
        <v>633</v>
      </c>
      <c r="X10" s="15">
        <v>399</v>
      </c>
      <c r="Y10" s="15">
        <v>927</v>
      </c>
      <c r="Z10" s="15">
        <v>835</v>
      </c>
      <c r="AA10" s="15">
        <v>1119</v>
      </c>
      <c r="AB10" s="15">
        <v>1038</v>
      </c>
      <c r="AC10" s="15">
        <v>951</v>
      </c>
      <c r="AD10" s="15">
        <v>1004</v>
      </c>
      <c r="AE10" s="124">
        <v>951</v>
      </c>
      <c r="AF10" s="124">
        <v>836</v>
      </c>
      <c r="AG10" s="124">
        <f>2+46+60+47+36+43+39+39+48+36+34+40+46+47+48+22</f>
        <v>633</v>
      </c>
      <c r="AH10" s="124">
        <f>20+47+42+33+49+38+52+50+48+48+49+9</f>
        <v>485</v>
      </c>
      <c r="AI10" s="124"/>
      <c r="AJ10" s="124">
        <f>SUM(2+2+1+3+2+4+1+4+1+3+3+3+1+2+22+2+1+1+2+2+1+2+2+2+3+2+3+3+1+1+3+1+1+2+1+1+16+2+2+1+7+2+5+2+1+1+4+6+2+2+1+1+3+1+4+1+2+1+2+2+1+1+3+4+1+3+2+4+1+1+1+3+3+4+3+2+2+1+2+3+2+1+1+1+1+2+1+1+2+3+1+1+3+2+1+3+2+3+1+2+4+1+1+2+2+2+6+6+3+5+1+2+1+1+2+11+4+2+2+2+1+2+1+5+1+2+2+1+2+2+2+1+2+4+1+4+1+2+2+13+3+2+4+3+2+2+2+6+2+1+2+2+2+1+2+2+3+1+2+1+2+1+1+1+4+2+2+8+2+2+3+2+1+2+1+1+1+1+3+5+2+1+1+1+2+2+3+1+1+3+4+1+1+5+6+1+8+1+2+1+1+1+4+2+3+1+2+3+2+4+4+2+4+2+1+3+5+3+2+2+1+2+1+8+3+2+3+1+3+1+3+2+4+3+1+2+2+2+3+2+1+2+5+2+14+4+2+1+2+3+1+3)</f>
        <v>629</v>
      </c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416.9</v>
      </c>
      <c r="BK10">
        <f t="shared" si="0"/>
        <v>409.5</v>
      </c>
      <c r="BL10">
        <f t="shared" si="2"/>
        <v>436.9</v>
      </c>
      <c r="BM10">
        <f t="shared" si="0"/>
        <v>431.2</v>
      </c>
      <c r="BN10">
        <f t="shared" si="0"/>
        <v>441.8</v>
      </c>
      <c r="BO10">
        <f t="shared" si="0"/>
        <v>432.5</v>
      </c>
      <c r="BP10">
        <f t="shared" si="0"/>
        <v>409.3</v>
      </c>
      <c r="BQ10">
        <f t="shared" si="0"/>
        <v>421.9</v>
      </c>
      <c r="BR10">
        <f t="shared" si="3"/>
        <v>434.66666666666669</v>
      </c>
      <c r="BS10">
        <f t="shared" si="3"/>
        <v>458.875</v>
      </c>
      <c r="BT10">
        <f t="shared" si="0"/>
        <v>449.75</v>
      </c>
      <c r="BU10">
        <f t="shared" si="0"/>
        <v>452.42857142857144</v>
      </c>
      <c r="BV10">
        <f t="shared" si="0"/>
        <v>462.14285714285717</v>
      </c>
      <c r="BW10">
        <f t="shared" si="0"/>
        <v>471.42857142857144</v>
      </c>
      <c r="BX10">
        <f t="shared" si="0"/>
        <v>537.85714285714289</v>
      </c>
      <c r="BY10">
        <f t="shared" si="0"/>
        <v>607</v>
      </c>
      <c r="BZ10">
        <f t="shared" si="0"/>
        <v>723.14285714285711</v>
      </c>
      <c r="CA10">
        <f t="shared" si="0"/>
        <v>790.42857142857144</v>
      </c>
      <c r="CB10">
        <f t="shared" si="0"/>
        <v>810.5</v>
      </c>
      <c r="CC10">
        <f t="shared" si="0"/>
        <v>832</v>
      </c>
      <c r="CD10">
        <f t="shared" si="0"/>
        <v>873</v>
      </c>
      <c r="CE10">
        <f t="shared" si="0"/>
        <v>869.3</v>
      </c>
      <c r="CF10">
        <f t="shared" si="4"/>
        <v>869.3</v>
      </c>
      <c r="CG10">
        <f t="shared" si="5"/>
        <v>877.9</v>
      </c>
      <c r="CH10">
        <f t="shared" si="6"/>
        <v>872.44444444444446</v>
      </c>
      <c r="CI10">
        <f t="shared" si="7"/>
        <v>849.55555555555554</v>
      </c>
      <c r="CJ10">
        <f t="shared" si="8"/>
        <v>815.875</v>
      </c>
      <c r="CK10">
        <f t="shared" si="9"/>
        <v>784.14285714285711</v>
      </c>
      <c r="CL10">
        <f t="shared" si="10"/>
        <v>756.33333333333337</v>
      </c>
      <c r="CM10">
        <f t="shared" si="11"/>
        <v>706.8</v>
      </c>
      <c r="CN10">
        <f t="shared" si="12"/>
        <v>645.75</v>
      </c>
      <c r="CO10">
        <f t="shared" si="13"/>
        <v>582.33333333333337</v>
      </c>
      <c r="CP10">
        <f t="shared" si="14"/>
        <v>557</v>
      </c>
      <c r="CQ10">
        <f t="shared" si="15"/>
        <v>629</v>
      </c>
      <c r="CR10">
        <f t="shared" si="16"/>
        <v>629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696</v>
      </c>
      <c r="C11" s="16">
        <v>637</v>
      </c>
      <c r="D11" s="16">
        <v>717</v>
      </c>
      <c r="E11" s="16">
        <v>506</v>
      </c>
      <c r="F11" s="16">
        <v>785</v>
      </c>
      <c r="G11" s="16">
        <v>863</v>
      </c>
      <c r="H11" s="16">
        <v>782</v>
      </c>
      <c r="I11" s="16">
        <v>683</v>
      </c>
      <c r="J11" s="16">
        <v>743</v>
      </c>
      <c r="K11" s="16">
        <v>1003</v>
      </c>
      <c r="L11" s="16">
        <v>833</v>
      </c>
      <c r="M11" s="16">
        <v>799</v>
      </c>
      <c r="N11" s="16">
        <v>767</v>
      </c>
      <c r="O11" s="16">
        <v>710</v>
      </c>
      <c r="P11" s="16">
        <v>678</v>
      </c>
      <c r="Q11" s="16">
        <v>759</v>
      </c>
      <c r="R11" s="16">
        <v>610</v>
      </c>
      <c r="S11" s="16"/>
      <c r="T11" s="16"/>
      <c r="U11" s="17">
        <v>939</v>
      </c>
      <c r="V11" s="17"/>
      <c r="W11" s="17">
        <v>844</v>
      </c>
      <c r="X11" s="17">
        <v>1026</v>
      </c>
      <c r="Y11" s="17">
        <v>1242</v>
      </c>
      <c r="Z11" s="17">
        <v>647</v>
      </c>
      <c r="AA11" s="17">
        <v>1553</v>
      </c>
      <c r="AB11" s="17">
        <v>1814</v>
      </c>
      <c r="AC11" s="17">
        <v>1203</v>
      </c>
      <c r="AD11" s="17">
        <v>1147</v>
      </c>
      <c r="AE11" s="10">
        <v>993</v>
      </c>
      <c r="AF11" s="10">
        <v>906</v>
      </c>
      <c r="AG11" s="10">
        <f>19+37+49+44+50+41+56+46+50+24+50+52+49+39+39+52+42+37+39+54+5</f>
        <v>874</v>
      </c>
      <c r="AH11" s="10">
        <f>17+38+62+30+44+29+48+43+39+38+62+41+61+49+60+43+8</f>
        <v>712</v>
      </c>
      <c r="AI11" s="10">
        <f>SUM(2+2+2+2+2+1+1+1+8+1+4+3+2+1+2+2+1+2+3+3+2+1+2+1+2+5+1+2+2+5+1+2+2+1+2+1+1+2+2+2+1+4+2+3+2+1+1+1+2+1+1+2+1+1+2+2+2+1+1+2+2+2+2+4+3+2+4+2+1+1+1+1+2+2+2+2)</f>
        <v>150</v>
      </c>
      <c r="AJ11" s="10">
        <f>SUM(2+1+2+1+2+11+2+2+2+1+2+1+1+2+1+1+1+1+1+2+1+2+1+1+1+1+1+1+2+2+4+2+2+2+1+2+2+1+8+8+8+8+8+8+6+1+3+2+1+2+2+2+2+3+1+4+3+2+2+7+1+2+2+2+2+2+9+17+2+1+5+1+1+3+3+3+3+3+1+2+1+1+2+2+4+2+2+1+1+1+2+3+2+2+1+2+2+1+2+2+1+1+1+2+2+4+2+6+3+2+2+2+4+2+3+1+2+9+3+7+1+2+2+1+2+2+2+1+2+2+2+7+2+1+1+1+2+3+1+2+1+3+2+1+2+2+2+3+2+1+2+2+3+1+1+1+4+1+1+2+1+2+2)</f>
        <v>400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741.5</v>
      </c>
      <c r="BK11">
        <f t="shared" si="0"/>
        <v>755.2</v>
      </c>
      <c r="BL11">
        <f t="shared" si="2"/>
        <v>771.4</v>
      </c>
      <c r="BM11">
        <f t="shared" si="0"/>
        <v>776.4</v>
      </c>
      <c r="BN11">
        <f t="shared" si="0"/>
        <v>796.8</v>
      </c>
      <c r="BO11">
        <f t="shared" si="0"/>
        <v>786.1</v>
      </c>
      <c r="BP11">
        <f t="shared" si="0"/>
        <v>775.7</v>
      </c>
      <c r="BQ11">
        <f t="shared" si="0"/>
        <v>758.5</v>
      </c>
      <c r="BR11">
        <f t="shared" si="3"/>
        <v>766.88888888888891</v>
      </c>
      <c r="BS11">
        <f t="shared" si="3"/>
        <v>769.875</v>
      </c>
      <c r="BT11">
        <f t="shared" si="0"/>
        <v>761.875</v>
      </c>
      <c r="BU11">
        <f t="shared" si="0"/>
        <v>751.71428571428567</v>
      </c>
      <c r="BV11">
        <f t="shared" si="0"/>
        <v>758.14285714285711</v>
      </c>
      <c r="BW11">
        <f t="shared" si="0"/>
        <v>795.14285714285711</v>
      </c>
      <c r="BX11">
        <f t="shared" si="0"/>
        <v>871.14285714285711</v>
      </c>
      <c r="BY11">
        <f t="shared" si="0"/>
        <v>866.71428571428567</v>
      </c>
      <c r="BZ11">
        <f t="shared" si="0"/>
        <v>980.14285714285711</v>
      </c>
      <c r="CA11">
        <f t="shared" si="0"/>
        <v>1152.1428571428571</v>
      </c>
      <c r="CB11">
        <f t="shared" si="0"/>
        <v>1158.5</v>
      </c>
      <c r="CC11">
        <f t="shared" si="0"/>
        <v>1157.2222222222222</v>
      </c>
      <c r="CD11">
        <f t="shared" si="0"/>
        <v>1163.2222222222222</v>
      </c>
      <c r="CE11">
        <f t="shared" si="0"/>
        <v>1137.5</v>
      </c>
      <c r="CF11">
        <f t="shared" si="4"/>
        <v>1140.5</v>
      </c>
      <c r="CG11">
        <f t="shared" si="5"/>
        <v>1109.0999999999999</v>
      </c>
      <c r="CH11">
        <f t="shared" si="6"/>
        <v>999.9</v>
      </c>
      <c r="CI11">
        <f t="shared" si="7"/>
        <v>975.2</v>
      </c>
      <c r="CJ11">
        <f t="shared" si="8"/>
        <v>911</v>
      </c>
      <c r="CK11">
        <f t="shared" si="9"/>
        <v>798.125</v>
      </c>
      <c r="CL11">
        <f t="shared" si="10"/>
        <v>740.28571428571433</v>
      </c>
      <c r="CM11">
        <f t="shared" si="11"/>
        <v>672.5</v>
      </c>
      <c r="CN11">
        <f t="shared" si="12"/>
        <v>608.4</v>
      </c>
      <c r="CO11">
        <f t="shared" si="13"/>
        <v>534</v>
      </c>
      <c r="CP11">
        <f t="shared" si="14"/>
        <v>420.66666666666669</v>
      </c>
      <c r="CQ11">
        <f t="shared" si="15"/>
        <v>275</v>
      </c>
      <c r="CR11">
        <f t="shared" si="16"/>
        <v>400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721</v>
      </c>
      <c r="C12" s="14">
        <v>826</v>
      </c>
      <c r="D12" s="14">
        <v>649</v>
      </c>
      <c r="E12" s="14">
        <v>842</v>
      </c>
      <c r="F12" s="14">
        <v>955</v>
      </c>
      <c r="G12" s="14">
        <v>746</v>
      </c>
      <c r="H12" s="14">
        <v>1093</v>
      </c>
      <c r="I12" s="14">
        <v>923</v>
      </c>
      <c r="J12" s="14">
        <v>475</v>
      </c>
      <c r="K12" s="14">
        <v>835</v>
      </c>
      <c r="L12" s="14">
        <v>648</v>
      </c>
      <c r="M12" s="14">
        <v>708</v>
      </c>
      <c r="N12" s="14">
        <v>1087</v>
      </c>
      <c r="O12" s="14">
        <v>658</v>
      </c>
      <c r="P12" s="14">
        <v>613</v>
      </c>
      <c r="Q12" s="14">
        <v>667</v>
      </c>
      <c r="R12" s="14">
        <v>786</v>
      </c>
      <c r="S12" s="14"/>
      <c r="T12" s="14"/>
      <c r="U12" s="15">
        <v>942</v>
      </c>
      <c r="V12" s="15"/>
      <c r="W12" s="15">
        <v>870</v>
      </c>
      <c r="X12" s="15">
        <v>1397</v>
      </c>
      <c r="Y12" s="15">
        <v>1412</v>
      </c>
      <c r="Z12" s="15">
        <v>465</v>
      </c>
      <c r="AA12" s="15">
        <v>1517</v>
      </c>
      <c r="AB12" s="15">
        <v>1525</v>
      </c>
      <c r="AC12" s="15">
        <v>983</v>
      </c>
      <c r="AD12" s="15">
        <v>875</v>
      </c>
      <c r="AE12" s="124">
        <v>1093</v>
      </c>
      <c r="AF12" s="124">
        <v>835</v>
      </c>
      <c r="AG12" s="124">
        <f>29+45+44+46+48+36+42+59+39+55+59+50+56+41+32+43+11</f>
        <v>735</v>
      </c>
      <c r="AH12" s="124">
        <f>30+48+55+45+35+27+37+37+41+55+38+56+36+42+24+(2+1+1+1+1+3+2+2+3+1+2+1+2+3+4+1+4+2+1+2+2)+(2+2+4+1+2+1+1)</f>
        <v>660</v>
      </c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806.5</v>
      </c>
      <c r="BK12">
        <f t="shared" si="0"/>
        <v>799.2</v>
      </c>
      <c r="BL12">
        <f t="shared" si="2"/>
        <v>787.4</v>
      </c>
      <c r="BM12">
        <f t="shared" si="0"/>
        <v>831.2</v>
      </c>
      <c r="BN12">
        <f t="shared" si="0"/>
        <v>812.8</v>
      </c>
      <c r="BO12">
        <f t="shared" si="0"/>
        <v>778.6</v>
      </c>
      <c r="BP12">
        <f t="shared" si="0"/>
        <v>770.7</v>
      </c>
      <c r="BQ12">
        <f t="shared" si="0"/>
        <v>740</v>
      </c>
      <c r="BR12">
        <f t="shared" si="3"/>
        <v>719.66666666666663</v>
      </c>
      <c r="BS12">
        <f t="shared" si="3"/>
        <v>750.25</v>
      </c>
      <c r="BT12">
        <f t="shared" si="0"/>
        <v>763.625</v>
      </c>
      <c r="BU12">
        <f t="shared" si="0"/>
        <v>780.14285714285711</v>
      </c>
      <c r="BV12">
        <f t="shared" si="0"/>
        <v>803.28571428571433</v>
      </c>
      <c r="BW12">
        <f t="shared" si="0"/>
        <v>847.57142857142856</v>
      </c>
      <c r="BX12">
        <f t="shared" si="0"/>
        <v>955.28571428571433</v>
      </c>
      <c r="BY12">
        <f t="shared" si="0"/>
        <v>934.14285714285711</v>
      </c>
      <c r="BZ12">
        <f t="shared" si="0"/>
        <v>1055.5714285714287</v>
      </c>
      <c r="CA12">
        <f t="shared" si="0"/>
        <v>1161.1428571428571</v>
      </c>
      <c r="CB12">
        <f t="shared" si="0"/>
        <v>1138.875</v>
      </c>
      <c r="CC12">
        <f t="shared" si="0"/>
        <v>1109.5555555555557</v>
      </c>
      <c r="CD12">
        <f t="shared" si="0"/>
        <v>1126.3333333333333</v>
      </c>
      <c r="CE12">
        <f t="shared" si="0"/>
        <v>1097.2</v>
      </c>
      <c r="CF12">
        <f t="shared" si="4"/>
        <v>1083.7</v>
      </c>
      <c r="CG12">
        <f t="shared" si="5"/>
        <v>1010</v>
      </c>
      <c r="CH12">
        <f t="shared" si="6"/>
        <v>965.33333333333337</v>
      </c>
      <c r="CI12">
        <f t="shared" si="7"/>
        <v>1027.875</v>
      </c>
      <c r="CJ12">
        <f t="shared" si="8"/>
        <v>958</v>
      </c>
      <c r="CK12">
        <f t="shared" si="9"/>
        <v>863.5</v>
      </c>
      <c r="CL12">
        <f t="shared" si="10"/>
        <v>839.6</v>
      </c>
      <c r="CM12">
        <f t="shared" si="11"/>
        <v>830.75</v>
      </c>
      <c r="CN12">
        <f t="shared" si="12"/>
        <v>743.33333333333337</v>
      </c>
      <c r="CO12">
        <f t="shared" si="13"/>
        <v>697.5</v>
      </c>
      <c r="CP12">
        <f t="shared" si="14"/>
        <v>660</v>
      </c>
      <c r="CQ12" t="e">
        <f t="shared" si="15"/>
        <v>#DIV/0!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613</v>
      </c>
      <c r="C13" s="16">
        <v>562</v>
      </c>
      <c r="D13" s="16">
        <v>475</v>
      </c>
      <c r="E13" s="16">
        <v>481</v>
      </c>
      <c r="F13" s="16">
        <v>690</v>
      </c>
      <c r="G13" s="16">
        <v>450</v>
      </c>
      <c r="H13" s="16">
        <v>439</v>
      </c>
      <c r="I13" s="16">
        <v>717</v>
      </c>
      <c r="J13" s="16">
        <v>227</v>
      </c>
      <c r="K13" s="16">
        <v>282</v>
      </c>
      <c r="L13" s="16">
        <v>800</v>
      </c>
      <c r="M13" s="16">
        <v>662</v>
      </c>
      <c r="N13" s="16">
        <v>473</v>
      </c>
      <c r="O13" s="16">
        <v>554</v>
      </c>
      <c r="P13" s="16">
        <v>511</v>
      </c>
      <c r="Q13" s="16">
        <v>430</v>
      </c>
      <c r="R13" s="16">
        <v>741</v>
      </c>
      <c r="S13" s="16"/>
      <c r="T13" s="16"/>
      <c r="U13" s="17">
        <v>836</v>
      </c>
      <c r="V13" s="17"/>
      <c r="W13" s="17">
        <v>794</v>
      </c>
      <c r="X13" s="17">
        <v>723</v>
      </c>
      <c r="Y13" s="17">
        <v>1049</v>
      </c>
      <c r="Z13" s="17">
        <v>1246</v>
      </c>
      <c r="AA13" s="17">
        <v>1126</v>
      </c>
      <c r="AB13" s="17">
        <v>1322</v>
      </c>
      <c r="AC13" s="17">
        <v>948</v>
      </c>
      <c r="AD13" s="17">
        <v>1113</v>
      </c>
      <c r="AE13" s="10">
        <v>1217</v>
      </c>
      <c r="AF13" s="10">
        <v>609</v>
      </c>
      <c r="AG13" s="10">
        <f>26+33+33+55+51+34+43+3+33+39+44+41+35+46+38+31+17</f>
        <v>602</v>
      </c>
      <c r="AH13" s="10">
        <f>(2+1+2+1+2+1+1+2+2+1+2+2+1)+(2+2+3+2+2+4+6+2+1+4+3+4+1+2+1+4+2+1+1)+(4+3+2+3+2+1+5+2+2+4+2+8+2+2+2+1+2)+(4+3+9+6+1+2+2+2+2+1+10+1+1+3+2+4+4+2+1+11)+(2+3+2+3+3+2+2+5+2+1+2+1+5+1+1+1+2)+(5+2+2+2+1+2+2+9+1+1+2+2+1+2+3+2+1+1+1)+(2+2+4+4+2+2+1+2+2+1+1+2+2+1+1+2+2+2)+(1+4+1+1+3+1+2+1+2+1+2+1+1+4+1+4+4+4+2)+(1+2+2+3+2+2+1+1+2+1+2+3+3+2+1+1+5+1+1+1)+(2+3+3+1+2+1+2+1+2+1+2+12+2+2+3+3+2+1+2+2)+(6+1+1+1+1+2+1+2+1+2+4+2+1+2+1+2+2+2+1+1)+(2+2+2+2+2+2+2+2+2+1+2+1+2+2+2+2)+(2+2+1+1+2+2+2+1+2+2)</f>
        <v>509</v>
      </c>
      <c r="AI13" s="10">
        <f>SUM(1+2+2+2+1+2+1+2+2+2+1+3+8+2+1+2+2+1+2+1+2+2+3+1+2+3+2+2+2+2+2+1+2+11+3+4+5+6+2+1+5+2+2+3+2+3+1)</f>
        <v>116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493.6</v>
      </c>
      <c r="BK13">
        <f t="shared" si="0"/>
        <v>512.29999999999995</v>
      </c>
      <c r="BL13">
        <f t="shared" si="2"/>
        <v>522.29999999999995</v>
      </c>
      <c r="BM13">
        <f t="shared" si="0"/>
        <v>522.1</v>
      </c>
      <c r="BN13">
        <f t="shared" si="0"/>
        <v>529.4</v>
      </c>
      <c r="BO13">
        <f t="shared" si="0"/>
        <v>511.5</v>
      </c>
      <c r="BP13">
        <f t="shared" si="0"/>
        <v>509.5</v>
      </c>
      <c r="BQ13">
        <f t="shared" si="0"/>
        <v>539.70000000000005</v>
      </c>
      <c r="BR13">
        <f t="shared" si="3"/>
        <v>520</v>
      </c>
      <c r="BS13">
        <f t="shared" si="3"/>
        <v>556.625</v>
      </c>
      <c r="BT13">
        <f t="shared" si="0"/>
        <v>625.875</v>
      </c>
      <c r="BU13">
        <f t="shared" si="0"/>
        <v>601</v>
      </c>
      <c r="BV13">
        <f t="shared" si="0"/>
        <v>619.85714285714289</v>
      </c>
      <c r="BW13">
        <f t="shared" si="0"/>
        <v>655.57142857142856</v>
      </c>
      <c r="BX13">
        <f t="shared" si="0"/>
        <v>726.28571428571433</v>
      </c>
      <c r="BY13">
        <f t="shared" si="0"/>
        <v>831.28571428571433</v>
      </c>
      <c r="BZ13">
        <f t="shared" si="0"/>
        <v>930.71428571428567</v>
      </c>
      <c r="CA13">
        <f t="shared" si="0"/>
        <v>1013.7142857142857</v>
      </c>
      <c r="CB13">
        <f t="shared" si="0"/>
        <v>1005.5</v>
      </c>
      <c r="CC13">
        <f t="shared" si="0"/>
        <v>1017.4444444444445</v>
      </c>
      <c r="CD13">
        <f t="shared" si="0"/>
        <v>1059.7777777777778</v>
      </c>
      <c r="CE13">
        <f t="shared" si="0"/>
        <v>1014.7</v>
      </c>
      <c r="CF13">
        <f t="shared" si="4"/>
        <v>995.5</v>
      </c>
      <c r="CG13">
        <f t="shared" si="5"/>
        <v>974.1</v>
      </c>
      <c r="CH13">
        <f t="shared" si="6"/>
        <v>880.8</v>
      </c>
      <c r="CI13">
        <f t="shared" si="7"/>
        <v>840.22222222222217</v>
      </c>
      <c r="CJ13">
        <f t="shared" si="8"/>
        <v>804.5</v>
      </c>
      <c r="CK13">
        <f t="shared" si="9"/>
        <v>730.57142857142856</v>
      </c>
      <c r="CL13">
        <f t="shared" si="10"/>
        <v>694.33333333333337</v>
      </c>
      <c r="CM13">
        <f t="shared" si="11"/>
        <v>610.6</v>
      </c>
      <c r="CN13">
        <f t="shared" si="12"/>
        <v>459</v>
      </c>
      <c r="CO13">
        <f t="shared" si="13"/>
        <v>409</v>
      </c>
      <c r="CP13">
        <f t="shared" si="14"/>
        <v>312.5</v>
      </c>
      <c r="CQ13">
        <f t="shared" si="15"/>
        <v>116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585</v>
      </c>
      <c r="C14" s="14">
        <v>789</v>
      </c>
      <c r="D14" s="14">
        <v>890</v>
      </c>
      <c r="E14" s="14">
        <v>1090</v>
      </c>
      <c r="F14" s="14">
        <v>703</v>
      </c>
      <c r="G14" s="14">
        <v>929</v>
      </c>
      <c r="H14" s="14">
        <v>1196</v>
      </c>
      <c r="I14" s="14">
        <v>1054</v>
      </c>
      <c r="J14" s="14">
        <v>171</v>
      </c>
      <c r="K14" s="14">
        <v>721</v>
      </c>
      <c r="L14" s="14">
        <v>683</v>
      </c>
      <c r="M14" s="14">
        <v>559</v>
      </c>
      <c r="N14" s="14">
        <v>741</v>
      </c>
      <c r="O14" s="14">
        <v>982</v>
      </c>
      <c r="P14" s="14">
        <v>424</v>
      </c>
      <c r="Q14" s="14">
        <v>781</v>
      </c>
      <c r="R14" s="14">
        <v>742</v>
      </c>
      <c r="S14" s="14"/>
      <c r="T14" s="14"/>
      <c r="U14" s="15">
        <v>1097</v>
      </c>
      <c r="V14" s="15"/>
      <c r="W14" s="15">
        <v>688</v>
      </c>
      <c r="X14" s="15">
        <v>1136</v>
      </c>
      <c r="Y14" s="15">
        <v>1290</v>
      </c>
      <c r="Z14" s="15">
        <v>1768</v>
      </c>
      <c r="AA14" s="15">
        <v>1706</v>
      </c>
      <c r="AB14" s="15">
        <v>2054</v>
      </c>
      <c r="AC14" s="15">
        <v>1488</v>
      </c>
      <c r="AD14" s="15">
        <v>1662</v>
      </c>
      <c r="AE14" s="124">
        <v>1512</v>
      </c>
      <c r="AF14" s="124">
        <v>1444</v>
      </c>
      <c r="AG14" s="124">
        <f>42+39+33+36+43+52+36+51+70+13+41+56+40+31+36+59+59+35+40+23+31+40+54+78+57+75+43+48+50+35+20</f>
        <v>1366</v>
      </c>
      <c r="AH14" s="124">
        <f>(1+2+2+1+1+1+1+2+2)+(2+2+1+3+3+2+1+1+4+2+4+2+2+2+2+2+1+1+2+2)+(3+15+3+3+2+2+1+1+3+3+2+1+1+2+1+1+1+1+2)+(1+2+2+1+2+2+5+1+2+1+2+5+1+1+1+1+1+2+2+2)+(2+2+1+2+1+3+2+2+4+2+2+2+2+2+4+4+4+1+1+2)+(1+3+1+3+1+2+3+3+3+1+2+2+2+1+2+2+2+3+2)+(2+1+6+3+2+6+2+3+7+2+5+2+2+11+1+4+4+2+2)+(3+4+2+2+2+3+4+3+1+1+1+4+2+2+1+1+2+3+8+1)+(2+1+2+2+2+3+2+1+2+2+1+2+1+2+2+2+1+2+1)+(3+1+2+2+2+2+2+2+1+2+1+3+1+2+1+2+2+2+2+2)+(2+1+1+4+4+2+2+2+2+7+3+5+2+2+6+2+2+4+4+1)+(2+2+2+4+2+4+1+1+2+2+1+3+1+2+1+2+1+3+1+3)+(1+2+2+2+3+2+2+3+2+3+2+2+1+1+1+1+6+2)+(2+2+1+2+2+1+1+3+1+2+1+3+2+2+2+2+2+2+2+2)+(2+2+2+2+2+2+3+2+1+1+3+3+2+2+1+2+2+2+4+2)+(2+1+1+1+1+1+1+4+2+2+3+1+2+4+2+3+4+2)+(2+2+2+2+3+2+1+6+4+2+1+1+1+2+1+3+1+1+2)+(1+2+2+2+2+2+3+1+1+2+2+2+2+1+1+1+2+2+3)+(2+2+2+2+5+1+3+3+3+2+2+2+2+2+2+1+3+1+2)+(1+2+2+2+2+2+1+1+3+7+1+1+2+3+5+2)+(1+1+1+1+2+1+2+2+3+1+2+2+2+4+1+1+1+2+2+2)+(2+3+4+5+2+3+9+2+2+4+2+2+18+2+8+2+1+2+2+2)+(2)</f>
        <v>927</v>
      </c>
      <c r="AI14" s="124">
        <f>SUM(1+2+1+2+3+1+2+33+1+1+1+1+9+2+2+1+1+2+1+2+2+1+2+1+2+1+2+2+1+3+1+1+1+1+3+7+3+2+2+2+1+1+1+4+1+1+4+1+2+2+2+2+2+3+2+2+1+6+1+2+3+1+2+1+1+2+2+2+1+2+2+2+1+2+2+2+3+6+6+1+46+2+2+6+2+2+2+2+2+6+1+2+2+5+5+4+3+2+2+2+2+4+5+3+4+2+2+3+8+2+7+3+2+2+2+2+4+2+3+2+1+1+1+4+1+3+1+4+1+2+2+2+2+2+1+2+1+1+1+1+8+2+2+2+2+4+2+3+4+2+2+11+2+2+2+2+2+1+1+2+2+2+2+2+2+3+4+4+2+3+1+2+2+1+2+1+2+2+2+2+2+2+3+2+1+1+3+2+2+2+2+2+1+2+2+2+1+1+2+2+2+3+2+2+4+2+2+1+3+3+1+2+2+2+2+1+1+2+3+1+1+2+6+3+2+1+2+2+5+1+1+2+2+2+2+2+2+3+1+2+8+4+2+8+1+2+3+2+2+3+2+2+2+3+5+2+3+1+2+2+9+1+1+2+9+11+2+2+2+3+2+2+2+2+4+1+1+2+2+5+4+2+5+4+2+1+5+2+8+1+1+1+1+1+1+5+2+2+2+8+2+5+2+4+2+1+2+1+5+2+4+4+1+8+2+2+1+1+2+2+2+2+2+2+2+3+1+2+1+2+2+1+2+2+2+2+1+2+1+2+1+2+2+2+1+1+2+1+4+2+1+2+2+1+2+2+2+2+2+2+9+8+1+2+3+2+2+2+3+1+2+2+2+2+1+2+7+2+1+2+2+2+2+2+2+4+9+1+2+1+1+2+3+2+2+1+2+1+3+2+4+2+2+3+2+5+2+4+2+1+2+2+2+2+4+2+2+4+2+5+1+2+2+3+2+1+2+2+2+1+6+2+2+6+1+2+1+4+4+1+2+2+2+2+11+3+2+2+2+3+3+1+6+3+6+2+1+1+1+2+2+8+2+8+2+2+1+1+1+4+2+2+2+2+3+2+4+1+1+1+1+1+1+1+1+1+2+2+2+1+2+2+3+2+1+1+6+1+1+2+2+1+2+2+2+2+2+2+1+5+2+3+3+2+2+7+3+1+3+3+1+2+2+1+3+2+1+2+2+2+2+4+2+4+1+2+2+4+1+1+2+8+2+1+2+2+1+2+2+3)</f>
        <v>1383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812.8</v>
      </c>
      <c r="BK14">
        <f t="shared" si="0"/>
        <v>822.6</v>
      </c>
      <c r="BL14">
        <f t="shared" si="2"/>
        <v>799.6</v>
      </c>
      <c r="BM14">
        <f t="shared" si="0"/>
        <v>784.7</v>
      </c>
      <c r="BN14">
        <f t="shared" si="0"/>
        <v>773.9</v>
      </c>
      <c r="BO14">
        <f t="shared" si="0"/>
        <v>746</v>
      </c>
      <c r="BP14">
        <f t="shared" si="0"/>
        <v>731.2</v>
      </c>
      <c r="BQ14">
        <f t="shared" si="0"/>
        <v>685.8</v>
      </c>
      <c r="BR14">
        <f t="shared" si="3"/>
        <v>644.88888888888891</v>
      </c>
      <c r="BS14">
        <f t="shared" si="3"/>
        <v>704.125</v>
      </c>
      <c r="BT14">
        <f t="shared" si="0"/>
        <v>751.125</v>
      </c>
      <c r="BU14">
        <f t="shared" si="0"/>
        <v>760.85714285714289</v>
      </c>
      <c r="BV14">
        <f t="shared" si="0"/>
        <v>779.28571428571433</v>
      </c>
      <c r="BW14">
        <f t="shared" si="0"/>
        <v>835.71428571428567</v>
      </c>
      <c r="BX14">
        <f t="shared" si="0"/>
        <v>879.71428571428567</v>
      </c>
      <c r="BY14">
        <f t="shared" si="0"/>
        <v>1071.7142857142858</v>
      </c>
      <c r="BZ14">
        <f t="shared" si="0"/>
        <v>1203.8571428571429</v>
      </c>
      <c r="CA14">
        <f t="shared" si="0"/>
        <v>1391.2857142857142</v>
      </c>
      <c r="CB14">
        <f t="shared" si="0"/>
        <v>1403.375</v>
      </c>
      <c r="CC14">
        <f t="shared" si="0"/>
        <v>1432.1111111111111</v>
      </c>
      <c r="CD14">
        <f t="shared" si="0"/>
        <v>1478.2222222222222</v>
      </c>
      <c r="CE14">
        <f t="shared" si="0"/>
        <v>1474.8</v>
      </c>
      <c r="CF14">
        <f t="shared" si="4"/>
        <v>1542.6</v>
      </c>
      <c r="CG14">
        <f t="shared" si="5"/>
        <v>1521.7</v>
      </c>
      <c r="CH14">
        <f t="shared" si="6"/>
        <v>1531</v>
      </c>
      <c r="CI14">
        <f t="shared" si="7"/>
        <v>1504.6666666666667</v>
      </c>
      <c r="CJ14">
        <f t="shared" si="8"/>
        <v>1479.5</v>
      </c>
      <c r="CK14">
        <f t="shared" si="9"/>
        <v>1397.4285714285713</v>
      </c>
      <c r="CL14">
        <f t="shared" si="10"/>
        <v>1382.3333333333333</v>
      </c>
      <c r="CM14">
        <f t="shared" si="11"/>
        <v>1326.4</v>
      </c>
      <c r="CN14">
        <f t="shared" si="12"/>
        <v>1280</v>
      </c>
      <c r="CO14">
        <f t="shared" si="13"/>
        <v>1225.3333333333333</v>
      </c>
      <c r="CP14">
        <f t="shared" si="14"/>
        <v>1155</v>
      </c>
      <c r="CQ14">
        <f t="shared" si="15"/>
        <v>1383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221</v>
      </c>
      <c r="C15" s="16">
        <v>135</v>
      </c>
      <c r="D15" s="16">
        <v>280</v>
      </c>
      <c r="E15" s="16">
        <v>257</v>
      </c>
      <c r="F15" s="16">
        <v>157</v>
      </c>
      <c r="G15" s="16">
        <v>272</v>
      </c>
      <c r="H15" s="16">
        <v>141</v>
      </c>
      <c r="I15" s="16">
        <v>330</v>
      </c>
      <c r="J15" s="16">
        <v>95</v>
      </c>
      <c r="K15" s="16">
        <v>305</v>
      </c>
      <c r="L15" s="16">
        <v>448</v>
      </c>
      <c r="M15" s="16">
        <v>235</v>
      </c>
      <c r="N15" s="16">
        <v>300</v>
      </c>
      <c r="O15" s="16">
        <v>147</v>
      </c>
      <c r="P15" s="16">
        <v>271</v>
      </c>
      <c r="Q15" s="16">
        <v>250</v>
      </c>
      <c r="R15" s="16">
        <v>248</v>
      </c>
      <c r="S15" s="16"/>
      <c r="T15" s="16"/>
      <c r="U15" s="17">
        <v>351</v>
      </c>
      <c r="V15" s="17"/>
      <c r="W15" s="17">
        <v>279</v>
      </c>
      <c r="X15" s="17">
        <v>332</v>
      </c>
      <c r="Y15" s="17">
        <v>466</v>
      </c>
      <c r="Z15" s="17">
        <v>584</v>
      </c>
      <c r="AA15" s="17">
        <v>736</v>
      </c>
      <c r="AB15" s="17">
        <v>592</v>
      </c>
      <c r="AC15" s="17">
        <v>350</v>
      </c>
      <c r="AD15" s="17">
        <v>511</v>
      </c>
      <c r="AE15" s="10">
        <v>539</v>
      </c>
      <c r="AF15" s="10">
        <v>501</v>
      </c>
      <c r="AG15" s="10">
        <f>5+43+52+45+33+39+54+42+50+4</f>
        <v>367</v>
      </c>
      <c r="AH15" s="10">
        <f>(2+2+1+1+1+1+1+2+2+4+2+1+1+2+1+9+2+13+4)+(4+1+2+1+3+2+1+4+2+1+7+2+2+2+1+2+1+1)+(4+4+2+2+2+1+4+2+2+2+2+1+2+1+2+1+4+3+4+2)+(2+1+2+2+2+5+2+3+2+6+2+1+1+5+2+2+5+2+6+1)+(2+3+2+2+3+1+1+3+1+2+2+2+1+2+2+3+4+2+1+2)+(1+1+1+1+1+1+1+2+2+3+3+2+3+4+2+3+2+4+2+1)+(1+6+1+2+2+1+2+5+1+2+5+2+3+7)+(3+6+2+2+1+2+3+1+2+3+4+2+2+1+1+2+2+1+2)+(2+2+1+3+2+1+1+2)</f>
        <v>369</v>
      </c>
      <c r="AI15" s="10">
        <f>SUM(1+2+1+1+2+1+2+5+2+2+3+3+1+2+3+2+3+3+5+1+2+5+2+2+1+1+1+1+2+2+1+2+4+1+2+6+1+2+2+2+4+2+2+5+2+2+2+2+4+2+1+2+2+2+2+5+4+2+4+2+1+2+2+1+2+3+2+5+7+1+3+2+4+2+2+2+3+1+1+2+1+5+2+2+15+1+4+2+2+1+2+2+2+2+1+1+2+5+2+2+8+1+2+1+2+1+2+1+5+1+3+4+2+5+2+2+1+4+2+2+2+1+3+4+5+2+3+2+4+2+1+2+1+6+3+1+2+2+2+1+1+1+3+2+1+1+2+3+3+2+6+2+1+2+1+1+1+1+1+2+2+3+5+1+6+2+1+2+1)</f>
        <v>404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>
        <v>7.9790410381814099E+31</v>
      </c>
      <c r="BG15" t="e">
        <v>#N/A</v>
      </c>
      <c r="BH15" t="e">
        <v>#N/A</v>
      </c>
      <c r="BI15" t="e">
        <v>#N/A</v>
      </c>
      <c r="BJ15">
        <f t="shared" si="1"/>
        <v>219.3</v>
      </c>
      <c r="BK15">
        <f t="shared" si="0"/>
        <v>242</v>
      </c>
      <c r="BL15">
        <f t="shared" si="2"/>
        <v>252</v>
      </c>
      <c r="BM15">
        <f t="shared" si="0"/>
        <v>254</v>
      </c>
      <c r="BN15">
        <f t="shared" si="0"/>
        <v>243</v>
      </c>
      <c r="BO15">
        <f t="shared" si="0"/>
        <v>254.4</v>
      </c>
      <c r="BP15">
        <f t="shared" si="0"/>
        <v>252.2</v>
      </c>
      <c r="BQ15">
        <f t="shared" si="0"/>
        <v>262.89999999999998</v>
      </c>
      <c r="BR15">
        <f t="shared" si="3"/>
        <v>255.44444444444446</v>
      </c>
      <c r="BS15">
        <f t="shared" si="3"/>
        <v>275.5</v>
      </c>
      <c r="BT15">
        <f t="shared" si="0"/>
        <v>281.25</v>
      </c>
      <c r="BU15">
        <f t="shared" si="0"/>
        <v>257.42857142857144</v>
      </c>
      <c r="BV15">
        <f t="shared" si="0"/>
        <v>263.71428571428572</v>
      </c>
      <c r="BW15">
        <f t="shared" si="0"/>
        <v>268.28571428571428</v>
      </c>
      <c r="BX15">
        <f t="shared" si="0"/>
        <v>313.85714285714283</v>
      </c>
      <c r="BY15">
        <f t="shared" si="0"/>
        <v>358.57142857142856</v>
      </c>
      <c r="BZ15">
        <f t="shared" si="0"/>
        <v>428</v>
      </c>
      <c r="CA15">
        <f t="shared" si="0"/>
        <v>477.14285714285717</v>
      </c>
      <c r="CB15">
        <f t="shared" si="0"/>
        <v>461.25</v>
      </c>
      <c r="CC15">
        <f t="shared" si="0"/>
        <v>466.77777777777777</v>
      </c>
      <c r="CD15">
        <f t="shared" si="0"/>
        <v>487.66666666666669</v>
      </c>
      <c r="CE15">
        <f t="shared" si="0"/>
        <v>489</v>
      </c>
      <c r="CF15">
        <f t="shared" si="4"/>
        <v>497.8</v>
      </c>
      <c r="CG15">
        <f t="shared" si="5"/>
        <v>501.5</v>
      </c>
      <c r="CH15">
        <f t="shared" si="6"/>
        <v>495.3</v>
      </c>
      <c r="CI15">
        <f t="shared" si="7"/>
        <v>485.44444444444446</v>
      </c>
      <c r="CJ15">
        <f t="shared" si="8"/>
        <v>454.125</v>
      </c>
      <c r="CK15">
        <f t="shared" si="9"/>
        <v>434.42857142857144</v>
      </c>
      <c r="CL15">
        <f t="shared" si="10"/>
        <v>448.5</v>
      </c>
      <c r="CM15">
        <f t="shared" si="11"/>
        <v>436</v>
      </c>
      <c r="CN15">
        <f t="shared" si="12"/>
        <v>410.25</v>
      </c>
      <c r="CO15">
        <f t="shared" si="13"/>
        <v>380</v>
      </c>
      <c r="CP15">
        <f t="shared" si="14"/>
        <v>386.5</v>
      </c>
      <c r="CQ15">
        <f t="shared" si="15"/>
        <v>404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120</v>
      </c>
      <c r="C16" s="14">
        <v>25</v>
      </c>
      <c r="D16" s="14">
        <v>77</v>
      </c>
      <c r="E16" s="14">
        <v>145</v>
      </c>
      <c r="F16" s="14">
        <v>108</v>
      </c>
      <c r="G16" s="14">
        <v>121</v>
      </c>
      <c r="H16" s="14">
        <v>98</v>
      </c>
      <c r="I16" s="14">
        <v>205</v>
      </c>
      <c r="J16" s="14">
        <v>49</v>
      </c>
      <c r="K16" s="14">
        <v>83</v>
      </c>
      <c r="L16" s="14">
        <v>182</v>
      </c>
      <c r="M16" s="14">
        <v>142</v>
      </c>
      <c r="N16" s="14">
        <v>118</v>
      </c>
      <c r="O16" s="14">
        <v>124</v>
      </c>
      <c r="P16" s="14">
        <v>125</v>
      </c>
      <c r="Q16" s="14">
        <v>224</v>
      </c>
      <c r="R16" s="14">
        <v>68</v>
      </c>
      <c r="S16" s="14"/>
      <c r="T16" s="14"/>
      <c r="U16" s="15">
        <v>161</v>
      </c>
      <c r="V16" s="15"/>
      <c r="W16" s="15">
        <v>146</v>
      </c>
      <c r="X16" s="15">
        <v>271</v>
      </c>
      <c r="Y16" s="15">
        <v>280</v>
      </c>
      <c r="Z16" s="15">
        <v>353</v>
      </c>
      <c r="AA16" s="15">
        <v>256</v>
      </c>
      <c r="AB16" s="15">
        <v>324</v>
      </c>
      <c r="AC16" s="15">
        <v>292</v>
      </c>
      <c r="AD16" s="15">
        <v>336</v>
      </c>
      <c r="AE16" s="124">
        <v>148</v>
      </c>
      <c r="AF16" s="124">
        <v>375</v>
      </c>
      <c r="AG16" s="124">
        <f>44+25+44+41+34+50</f>
        <v>238</v>
      </c>
      <c r="AH16" s="124">
        <f>(2+2+1+3+1+1+4+2+1+2)+(1+1+1+1+1+2+1+1+4+1+2+1+3+3+1+1+2+2+1+2)+(2+5+2+1+2+1+1+2+2+1+2+1+2+1+1+1+2+2+6)+(9+5+5+4+2+3+1+1+2+2+1+2+2+1+2+1+1+3+2+3)+(4+1+2+2+3+1+1+2+2+3+1+1+3+2+1+1+1+2+1+4)+(1+2+1+2+3+2+1+2+3+1+2+2+3+2+2+3+1+2+2)+(2+1+2+1+2+2+2+2+1+1+2+1+4+1+2+2+1+2)+(1+2+2+1+2+3+2+5+4+4+2+2)</f>
        <v>276</v>
      </c>
      <c r="AI16" s="124">
        <f>SUM(1+2+4+2+2+2+1+1+1+2+1+7+2+2+1+2+1+2+2+2+1+3+2+2+1+1+1+4+1+2+1+6+4+1+1+2+1+4+2+2+4+2+1+1+2+2+1+2+2+1+1+2+3+2+3+1+2+1+1+1+1+2+1+1+1+1+1+2+2+1+1+8+2+4+3+3+2+4+4+5+1+2+1+1+3+1+1+2+4+6+2+5+4+3+1+2+1+1+2+5+2+2+2+2+3+4+1+5)</f>
        <v>235</v>
      </c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103.1</v>
      </c>
      <c r="BK16">
        <f t="shared" si="0"/>
        <v>109.3</v>
      </c>
      <c r="BL16">
        <f t="shared" si="2"/>
        <v>121</v>
      </c>
      <c r="BM16">
        <f t="shared" si="0"/>
        <v>125.1</v>
      </c>
      <c r="BN16">
        <f t="shared" si="0"/>
        <v>123</v>
      </c>
      <c r="BO16">
        <f t="shared" si="0"/>
        <v>124.7</v>
      </c>
      <c r="BP16">
        <f t="shared" si="0"/>
        <v>135</v>
      </c>
      <c r="BQ16">
        <f t="shared" si="0"/>
        <v>132</v>
      </c>
      <c r="BR16">
        <f t="shared" si="3"/>
        <v>123.88888888888889</v>
      </c>
      <c r="BS16">
        <f t="shared" si="3"/>
        <v>133.25</v>
      </c>
      <c r="BT16">
        <f t="shared" si="0"/>
        <v>143</v>
      </c>
      <c r="BU16">
        <f t="shared" si="0"/>
        <v>137.42857142857142</v>
      </c>
      <c r="BV16">
        <f t="shared" si="0"/>
        <v>138</v>
      </c>
      <c r="BW16">
        <f t="shared" si="0"/>
        <v>159.85714285714286</v>
      </c>
      <c r="BX16">
        <f t="shared" si="0"/>
        <v>182.14285714285714</v>
      </c>
      <c r="BY16">
        <f t="shared" si="0"/>
        <v>214.71428571428572</v>
      </c>
      <c r="BZ16">
        <f t="shared" si="0"/>
        <v>219.28571428571428</v>
      </c>
      <c r="CA16">
        <f t="shared" si="0"/>
        <v>255.85714285714286</v>
      </c>
      <c r="CB16">
        <f t="shared" si="0"/>
        <v>260.375</v>
      </c>
      <c r="CC16">
        <f t="shared" si="0"/>
        <v>268.77777777777777</v>
      </c>
      <c r="CD16">
        <f t="shared" si="0"/>
        <v>267.33333333333331</v>
      </c>
      <c r="CE16">
        <f t="shared" si="0"/>
        <v>278.10000000000002</v>
      </c>
      <c r="CF16">
        <f t="shared" si="4"/>
        <v>287.3</v>
      </c>
      <c r="CG16">
        <f t="shared" si="5"/>
        <v>287.8</v>
      </c>
      <c r="CH16">
        <f t="shared" si="6"/>
        <v>283.3</v>
      </c>
      <c r="CI16">
        <f t="shared" si="7"/>
        <v>275.55555555555554</v>
      </c>
      <c r="CJ16">
        <f t="shared" si="8"/>
        <v>278</v>
      </c>
      <c r="CK16">
        <f t="shared" si="9"/>
        <v>271.42857142857144</v>
      </c>
      <c r="CL16">
        <f t="shared" si="10"/>
        <v>268</v>
      </c>
      <c r="CM16">
        <f t="shared" si="11"/>
        <v>254.4</v>
      </c>
      <c r="CN16">
        <f t="shared" si="12"/>
        <v>281</v>
      </c>
      <c r="CO16">
        <f t="shared" si="13"/>
        <v>249.66666666666666</v>
      </c>
      <c r="CP16">
        <f t="shared" si="14"/>
        <v>255.5</v>
      </c>
      <c r="CQ16">
        <f t="shared" si="15"/>
        <v>235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4760</v>
      </c>
      <c r="C18" s="22">
        <f t="shared" ref="C18:AZ18" si="29">SUM(C5:C16)</f>
        <v>4535</v>
      </c>
      <c r="D18" s="22">
        <f t="shared" si="29"/>
        <v>4439</v>
      </c>
      <c r="E18" s="22">
        <f t="shared" si="29"/>
        <v>4617</v>
      </c>
      <c r="F18" s="22">
        <f t="shared" si="29"/>
        <v>5516</v>
      </c>
      <c r="G18" s="22">
        <f t="shared" si="29"/>
        <v>5120</v>
      </c>
      <c r="H18" s="22">
        <f t="shared" si="29"/>
        <v>5444</v>
      </c>
      <c r="I18" s="22">
        <f t="shared" si="29"/>
        <v>5695</v>
      </c>
      <c r="J18" s="22">
        <f t="shared" si="29"/>
        <v>3944</v>
      </c>
      <c r="K18" s="22">
        <f t="shared" si="29"/>
        <v>5499</v>
      </c>
      <c r="L18" s="22">
        <f t="shared" si="29"/>
        <v>5093</v>
      </c>
      <c r="M18" s="22">
        <f t="shared" si="29"/>
        <v>5210</v>
      </c>
      <c r="N18" s="22">
        <f t="shared" si="29"/>
        <v>4848</v>
      </c>
      <c r="O18" s="22">
        <f t="shared" si="29"/>
        <v>5171</v>
      </c>
      <c r="P18" s="22">
        <f t="shared" si="29"/>
        <v>4206</v>
      </c>
      <c r="Q18" s="22">
        <f t="shared" si="29"/>
        <v>4884</v>
      </c>
      <c r="R18" s="22">
        <f t="shared" si="29"/>
        <v>4815</v>
      </c>
      <c r="S18" s="22">
        <f t="shared" si="29"/>
        <v>0</v>
      </c>
      <c r="T18" s="22">
        <f t="shared" si="29"/>
        <v>0</v>
      </c>
      <c r="U18" s="22">
        <f t="shared" si="29"/>
        <v>6837</v>
      </c>
      <c r="V18" s="22">
        <f t="shared" si="29"/>
        <v>0</v>
      </c>
      <c r="W18" s="22">
        <f t="shared" si="29"/>
        <v>6143</v>
      </c>
      <c r="X18" s="22">
        <f t="shared" si="29"/>
        <v>7004</v>
      </c>
      <c r="Y18" s="22">
        <f t="shared" si="29"/>
        <v>8318</v>
      </c>
      <c r="Z18" s="22">
        <f t="shared" si="29"/>
        <v>8540</v>
      </c>
      <c r="AA18" s="22">
        <f t="shared" si="29"/>
        <v>10325</v>
      </c>
      <c r="AB18" s="22">
        <f t="shared" si="29"/>
        <v>11456</v>
      </c>
      <c r="AC18" s="22">
        <f t="shared" si="29"/>
        <v>8129</v>
      </c>
      <c r="AD18" s="22">
        <f t="shared" si="29"/>
        <v>9093</v>
      </c>
      <c r="AE18" s="22">
        <f t="shared" si="29"/>
        <v>8906</v>
      </c>
      <c r="AF18" s="22">
        <f t="shared" si="29"/>
        <v>8435</v>
      </c>
      <c r="AG18" s="22">
        <f t="shared" si="29"/>
        <v>6661</v>
      </c>
      <c r="AH18" s="22">
        <f t="shared" si="29"/>
        <v>5962</v>
      </c>
      <c r="AI18" s="22">
        <f t="shared" si="29"/>
        <v>2874</v>
      </c>
      <c r="AJ18" s="22">
        <f t="shared" si="29"/>
        <v>2596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4654.1000000000004</v>
      </c>
      <c r="BZ18" s="25">
        <f>AVERAGE(R18:AA18)</f>
        <v>5198.2</v>
      </c>
      <c r="CA18" s="25">
        <f>AVERAGE(S18:AB18)</f>
        <v>5862.3</v>
      </c>
      <c r="CB18" s="25">
        <f>AVERAGE(T18:AC18)</f>
        <v>6675.2</v>
      </c>
      <c r="CC18" s="25">
        <f>AVERAGE(U18:AD18)</f>
        <v>7584.5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V36" s="99" t="s">
        <v>88</v>
      </c>
      <c r="W36" s="99"/>
      <c r="X36" s="99"/>
      <c r="Y36" s="99"/>
      <c r="Z36" s="99"/>
      <c r="AA36" s="99"/>
      <c r="AB36" s="99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V37" s="99" t="s">
        <v>89</v>
      </c>
      <c r="W37" s="99"/>
      <c r="X37" s="99"/>
      <c r="Y37" s="99"/>
      <c r="Z37" s="99"/>
      <c r="AA37" s="99"/>
      <c r="AB37" s="99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V38" s="99"/>
      <c r="W38" s="99"/>
      <c r="X38" s="99"/>
      <c r="Y38" s="99"/>
      <c r="Z38" s="99"/>
      <c r="AA38" s="99"/>
      <c r="AB38" s="99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transitionEvaluation="1" codeName="Sheet22">
    <tabColor theme="5"/>
  </sheetPr>
  <dimension ref="A1:DE192"/>
  <sheetViews>
    <sheetView defaultGridColor="0" colorId="22" zoomScale="70" zoomScaleNormal="70" workbookViewId="0">
      <pane xSplit="1" topLeftCell="T1" activePane="topRight" state="frozen"/>
      <selection activeCell="A2" sqref="A2"/>
      <selection pane="topRight" activeCell="AI13" sqref="AI13"/>
    </sheetView>
  </sheetViews>
  <sheetFormatPr baseColWidth="10" defaultColWidth="9.42578125" defaultRowHeight="20" customHeight="1" x14ac:dyDescent="0.2"/>
  <cols>
    <col min="1" max="1" width="45.85546875" style="5" customWidth="1"/>
    <col min="2" max="16" width="5.7109375" style="5" hidden="1" customWidth="1"/>
    <col min="17" max="17" width="6.140625" style="5" hidden="1" customWidth="1"/>
    <col min="18" max="19" width="5.7109375" style="5" hidden="1" customWidth="1"/>
    <col min="20" max="20" width="13.140625" style="5" customWidth="1"/>
    <col min="21" max="21" width="18.42578125" style="5" customWidth="1"/>
    <col min="22" max="22" width="17" style="5" customWidth="1"/>
    <col min="23" max="25" width="5.7109375" style="5" customWidth="1"/>
    <col min="26" max="26" width="9" style="5" customWidth="1"/>
    <col min="27" max="28" width="5.7109375" style="5" customWidth="1"/>
    <col min="29" max="29" width="6.42578125" style="5" customWidth="1"/>
    <col min="30" max="30" width="6" style="5" customWidth="1"/>
    <col min="31" max="31" width="5.85546875" customWidth="1"/>
    <col min="32" max="52" width="9.42578125" customWidth="1"/>
    <col min="53" max="74" width="9.42578125" style="5" customWidth="1"/>
    <col min="75" max="75" width="8.7109375" style="5" customWidth="1"/>
    <col min="76" max="76" width="25" style="5" customWidth="1"/>
    <col min="77" max="77" width="18.28515625" style="5" customWidth="1"/>
    <col min="78" max="78" width="16.28515625" style="5" customWidth="1"/>
    <col min="79" max="79" width="16.85546875" style="5" customWidth="1"/>
    <col min="80" max="80" width="17.140625" style="5" customWidth="1"/>
    <col min="81" max="81" width="9.425781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71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 t="s">
        <v>73</v>
      </c>
      <c r="BY3" s="77">
        <v>2015</v>
      </c>
      <c r="BZ3" s="77" t="s">
        <v>83</v>
      </c>
      <c r="CA3" s="28" t="s">
        <v>92</v>
      </c>
      <c r="CB3" s="28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  <c r="W5" s="17"/>
      <c r="X5" s="17"/>
      <c r="Y5" s="17"/>
      <c r="Z5" s="17">
        <v>19</v>
      </c>
      <c r="AA5" s="76">
        <v>19</v>
      </c>
      <c r="AB5" s="16">
        <v>21</v>
      </c>
      <c r="AC5" s="16">
        <v>10</v>
      </c>
      <c r="AD5" s="112">
        <v>6</v>
      </c>
      <c r="AE5" s="10">
        <v>22</v>
      </c>
      <c r="AF5" s="10">
        <v>53</v>
      </c>
      <c r="AH5" s="10">
        <f>(2+3+2+1+2+1+3+2+1+2)+(2+1+2+2+1+2+2)</f>
        <v>31</v>
      </c>
      <c r="AI5" s="10">
        <f>(1+2+2+1+2+1+1+2+1)</f>
        <v>13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f>AVERAGE(B5:K5)</f>
        <v>#DIV/0!</v>
      </c>
      <c r="BK5" t="e">
        <f t="shared" ref="BK5:DD16" si="0">AVERAGE(C5:L5)</f>
        <v>#DIV/0!</v>
      </c>
      <c r="BL5" t="e">
        <f>AVERAGE(D5:M5)</f>
        <v>#DIV/0!</v>
      </c>
      <c r="BM5" t="e">
        <f t="shared" si="0"/>
        <v>#DIV/0!</v>
      </c>
      <c r="BN5" t="e">
        <f t="shared" si="0"/>
        <v>#DIV/0!</v>
      </c>
      <c r="BO5" t="e">
        <f t="shared" si="0"/>
        <v>#DIV/0!</v>
      </c>
      <c r="BP5" t="e">
        <f t="shared" si="0"/>
        <v>#DIV/0!</v>
      </c>
      <c r="BQ5" t="e">
        <f t="shared" si="0"/>
        <v>#DIV/0!</v>
      </c>
      <c r="BR5" t="e">
        <f t="shared" si="0"/>
        <v>#DIV/0!</v>
      </c>
      <c r="BS5" t="e">
        <f t="shared" si="0"/>
        <v>#DIV/0!</v>
      </c>
      <c r="BT5" t="e">
        <f t="shared" si="0"/>
        <v>#DIV/0!</v>
      </c>
      <c r="BU5" t="e">
        <f t="shared" si="0"/>
        <v>#DIV/0!</v>
      </c>
      <c r="BV5" t="e">
        <f t="shared" si="0"/>
        <v>#DIV/0!</v>
      </c>
      <c r="BW5" t="e">
        <f t="shared" si="0"/>
        <v>#DIV/0!</v>
      </c>
      <c r="BX5" t="e">
        <f t="shared" si="0"/>
        <v>#DIV/0!</v>
      </c>
      <c r="BY5">
        <f t="shared" si="0"/>
        <v>19</v>
      </c>
      <c r="BZ5">
        <f t="shared" si="0"/>
        <v>19</v>
      </c>
      <c r="CA5">
        <f t="shared" si="0"/>
        <v>19.666666666666668</v>
      </c>
      <c r="CB5">
        <f t="shared" si="0"/>
        <v>17.25</v>
      </c>
      <c r="CC5">
        <f t="shared" si="0"/>
        <v>15</v>
      </c>
      <c r="CD5">
        <f t="shared" si="0"/>
        <v>16.166666666666668</v>
      </c>
      <c r="CE5">
        <f t="shared" si="0"/>
        <v>21.428571428571427</v>
      </c>
      <c r="CF5">
        <f t="shared" si="0"/>
        <v>21.428571428571427</v>
      </c>
      <c r="CG5">
        <f t="shared" si="0"/>
        <v>22.625</v>
      </c>
      <c r="CH5">
        <f t="shared" si="0"/>
        <v>21.555555555555557</v>
      </c>
      <c r="CI5">
        <f t="shared" si="0"/>
        <v>21.875</v>
      </c>
      <c r="CJ5">
        <f t="shared" si="0"/>
        <v>22.285714285714285</v>
      </c>
      <c r="CK5">
        <f t="shared" si="0"/>
        <v>22.5</v>
      </c>
      <c r="CL5">
        <f t="shared" si="0"/>
        <v>25</v>
      </c>
      <c r="CM5">
        <f t="shared" si="0"/>
        <v>29.75</v>
      </c>
      <c r="CN5">
        <f t="shared" si="0"/>
        <v>32.333333333333336</v>
      </c>
      <c r="CO5">
        <f t="shared" si="0"/>
        <v>22</v>
      </c>
      <c r="CP5">
        <f t="shared" si="0"/>
        <v>22</v>
      </c>
      <c r="CQ5">
        <f t="shared" si="0"/>
        <v>13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5"/>
      <c r="W6" s="15"/>
      <c r="X6" s="15"/>
      <c r="Y6" s="15"/>
      <c r="Z6" s="15">
        <v>6</v>
      </c>
      <c r="AA6" s="76">
        <v>6</v>
      </c>
      <c r="AB6" s="14">
        <v>13</v>
      </c>
      <c r="AC6" s="14">
        <v>11</v>
      </c>
      <c r="AD6" s="111">
        <v>8</v>
      </c>
      <c r="AE6" s="124">
        <v>22</v>
      </c>
      <c r="AF6" s="124">
        <v>25</v>
      </c>
      <c r="AG6" s="124">
        <f>(1+4+2+1+1+2+2+2+2)</f>
        <v>17</v>
      </c>
      <c r="AH6" s="124">
        <f>(2+2+1+3+3+3+1+2)+(2+2+1)</f>
        <v>22</v>
      </c>
      <c r="AI6" s="124">
        <f>(2+2+1)+(2+2+1+1+2+1+6+2+1+1+1+2)</f>
        <v>27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f t="shared" ref="BJ6:BJ16" si="1">AVERAGE(B6:K6)</f>
        <v>#DIV/0!</v>
      </c>
      <c r="BK6" t="e">
        <f t="shared" si="0"/>
        <v>#DIV/0!</v>
      </c>
      <c r="BL6" t="e">
        <f t="shared" ref="BL6:BL16" si="2">AVERAGE(D6:M6)</f>
        <v>#DIV/0!</v>
      </c>
      <c r="BM6" t="e">
        <f t="shared" si="0"/>
        <v>#DIV/0!</v>
      </c>
      <c r="BN6" t="e">
        <f t="shared" si="0"/>
        <v>#DIV/0!</v>
      </c>
      <c r="BO6" t="e">
        <f t="shared" si="0"/>
        <v>#DIV/0!</v>
      </c>
      <c r="BP6" t="e">
        <f t="shared" si="0"/>
        <v>#DIV/0!</v>
      </c>
      <c r="BQ6" t="e">
        <f t="shared" si="0"/>
        <v>#DIV/0!</v>
      </c>
      <c r="BR6" t="e">
        <f t="shared" ref="BR6:BS16" si="3">AVERAGE(J6:S6)</f>
        <v>#DIV/0!</v>
      </c>
      <c r="BS6" t="e">
        <f t="shared" si="3"/>
        <v>#DIV/0!</v>
      </c>
      <c r="BT6" t="e">
        <f t="shared" si="0"/>
        <v>#DIV/0!</v>
      </c>
      <c r="BU6" t="e">
        <f t="shared" si="0"/>
        <v>#DIV/0!</v>
      </c>
      <c r="BV6" t="e">
        <f t="shared" si="0"/>
        <v>#DIV/0!</v>
      </c>
      <c r="BW6" t="e">
        <f t="shared" si="0"/>
        <v>#DIV/0!</v>
      </c>
      <c r="BX6" t="e">
        <f t="shared" si="0"/>
        <v>#DIV/0!</v>
      </c>
      <c r="BY6">
        <f t="shared" si="0"/>
        <v>6</v>
      </c>
      <c r="BZ6">
        <f t="shared" si="0"/>
        <v>6</v>
      </c>
      <c r="CA6">
        <f t="shared" si="0"/>
        <v>8.3333333333333339</v>
      </c>
      <c r="CB6">
        <f t="shared" si="0"/>
        <v>9</v>
      </c>
      <c r="CC6">
        <f t="shared" si="0"/>
        <v>8.8000000000000007</v>
      </c>
      <c r="CD6">
        <f t="shared" si="0"/>
        <v>11</v>
      </c>
      <c r="CE6">
        <f t="shared" si="0"/>
        <v>13</v>
      </c>
      <c r="CF6">
        <f t="shared" ref="CF6:CF16" si="4">AVERAGE(X6:AG6)</f>
        <v>13.5</v>
      </c>
      <c r="CG6">
        <f t="shared" ref="CG6:CG16" si="5">AVERAGE(Y6:AH6)</f>
        <v>14.444444444444445</v>
      </c>
      <c r="CH6">
        <f t="shared" ref="CH6:CH16" si="6">AVERAGE(Z6:AI6)</f>
        <v>15.7</v>
      </c>
      <c r="CI6">
        <f t="shared" ref="CI6:CI16" si="7">AVERAGE(AA6:AJ6)</f>
        <v>16.777777777777779</v>
      </c>
      <c r="CJ6">
        <f t="shared" ref="CJ6:CJ16" si="8">AVERAGE(AB6:AK6)</f>
        <v>18.125</v>
      </c>
      <c r="CK6">
        <f t="shared" ref="CK6:CK16" si="9">AVERAGE(AC6:AL6)</f>
        <v>18.857142857142858</v>
      </c>
      <c r="CL6">
        <f t="shared" ref="CL6:CL16" si="10">AVERAGE(AD6:AM6)</f>
        <v>20.166666666666668</v>
      </c>
      <c r="CM6">
        <f t="shared" ref="CM6:CM16" si="11">AVERAGE(AE6:AN6)</f>
        <v>22.6</v>
      </c>
      <c r="CN6">
        <f t="shared" ref="CN6:CN16" si="12">AVERAGE(AF6:AO6)</f>
        <v>22.75</v>
      </c>
      <c r="CO6">
        <f t="shared" ref="CO6:CO16" si="13">AVERAGE(AG6:AP6)</f>
        <v>22</v>
      </c>
      <c r="CP6">
        <f t="shared" ref="CP6:CP16" si="14">AVERAGE(AH6:AQ6)</f>
        <v>24.5</v>
      </c>
      <c r="CQ6">
        <f t="shared" ref="CQ6:CQ16" si="15">AVERAGE(AI6:AR6)</f>
        <v>27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7"/>
      <c r="W7" s="17"/>
      <c r="X7" s="17"/>
      <c r="Y7" s="17"/>
      <c r="Z7" s="17">
        <v>13</v>
      </c>
      <c r="AA7" s="76">
        <v>13</v>
      </c>
      <c r="AB7" s="16">
        <v>27</v>
      </c>
      <c r="AC7" s="16">
        <v>28</v>
      </c>
      <c r="AD7" s="112">
        <v>12</v>
      </c>
      <c r="AE7" s="10">
        <v>38</v>
      </c>
      <c r="AF7" s="10">
        <v>49</v>
      </c>
      <c r="AG7" s="10">
        <f>(2+1+2+2+2+2+1+1+4+1+2+1+2)</f>
        <v>23</v>
      </c>
      <c r="AH7" s="10">
        <f>(2+2+4+2+1+3+1+1)</f>
        <v>16</v>
      </c>
      <c r="AI7" s="10">
        <f>(2)+(2+1+1+1+1+1+1+1)+(1+1+1+2+1+1+1+1+2+1+1+3+1)</f>
        <v>28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f t="shared" si="1"/>
        <v>#DIV/0!</v>
      </c>
      <c r="BK7" t="e">
        <f t="shared" si="0"/>
        <v>#DIV/0!</v>
      </c>
      <c r="BL7" t="e">
        <f t="shared" si="2"/>
        <v>#DIV/0!</v>
      </c>
      <c r="BM7" t="e">
        <f t="shared" si="0"/>
        <v>#DIV/0!</v>
      </c>
      <c r="BN7" t="e">
        <f t="shared" si="0"/>
        <v>#DIV/0!</v>
      </c>
      <c r="BO7" t="e">
        <f t="shared" si="0"/>
        <v>#DIV/0!</v>
      </c>
      <c r="BP7" t="e">
        <f t="shared" si="0"/>
        <v>#DIV/0!</v>
      </c>
      <c r="BQ7" t="e">
        <f t="shared" si="0"/>
        <v>#DIV/0!</v>
      </c>
      <c r="BR7" t="e">
        <f t="shared" si="3"/>
        <v>#DIV/0!</v>
      </c>
      <c r="BS7" t="e">
        <f t="shared" si="3"/>
        <v>#DIV/0!</v>
      </c>
      <c r="BT7" t="e">
        <f t="shared" si="0"/>
        <v>#DIV/0!</v>
      </c>
      <c r="BU7" t="e">
        <f t="shared" si="0"/>
        <v>#DIV/0!</v>
      </c>
      <c r="BV7" t="e">
        <f t="shared" si="0"/>
        <v>#DIV/0!</v>
      </c>
      <c r="BW7" t="e">
        <f t="shared" si="0"/>
        <v>#DIV/0!</v>
      </c>
      <c r="BX7" t="e">
        <f>AVERAGE(P7:Y7)</f>
        <v>#DIV/0!</v>
      </c>
      <c r="BY7">
        <f t="shared" si="0"/>
        <v>13</v>
      </c>
      <c r="BZ7">
        <f t="shared" si="0"/>
        <v>13</v>
      </c>
      <c r="CA7">
        <f t="shared" si="0"/>
        <v>17.666666666666668</v>
      </c>
      <c r="CB7">
        <f t="shared" si="0"/>
        <v>20.25</v>
      </c>
      <c r="CC7">
        <f t="shared" si="0"/>
        <v>18.600000000000001</v>
      </c>
      <c r="CD7">
        <f t="shared" si="0"/>
        <v>21.833333333333332</v>
      </c>
      <c r="CE7">
        <f>AVERAGE(W7:AF7)</f>
        <v>25.714285714285715</v>
      </c>
      <c r="CF7">
        <f t="shared" si="4"/>
        <v>25.375</v>
      </c>
      <c r="CG7">
        <f t="shared" si="5"/>
        <v>24.333333333333332</v>
      </c>
      <c r="CH7">
        <f t="shared" si="6"/>
        <v>24.7</v>
      </c>
      <c r="CI7">
        <f t="shared" si="7"/>
        <v>26</v>
      </c>
      <c r="CJ7">
        <f t="shared" si="8"/>
        <v>27.625</v>
      </c>
      <c r="CK7">
        <f t="shared" si="9"/>
        <v>27.714285714285715</v>
      </c>
      <c r="CL7">
        <f t="shared" si="10"/>
        <v>27.666666666666668</v>
      </c>
      <c r="CM7">
        <f t="shared" si="11"/>
        <v>30.8</v>
      </c>
      <c r="CN7">
        <f t="shared" si="12"/>
        <v>29</v>
      </c>
      <c r="CO7">
        <f t="shared" si="13"/>
        <v>22.333333333333332</v>
      </c>
      <c r="CP7">
        <f t="shared" si="14"/>
        <v>22</v>
      </c>
      <c r="CQ7">
        <f t="shared" si="15"/>
        <v>28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5"/>
      <c r="W8" s="15"/>
      <c r="X8" s="15"/>
      <c r="Y8" s="15"/>
      <c r="Z8" s="15">
        <v>48</v>
      </c>
      <c r="AA8" s="76">
        <v>48</v>
      </c>
      <c r="AB8" s="14">
        <v>64</v>
      </c>
      <c r="AC8" s="14">
        <v>46</v>
      </c>
      <c r="AD8" s="111">
        <v>27</v>
      </c>
      <c r="AE8" s="124">
        <v>42</v>
      </c>
      <c r="AF8" s="124">
        <v>58</v>
      </c>
      <c r="AG8" s="124">
        <f>(2+1+1+1+1+4+3+2+2+2+1+1+2+1+6+1+2+3+1+1)+(2)</f>
        <v>40</v>
      </c>
      <c r="AH8" s="124">
        <f>(1+2+2+1+2+2+2+1)+(3+2+1+1+2+3+4+2+1+2)</f>
        <v>34</v>
      </c>
      <c r="AI8" s="124">
        <f>(2+1+1+2+1+1)+(1+1+1+2+1+1+4+1+2+3+2+2+1+1+1+1+2+1)</f>
        <v>36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f t="shared" si="1"/>
        <v>#DIV/0!</v>
      </c>
      <c r="BK8" t="e">
        <f t="shared" si="0"/>
        <v>#DIV/0!</v>
      </c>
      <c r="BL8" t="e">
        <f t="shared" si="2"/>
        <v>#DIV/0!</v>
      </c>
      <c r="BM8" t="e">
        <f t="shared" si="0"/>
        <v>#DIV/0!</v>
      </c>
      <c r="BN8" t="e">
        <f t="shared" si="0"/>
        <v>#DIV/0!</v>
      </c>
      <c r="BO8" t="e">
        <f t="shared" si="0"/>
        <v>#DIV/0!</v>
      </c>
      <c r="BP8" t="e">
        <f t="shared" si="0"/>
        <v>#DIV/0!</v>
      </c>
      <c r="BQ8" t="e">
        <f t="shared" si="0"/>
        <v>#DIV/0!</v>
      </c>
      <c r="BR8" t="e">
        <f t="shared" si="3"/>
        <v>#DIV/0!</v>
      </c>
      <c r="BS8" t="e">
        <f t="shared" si="3"/>
        <v>#DIV/0!</v>
      </c>
      <c r="BT8" t="e">
        <f>AVERAGE(L8:U8)</f>
        <v>#DIV/0!</v>
      </c>
      <c r="BU8" t="e">
        <f t="shared" si="0"/>
        <v>#DIV/0!</v>
      </c>
      <c r="BV8" t="e">
        <f t="shared" si="0"/>
        <v>#DIV/0!</v>
      </c>
      <c r="BW8" t="e">
        <f t="shared" si="0"/>
        <v>#DIV/0!</v>
      </c>
      <c r="BX8" t="e">
        <f t="shared" si="0"/>
        <v>#DIV/0!</v>
      </c>
      <c r="BY8">
        <f t="shared" si="0"/>
        <v>48</v>
      </c>
      <c r="BZ8">
        <f t="shared" si="0"/>
        <v>48</v>
      </c>
      <c r="CA8">
        <f t="shared" si="0"/>
        <v>53.333333333333336</v>
      </c>
      <c r="CB8">
        <f t="shared" si="0"/>
        <v>51.5</v>
      </c>
      <c r="CC8">
        <f t="shared" si="0"/>
        <v>46.6</v>
      </c>
      <c r="CD8">
        <f t="shared" si="0"/>
        <v>45.833333333333336</v>
      </c>
      <c r="CE8">
        <f t="shared" si="0"/>
        <v>47.571428571428569</v>
      </c>
      <c r="CF8">
        <f t="shared" si="4"/>
        <v>46.625</v>
      </c>
      <c r="CG8">
        <f t="shared" si="5"/>
        <v>45.222222222222221</v>
      </c>
      <c r="CH8">
        <f t="shared" si="6"/>
        <v>44.3</v>
      </c>
      <c r="CI8">
        <f t="shared" si="7"/>
        <v>43.888888888888886</v>
      </c>
      <c r="CJ8">
        <f t="shared" si="8"/>
        <v>43.375</v>
      </c>
      <c r="CK8">
        <f t="shared" si="9"/>
        <v>40.428571428571431</v>
      </c>
      <c r="CL8">
        <f t="shared" si="10"/>
        <v>39.5</v>
      </c>
      <c r="CM8">
        <f t="shared" si="11"/>
        <v>42</v>
      </c>
      <c r="CN8">
        <f t="shared" si="12"/>
        <v>42</v>
      </c>
      <c r="CO8">
        <f t="shared" si="13"/>
        <v>36.666666666666664</v>
      </c>
      <c r="CP8">
        <f t="shared" si="14"/>
        <v>35</v>
      </c>
      <c r="CQ8">
        <f t="shared" si="15"/>
        <v>36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7"/>
      <c r="W9" s="17"/>
      <c r="X9" s="17"/>
      <c r="Y9" s="17"/>
      <c r="Z9" s="17">
        <v>83</v>
      </c>
      <c r="AA9" s="76">
        <v>83</v>
      </c>
      <c r="AB9" s="16">
        <v>52</v>
      </c>
      <c r="AC9" s="16">
        <v>55</v>
      </c>
      <c r="AD9" s="112">
        <v>61</v>
      </c>
      <c r="AE9" s="10">
        <v>98</v>
      </c>
      <c r="AF9" s="10">
        <v>89</v>
      </c>
      <c r="AG9" s="10">
        <f>(1+1+2+1+2+3+2+1+2+2+1+2+1+1+2+2+2+2+1)+(4+3+4+1+2+1)</f>
        <v>46</v>
      </c>
      <c r="AH9" s="10">
        <f>(1+1+1+2+1+1+2+3+1+2)+(2+2+2+4+7+1+2+1+1+1+1+1+1+4+3+1+4+2+2+3)+(2+1)</f>
        <v>63</v>
      </c>
      <c r="AI9" s="10">
        <f>(1)+(2+1+1+2+3+1+2+1+3+3+1+1+1+2+4+1+1+1+1)+(1+2+2+2+2+1+1+2+1+2+2+1+1+1)</f>
        <v>54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f t="shared" si="1"/>
        <v>#DIV/0!</v>
      </c>
      <c r="BK9" t="e">
        <f t="shared" si="0"/>
        <v>#DIV/0!</v>
      </c>
      <c r="BL9" t="e">
        <f t="shared" si="2"/>
        <v>#DIV/0!</v>
      </c>
      <c r="BM9" t="e">
        <f t="shared" si="0"/>
        <v>#DIV/0!</v>
      </c>
      <c r="BN9" t="e">
        <f t="shared" si="0"/>
        <v>#DIV/0!</v>
      </c>
      <c r="BO9" t="e">
        <f t="shared" si="0"/>
        <v>#DIV/0!</v>
      </c>
      <c r="BP9" t="e">
        <f t="shared" si="0"/>
        <v>#DIV/0!</v>
      </c>
      <c r="BQ9" t="e">
        <f t="shared" si="0"/>
        <v>#DIV/0!</v>
      </c>
      <c r="BR9" t="e">
        <f t="shared" si="3"/>
        <v>#DIV/0!</v>
      </c>
      <c r="BS9" t="e">
        <f t="shared" si="3"/>
        <v>#DIV/0!</v>
      </c>
      <c r="BT9" t="e">
        <f t="shared" si="0"/>
        <v>#DIV/0!</v>
      </c>
      <c r="BU9" t="e">
        <f t="shared" si="0"/>
        <v>#DIV/0!</v>
      </c>
      <c r="BV9" t="e">
        <f t="shared" si="0"/>
        <v>#DIV/0!</v>
      </c>
      <c r="BW9" t="e">
        <f t="shared" si="0"/>
        <v>#DIV/0!</v>
      </c>
      <c r="BX9" t="e">
        <f t="shared" si="0"/>
        <v>#DIV/0!</v>
      </c>
      <c r="BY9">
        <f t="shared" si="0"/>
        <v>83</v>
      </c>
      <c r="BZ9">
        <f t="shared" si="0"/>
        <v>83</v>
      </c>
      <c r="CA9">
        <f t="shared" si="0"/>
        <v>72.666666666666671</v>
      </c>
      <c r="CB9">
        <f t="shared" si="0"/>
        <v>68.25</v>
      </c>
      <c r="CC9">
        <f t="shared" si="0"/>
        <v>66.8</v>
      </c>
      <c r="CD9">
        <f t="shared" si="0"/>
        <v>72</v>
      </c>
      <c r="CE9">
        <f t="shared" si="0"/>
        <v>74.428571428571431</v>
      </c>
      <c r="CF9">
        <f t="shared" si="4"/>
        <v>70.875</v>
      </c>
      <c r="CG9">
        <f t="shared" si="5"/>
        <v>70</v>
      </c>
      <c r="CH9">
        <f t="shared" si="6"/>
        <v>68.400000000000006</v>
      </c>
      <c r="CI9">
        <f t="shared" si="7"/>
        <v>66.777777777777771</v>
      </c>
      <c r="CJ9">
        <f t="shared" si="8"/>
        <v>64.75</v>
      </c>
      <c r="CK9">
        <f t="shared" si="9"/>
        <v>66.571428571428569</v>
      </c>
      <c r="CL9">
        <f t="shared" si="10"/>
        <v>68.5</v>
      </c>
      <c r="CM9">
        <f t="shared" si="11"/>
        <v>70</v>
      </c>
      <c r="CN9">
        <f t="shared" si="12"/>
        <v>63</v>
      </c>
      <c r="CO9">
        <f t="shared" si="13"/>
        <v>54.333333333333336</v>
      </c>
      <c r="CP9">
        <f t="shared" si="14"/>
        <v>58.5</v>
      </c>
      <c r="CQ9">
        <f t="shared" si="15"/>
        <v>54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5"/>
      <c r="W10" s="15"/>
      <c r="X10" s="15"/>
      <c r="Y10" s="15">
        <v>164</v>
      </c>
      <c r="Z10" s="15">
        <v>45</v>
      </c>
      <c r="AA10" s="76">
        <v>105</v>
      </c>
      <c r="AB10" s="14">
        <v>46</v>
      </c>
      <c r="AC10" s="14">
        <v>61</v>
      </c>
      <c r="AD10" s="111">
        <v>89</v>
      </c>
      <c r="AE10" s="124">
        <v>76</v>
      </c>
      <c r="AF10" s="124">
        <v>68</v>
      </c>
      <c r="AG10" s="124">
        <f>(1+1+1+1+1+1+2+3+1+2+1+1+1+2)+(1+2+1+3+6+1+1+1+1+2+1+1)</f>
        <v>40</v>
      </c>
      <c r="AH10" s="124">
        <f>(2)+(1+1+1+1+2+1+5+1+1+1+5+3+1+4+2+1+2)+(1+1+2+1+7+3+1)</f>
        <v>51</v>
      </c>
      <c r="AI10" s="124">
        <f>(6+2+2+2+1+1)+(1+1+1+2+1+2+1+1+3+2+1+1+2+5+2+1+1+2+1+1)+(2+1+3+1+5+4+5+4)</f>
        <v>71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f t="shared" si="1"/>
        <v>#DIV/0!</v>
      </c>
      <c r="BK10" t="e">
        <f t="shared" si="0"/>
        <v>#DIV/0!</v>
      </c>
      <c r="BL10" t="e">
        <f t="shared" si="2"/>
        <v>#DIV/0!</v>
      </c>
      <c r="BM10" t="e">
        <f t="shared" si="0"/>
        <v>#DIV/0!</v>
      </c>
      <c r="BN10" t="e">
        <f t="shared" si="0"/>
        <v>#DIV/0!</v>
      </c>
      <c r="BO10" t="e">
        <f t="shared" si="0"/>
        <v>#DIV/0!</v>
      </c>
      <c r="BP10" t="e">
        <f t="shared" si="0"/>
        <v>#DIV/0!</v>
      </c>
      <c r="BQ10" t="e">
        <f t="shared" si="0"/>
        <v>#DIV/0!</v>
      </c>
      <c r="BR10" t="e">
        <f t="shared" si="3"/>
        <v>#DIV/0!</v>
      </c>
      <c r="BS10" t="e">
        <f t="shared" si="3"/>
        <v>#DIV/0!</v>
      </c>
      <c r="BT10" t="e">
        <f t="shared" si="0"/>
        <v>#DIV/0!</v>
      </c>
      <c r="BU10" t="e">
        <f t="shared" si="0"/>
        <v>#DIV/0!</v>
      </c>
      <c r="BV10" t="e">
        <f t="shared" si="0"/>
        <v>#DIV/0!</v>
      </c>
      <c r="BW10" t="e">
        <f t="shared" si="0"/>
        <v>#DIV/0!</v>
      </c>
      <c r="BX10">
        <f t="shared" si="0"/>
        <v>164</v>
      </c>
      <c r="BY10">
        <f t="shared" si="0"/>
        <v>104.5</v>
      </c>
      <c r="BZ10">
        <f t="shared" si="0"/>
        <v>104.66666666666667</v>
      </c>
      <c r="CA10">
        <f t="shared" si="0"/>
        <v>90</v>
      </c>
      <c r="CB10">
        <f t="shared" si="0"/>
        <v>84.2</v>
      </c>
      <c r="CC10">
        <f t="shared" si="0"/>
        <v>85</v>
      </c>
      <c r="CD10">
        <f t="shared" si="0"/>
        <v>83.714285714285708</v>
      </c>
      <c r="CE10">
        <f t="shared" si="0"/>
        <v>81.75</v>
      </c>
      <c r="CF10">
        <f t="shared" si="4"/>
        <v>77.111111111111114</v>
      </c>
      <c r="CG10">
        <f t="shared" si="5"/>
        <v>74.5</v>
      </c>
      <c r="CH10">
        <f t="shared" si="6"/>
        <v>65.2</v>
      </c>
      <c r="CI10">
        <f t="shared" si="7"/>
        <v>67.444444444444443</v>
      </c>
      <c r="CJ10">
        <f t="shared" si="8"/>
        <v>62.75</v>
      </c>
      <c r="CK10">
        <f t="shared" si="9"/>
        <v>65.142857142857139</v>
      </c>
      <c r="CL10">
        <f t="shared" si="10"/>
        <v>65.833333333333329</v>
      </c>
      <c r="CM10">
        <f t="shared" si="11"/>
        <v>61.2</v>
      </c>
      <c r="CN10">
        <f t="shared" si="12"/>
        <v>57.5</v>
      </c>
      <c r="CO10">
        <f t="shared" si="13"/>
        <v>54</v>
      </c>
      <c r="CP10">
        <f t="shared" si="14"/>
        <v>61</v>
      </c>
      <c r="CQ10">
        <f t="shared" si="15"/>
        <v>71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  <c r="V11" s="17"/>
      <c r="W11" s="17"/>
      <c r="X11" s="17"/>
      <c r="Y11" s="17">
        <v>163</v>
      </c>
      <c r="Z11" s="17">
        <v>88</v>
      </c>
      <c r="AA11" s="76">
        <v>126</v>
      </c>
      <c r="AB11" s="16">
        <v>99</v>
      </c>
      <c r="AC11" s="16">
        <v>94</v>
      </c>
      <c r="AD11" s="112">
        <v>83</v>
      </c>
      <c r="AE11" s="10">
        <v>97</v>
      </c>
      <c r="AF11" s="10">
        <v>68</v>
      </c>
      <c r="AG11" s="10">
        <f>(1+2+1+1+1+2+6+2)+(3+2+1+2+2+2+2+2+2+2+2+1+2+2+1+1+2+2+2+5)+(1+1+3+1+1+1+3+1+1+2+1+2+2+2+1+2+3+3)</f>
        <v>87</v>
      </c>
      <c r="AH11" s="10">
        <f>(1+2+3+4+2+1+1+2+2+1+2+1)+(3+1+1+1+2+2+2+2+1+2+1+5+2+4+2+2+1)</f>
        <v>56</v>
      </c>
      <c r="AI11" s="10">
        <f>(1+3+1+2+1+4+2+1+1+2)+(5+5+1+1+1+3+1+1+2+1+2+2+1+1+1+1+3+2+3+2)+(1+2+2+1+2+3+1+12)</f>
        <v>81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f t="shared" si="1"/>
        <v>#DIV/0!</v>
      </c>
      <c r="BK11" t="e">
        <f t="shared" si="0"/>
        <v>#DIV/0!</v>
      </c>
      <c r="BL11" t="e">
        <f t="shared" si="2"/>
        <v>#DIV/0!</v>
      </c>
      <c r="BM11" t="e">
        <f t="shared" si="0"/>
        <v>#DIV/0!</v>
      </c>
      <c r="BN11" t="e">
        <f t="shared" si="0"/>
        <v>#DIV/0!</v>
      </c>
      <c r="BO11" t="e">
        <f t="shared" si="0"/>
        <v>#DIV/0!</v>
      </c>
      <c r="BP11" t="e">
        <f t="shared" si="0"/>
        <v>#DIV/0!</v>
      </c>
      <c r="BQ11" t="e">
        <f t="shared" si="0"/>
        <v>#DIV/0!</v>
      </c>
      <c r="BR11" t="e">
        <f t="shared" si="3"/>
        <v>#DIV/0!</v>
      </c>
      <c r="BS11" t="e">
        <f t="shared" si="3"/>
        <v>#DIV/0!</v>
      </c>
      <c r="BT11" t="e">
        <f t="shared" si="0"/>
        <v>#DIV/0!</v>
      </c>
      <c r="BU11" t="e">
        <f t="shared" si="0"/>
        <v>#DIV/0!</v>
      </c>
      <c r="BV11" t="e">
        <f t="shared" si="0"/>
        <v>#DIV/0!</v>
      </c>
      <c r="BW11" t="e">
        <f t="shared" si="0"/>
        <v>#DIV/0!</v>
      </c>
      <c r="BX11">
        <f t="shared" si="0"/>
        <v>163</v>
      </c>
      <c r="BY11">
        <f t="shared" si="0"/>
        <v>125.5</v>
      </c>
      <c r="BZ11">
        <f t="shared" si="0"/>
        <v>125.66666666666667</v>
      </c>
      <c r="CA11">
        <f t="shared" si="0"/>
        <v>119</v>
      </c>
      <c r="CB11">
        <f t="shared" si="0"/>
        <v>114</v>
      </c>
      <c r="CC11">
        <f t="shared" si="0"/>
        <v>108.83333333333333</v>
      </c>
      <c r="CD11">
        <f t="shared" si="0"/>
        <v>107.14285714285714</v>
      </c>
      <c r="CE11">
        <f t="shared" si="0"/>
        <v>102.25</v>
      </c>
      <c r="CF11">
        <f t="shared" si="4"/>
        <v>100.55555555555556</v>
      </c>
      <c r="CG11">
        <f t="shared" si="5"/>
        <v>96.1</v>
      </c>
      <c r="CH11">
        <f t="shared" si="6"/>
        <v>87.9</v>
      </c>
      <c r="CI11">
        <f t="shared" si="7"/>
        <v>87.888888888888886</v>
      </c>
      <c r="CJ11">
        <f t="shared" si="8"/>
        <v>83.125</v>
      </c>
      <c r="CK11">
        <f t="shared" si="9"/>
        <v>80.857142857142861</v>
      </c>
      <c r="CL11">
        <f t="shared" si="10"/>
        <v>78.666666666666671</v>
      </c>
      <c r="CM11">
        <f t="shared" si="11"/>
        <v>77.8</v>
      </c>
      <c r="CN11">
        <f t="shared" si="12"/>
        <v>73</v>
      </c>
      <c r="CO11">
        <f t="shared" si="13"/>
        <v>74.666666666666671</v>
      </c>
      <c r="CP11">
        <f t="shared" si="14"/>
        <v>68.5</v>
      </c>
      <c r="CQ11">
        <f t="shared" si="15"/>
        <v>81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5"/>
      <c r="W12" s="15"/>
      <c r="X12" s="15"/>
      <c r="Y12" s="15">
        <v>107</v>
      </c>
      <c r="Z12" s="15">
        <v>55</v>
      </c>
      <c r="AA12" s="76">
        <v>81</v>
      </c>
      <c r="AB12" s="14">
        <v>76</v>
      </c>
      <c r="AC12" s="14">
        <v>61</v>
      </c>
      <c r="AD12" s="111">
        <v>84</v>
      </c>
      <c r="AE12" s="124">
        <v>90</v>
      </c>
      <c r="AF12" s="124">
        <v>39</v>
      </c>
      <c r="AG12" s="124">
        <f>(3+1)+(1+1+4+1+1+2+2+1+1+1+1+1+2+2+1+1+2+2+2+2)+(2+4+1+2+2+1+4)</f>
        <v>51</v>
      </c>
      <c r="AH12" s="124">
        <f>(3+2)+(1+1+3+2+1+1+1+1+1+5+1+1+1+2+1+2+4+1+1)+(2+2+2+1+2+2+2+1+1+1+1+1+1+8+4+2+1+1+1)+(1+2+1+1+1)</f>
        <v>78</v>
      </c>
      <c r="AI12" s="124">
        <f>(1+2+1+2+6+1+2+1+2+2+1+1)+(6+1+4+6+1+2+2+1+1+1+4+1+1+2+1)</f>
        <v>56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f t="shared" si="1"/>
        <v>#DIV/0!</v>
      </c>
      <c r="BK12" t="e">
        <f t="shared" si="0"/>
        <v>#DIV/0!</v>
      </c>
      <c r="BL12" t="e">
        <f t="shared" si="2"/>
        <v>#DIV/0!</v>
      </c>
      <c r="BM12" t="e">
        <f t="shared" si="0"/>
        <v>#DIV/0!</v>
      </c>
      <c r="BN12" t="e">
        <f t="shared" si="0"/>
        <v>#DIV/0!</v>
      </c>
      <c r="BO12" t="e">
        <f t="shared" si="0"/>
        <v>#DIV/0!</v>
      </c>
      <c r="BP12" t="e">
        <f t="shared" si="0"/>
        <v>#DIV/0!</v>
      </c>
      <c r="BQ12" t="e">
        <f t="shared" si="0"/>
        <v>#DIV/0!</v>
      </c>
      <c r="BR12" t="e">
        <f t="shared" si="3"/>
        <v>#DIV/0!</v>
      </c>
      <c r="BS12" t="e">
        <f t="shared" si="3"/>
        <v>#DIV/0!</v>
      </c>
      <c r="BT12" t="e">
        <f t="shared" si="0"/>
        <v>#DIV/0!</v>
      </c>
      <c r="BU12" t="e">
        <f t="shared" si="0"/>
        <v>#DIV/0!</v>
      </c>
      <c r="BV12" t="e">
        <f t="shared" si="0"/>
        <v>#DIV/0!</v>
      </c>
      <c r="BW12" t="e">
        <f t="shared" si="0"/>
        <v>#DIV/0!</v>
      </c>
      <c r="BX12">
        <f t="shared" si="0"/>
        <v>107</v>
      </c>
      <c r="BY12">
        <f t="shared" si="0"/>
        <v>81</v>
      </c>
      <c r="BZ12">
        <f t="shared" si="0"/>
        <v>81</v>
      </c>
      <c r="CA12">
        <f t="shared" si="0"/>
        <v>79.75</v>
      </c>
      <c r="CB12">
        <f t="shared" si="0"/>
        <v>76</v>
      </c>
      <c r="CC12">
        <f t="shared" si="0"/>
        <v>77.333333333333329</v>
      </c>
      <c r="CD12">
        <f t="shared" si="0"/>
        <v>79.142857142857139</v>
      </c>
      <c r="CE12">
        <f t="shared" si="0"/>
        <v>74.125</v>
      </c>
      <c r="CF12">
        <f t="shared" si="4"/>
        <v>71.555555555555557</v>
      </c>
      <c r="CG12">
        <f t="shared" si="5"/>
        <v>72.2</v>
      </c>
      <c r="CH12">
        <f t="shared" si="6"/>
        <v>67.099999999999994</v>
      </c>
      <c r="CI12">
        <f t="shared" si="7"/>
        <v>68.444444444444443</v>
      </c>
      <c r="CJ12">
        <f t="shared" si="8"/>
        <v>66.875</v>
      </c>
      <c r="CK12">
        <f t="shared" si="9"/>
        <v>65.571428571428569</v>
      </c>
      <c r="CL12">
        <f t="shared" si="10"/>
        <v>66.333333333333329</v>
      </c>
      <c r="CM12">
        <f t="shared" si="11"/>
        <v>62.8</v>
      </c>
      <c r="CN12">
        <f t="shared" si="12"/>
        <v>56</v>
      </c>
      <c r="CO12">
        <f t="shared" si="13"/>
        <v>61.666666666666664</v>
      </c>
      <c r="CP12">
        <f t="shared" si="14"/>
        <v>67</v>
      </c>
      <c r="CQ12">
        <f t="shared" si="15"/>
        <v>56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17"/>
      <c r="W13" s="17"/>
      <c r="X13" s="17"/>
      <c r="Y13" s="17">
        <v>104</v>
      </c>
      <c r="Z13" s="17">
        <v>90</v>
      </c>
      <c r="AA13" s="76">
        <v>97</v>
      </c>
      <c r="AB13" s="16">
        <v>95</v>
      </c>
      <c r="AC13" s="16">
        <v>70</v>
      </c>
      <c r="AD13" s="112">
        <v>100</v>
      </c>
      <c r="AE13" s="10">
        <v>102</v>
      </c>
      <c r="AF13" s="10">
        <v>59</v>
      </c>
      <c r="AG13" s="10">
        <f>(2+2+4+2+2+4+1+4+2+1+1+2)+(3+1+1+1+2+2+1+2+1+2+2+2+1+2+1+2+1+1+2+2)+(1+1)</f>
        <v>61</v>
      </c>
      <c r="AH13" s="10">
        <f>(1+1+2+1+2+1+4+1+1+1+2+4+1+1+2)+(1+1+1+2+1+2+2+2+2+1+2+1+2+2+1+3+3)</f>
        <v>54</v>
      </c>
      <c r="AI13" s="10">
        <f>(1+1+2+3)+(1+1+2+2+1+1+1+1+1+1+1+1+1+1+2+2+4+2+1+2)+(1+2)</f>
        <v>39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f t="shared" si="1"/>
        <v>#DIV/0!</v>
      </c>
      <c r="BK13" t="e">
        <f t="shared" si="0"/>
        <v>#DIV/0!</v>
      </c>
      <c r="BL13" t="e">
        <f t="shared" si="2"/>
        <v>#DIV/0!</v>
      </c>
      <c r="BM13" t="e">
        <f t="shared" si="0"/>
        <v>#DIV/0!</v>
      </c>
      <c r="BN13" t="e">
        <f t="shared" si="0"/>
        <v>#DIV/0!</v>
      </c>
      <c r="BO13" t="e">
        <f t="shared" si="0"/>
        <v>#DIV/0!</v>
      </c>
      <c r="BP13" t="e">
        <f t="shared" si="0"/>
        <v>#DIV/0!</v>
      </c>
      <c r="BQ13" t="e">
        <f t="shared" si="0"/>
        <v>#DIV/0!</v>
      </c>
      <c r="BR13" t="e">
        <f t="shared" si="3"/>
        <v>#DIV/0!</v>
      </c>
      <c r="BS13" t="e">
        <f t="shared" si="3"/>
        <v>#DIV/0!</v>
      </c>
      <c r="BT13" t="e">
        <f t="shared" si="0"/>
        <v>#DIV/0!</v>
      </c>
      <c r="BU13" t="e">
        <f t="shared" si="0"/>
        <v>#DIV/0!</v>
      </c>
      <c r="BV13" t="e">
        <f t="shared" si="0"/>
        <v>#DIV/0!</v>
      </c>
      <c r="BW13" t="e">
        <f t="shared" si="0"/>
        <v>#DIV/0!</v>
      </c>
      <c r="BX13">
        <f t="shared" si="0"/>
        <v>104</v>
      </c>
      <c r="BY13">
        <f t="shared" si="0"/>
        <v>97</v>
      </c>
      <c r="BZ13">
        <f t="shared" si="0"/>
        <v>97</v>
      </c>
      <c r="CA13">
        <f t="shared" si="0"/>
        <v>96.5</v>
      </c>
      <c r="CB13">
        <f t="shared" si="0"/>
        <v>91.2</v>
      </c>
      <c r="CC13">
        <f t="shared" si="0"/>
        <v>92.666666666666671</v>
      </c>
      <c r="CD13">
        <f t="shared" si="0"/>
        <v>94</v>
      </c>
      <c r="CE13">
        <f t="shared" si="0"/>
        <v>89.625</v>
      </c>
      <c r="CF13">
        <f t="shared" si="4"/>
        <v>86.444444444444443</v>
      </c>
      <c r="CG13">
        <f t="shared" si="5"/>
        <v>83.2</v>
      </c>
      <c r="CH13">
        <f t="shared" si="6"/>
        <v>76.7</v>
      </c>
      <c r="CI13">
        <f t="shared" si="7"/>
        <v>75.222222222222229</v>
      </c>
      <c r="CJ13">
        <f t="shared" si="8"/>
        <v>72.5</v>
      </c>
      <c r="CK13">
        <f t="shared" si="9"/>
        <v>69.285714285714292</v>
      </c>
      <c r="CL13">
        <f t="shared" si="10"/>
        <v>69.166666666666671</v>
      </c>
      <c r="CM13">
        <f t="shared" si="11"/>
        <v>63</v>
      </c>
      <c r="CN13">
        <f t="shared" si="12"/>
        <v>53.25</v>
      </c>
      <c r="CO13">
        <f t="shared" si="13"/>
        <v>51.333333333333336</v>
      </c>
      <c r="CP13">
        <f t="shared" si="14"/>
        <v>46.5</v>
      </c>
      <c r="CQ13">
        <f t="shared" si="15"/>
        <v>39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5"/>
      <c r="W14" s="15"/>
      <c r="X14" s="15"/>
      <c r="Y14" s="15">
        <v>133</v>
      </c>
      <c r="Z14" s="15">
        <v>48</v>
      </c>
      <c r="AA14" s="15">
        <v>73</v>
      </c>
      <c r="AB14" s="15">
        <v>58</v>
      </c>
      <c r="AC14" s="15">
        <v>46</v>
      </c>
      <c r="AD14" s="111">
        <v>103</v>
      </c>
      <c r="AE14" s="124">
        <v>100</v>
      </c>
      <c r="AF14" s="124">
        <v>67</v>
      </c>
      <c r="AG14" s="124">
        <f>(1+1+1+2+2+2+1+4+1+2+1+6+2+1+3+2+2+2)+(1+3+9+1+1+2+1+1+1+2+2+1+2+1+7+2+2+8+1+1+1)+(2+2+2+4+2+2+2+2+2+2)</f>
        <v>108</v>
      </c>
      <c r="AH14" s="124">
        <f>(2+1+1)+(4+2+1+2+1+1+1+2+2+1+2+1+1+1+2)</f>
        <v>28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f t="shared" si="1"/>
        <v>#DIV/0!</v>
      </c>
      <c r="BK14" t="e">
        <f t="shared" si="0"/>
        <v>#DIV/0!</v>
      </c>
      <c r="BL14" t="e">
        <f t="shared" si="2"/>
        <v>#DIV/0!</v>
      </c>
      <c r="BM14" t="e">
        <f t="shared" si="0"/>
        <v>#DIV/0!</v>
      </c>
      <c r="BN14" t="e">
        <f t="shared" si="0"/>
        <v>#DIV/0!</v>
      </c>
      <c r="BO14" t="e">
        <f t="shared" si="0"/>
        <v>#DIV/0!</v>
      </c>
      <c r="BP14" t="e">
        <f t="shared" si="0"/>
        <v>#DIV/0!</v>
      </c>
      <c r="BQ14" t="e">
        <f t="shared" si="0"/>
        <v>#DIV/0!</v>
      </c>
      <c r="BR14" t="e">
        <f t="shared" si="3"/>
        <v>#DIV/0!</v>
      </c>
      <c r="BS14" t="e">
        <f t="shared" si="3"/>
        <v>#DIV/0!</v>
      </c>
      <c r="BT14" t="e">
        <f t="shared" si="0"/>
        <v>#DIV/0!</v>
      </c>
      <c r="BU14" t="e">
        <f t="shared" si="0"/>
        <v>#DIV/0!</v>
      </c>
      <c r="BV14" t="e">
        <f t="shared" si="0"/>
        <v>#DIV/0!</v>
      </c>
      <c r="BW14" t="e">
        <f t="shared" si="0"/>
        <v>#DIV/0!</v>
      </c>
      <c r="BX14">
        <f t="shared" si="0"/>
        <v>133</v>
      </c>
      <c r="BY14">
        <f t="shared" si="0"/>
        <v>90.5</v>
      </c>
      <c r="BZ14">
        <f t="shared" si="0"/>
        <v>84.666666666666671</v>
      </c>
      <c r="CA14">
        <f t="shared" si="0"/>
        <v>78</v>
      </c>
      <c r="CB14">
        <f t="shared" si="0"/>
        <v>71.599999999999994</v>
      </c>
      <c r="CC14">
        <f t="shared" si="0"/>
        <v>76.833333333333329</v>
      </c>
      <c r="CD14">
        <f t="shared" si="0"/>
        <v>80.142857142857139</v>
      </c>
      <c r="CE14">
        <f t="shared" si="0"/>
        <v>78.5</v>
      </c>
      <c r="CF14">
        <f t="shared" si="4"/>
        <v>81.777777777777771</v>
      </c>
      <c r="CG14">
        <f t="shared" si="5"/>
        <v>76.400000000000006</v>
      </c>
      <c r="CH14">
        <f t="shared" si="6"/>
        <v>70.111111111111114</v>
      </c>
      <c r="CI14">
        <f t="shared" si="7"/>
        <v>72.875</v>
      </c>
      <c r="CJ14">
        <f t="shared" si="8"/>
        <v>72.857142857142861</v>
      </c>
      <c r="CK14">
        <f t="shared" si="9"/>
        <v>75.333333333333329</v>
      </c>
      <c r="CL14">
        <f t="shared" si="10"/>
        <v>81.2</v>
      </c>
      <c r="CM14">
        <f t="shared" si="11"/>
        <v>75.75</v>
      </c>
      <c r="CN14">
        <f t="shared" si="12"/>
        <v>67.666666666666671</v>
      </c>
      <c r="CO14">
        <f t="shared" si="13"/>
        <v>68</v>
      </c>
      <c r="CP14">
        <f t="shared" si="14"/>
        <v>28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7"/>
      <c r="X15" s="17"/>
      <c r="Y15" s="17">
        <v>67</v>
      </c>
      <c r="Z15" s="17">
        <v>58</v>
      </c>
      <c r="AA15" s="17">
        <v>78</v>
      </c>
      <c r="AB15" s="17">
        <v>19</v>
      </c>
      <c r="AC15" s="17">
        <v>35</v>
      </c>
      <c r="AD15" s="112">
        <v>32</v>
      </c>
      <c r="AE15" s="10">
        <v>77</v>
      </c>
      <c r="AF15" s="10">
        <v>48</v>
      </c>
      <c r="AG15" s="10">
        <f>(7+3+1+5+1+3+2+1)+(2+1+8+1+1+5+1+1+2+3+2+4+1+4+2)</f>
        <v>61</v>
      </c>
      <c r="AH15" s="10">
        <f>(4+2+2+3+4)+(1+6+2+1+1+2+1+2+2+1+4+2+1+2+2+1+3+5+2+1)</f>
        <v>57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f t="shared" si="1"/>
        <v>#DIV/0!</v>
      </c>
      <c r="BK15" t="e">
        <f t="shared" si="0"/>
        <v>#DIV/0!</v>
      </c>
      <c r="BL15" t="e">
        <f t="shared" si="2"/>
        <v>#DIV/0!</v>
      </c>
      <c r="BM15" t="e">
        <f t="shared" si="0"/>
        <v>#DIV/0!</v>
      </c>
      <c r="BN15" t="e">
        <f t="shared" si="0"/>
        <v>#DIV/0!</v>
      </c>
      <c r="BO15" t="e">
        <f t="shared" si="0"/>
        <v>#DIV/0!</v>
      </c>
      <c r="BP15" t="e">
        <f t="shared" si="0"/>
        <v>#DIV/0!</v>
      </c>
      <c r="BQ15" t="e">
        <f t="shared" si="0"/>
        <v>#DIV/0!</v>
      </c>
      <c r="BR15" t="e">
        <f t="shared" si="3"/>
        <v>#DIV/0!</v>
      </c>
      <c r="BS15" t="e">
        <f t="shared" si="3"/>
        <v>#DIV/0!</v>
      </c>
      <c r="BT15" t="e">
        <f t="shared" si="0"/>
        <v>#DIV/0!</v>
      </c>
      <c r="BU15" t="e">
        <f t="shared" si="0"/>
        <v>#DIV/0!</v>
      </c>
      <c r="BV15" t="e">
        <f t="shared" si="0"/>
        <v>#DIV/0!</v>
      </c>
      <c r="BW15" t="e">
        <f t="shared" si="0"/>
        <v>#DIV/0!</v>
      </c>
      <c r="BX15">
        <f t="shared" si="0"/>
        <v>67</v>
      </c>
      <c r="BY15">
        <f t="shared" si="0"/>
        <v>62.5</v>
      </c>
      <c r="BZ15">
        <f t="shared" si="0"/>
        <v>67.666666666666671</v>
      </c>
      <c r="CA15">
        <f t="shared" si="0"/>
        <v>55.5</v>
      </c>
      <c r="CB15">
        <f t="shared" si="0"/>
        <v>51.4</v>
      </c>
      <c r="CC15">
        <f t="shared" si="0"/>
        <v>48.166666666666664</v>
      </c>
      <c r="CD15">
        <f t="shared" si="0"/>
        <v>52.285714285714285</v>
      </c>
      <c r="CE15">
        <f t="shared" si="0"/>
        <v>51.75</v>
      </c>
      <c r="CF15">
        <f t="shared" si="4"/>
        <v>52.777777777777779</v>
      </c>
      <c r="CG15">
        <f t="shared" si="5"/>
        <v>53.2</v>
      </c>
      <c r="CH15">
        <f t="shared" si="6"/>
        <v>51.666666666666664</v>
      </c>
      <c r="CI15">
        <f t="shared" si="7"/>
        <v>50.875</v>
      </c>
      <c r="CJ15">
        <f t="shared" si="8"/>
        <v>47</v>
      </c>
      <c r="CK15">
        <f t="shared" si="9"/>
        <v>51.666666666666664</v>
      </c>
      <c r="CL15">
        <f t="shared" si="10"/>
        <v>55</v>
      </c>
      <c r="CM15">
        <f t="shared" si="11"/>
        <v>60.75</v>
      </c>
      <c r="CN15">
        <f t="shared" si="12"/>
        <v>55.333333333333336</v>
      </c>
      <c r="CO15">
        <f t="shared" si="13"/>
        <v>59</v>
      </c>
      <c r="CP15">
        <f t="shared" si="14"/>
        <v>57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5"/>
      <c r="W16" s="15"/>
      <c r="X16" s="15"/>
      <c r="Y16" s="15">
        <v>38</v>
      </c>
      <c r="Z16" s="15">
        <v>51</v>
      </c>
      <c r="AA16" s="15">
        <v>31</v>
      </c>
      <c r="AB16" s="15">
        <v>21</v>
      </c>
      <c r="AC16" s="15">
        <v>46</v>
      </c>
      <c r="AD16" s="111">
        <v>18</v>
      </c>
      <c r="AE16" s="124">
        <v>24</v>
      </c>
      <c r="AF16" s="124">
        <v>31</v>
      </c>
      <c r="AG16" s="124">
        <f>(1+2)+(2+1+1+4)</f>
        <v>11</v>
      </c>
      <c r="AH16" s="124">
        <f>(1+1+1+2+4+1+1+2+1+1+1+2+1)+(1+1+2+1)</f>
        <v>24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f t="shared" si="1"/>
        <v>#DIV/0!</v>
      </c>
      <c r="BK16" t="e">
        <f t="shared" si="0"/>
        <v>#DIV/0!</v>
      </c>
      <c r="BL16" t="e">
        <f t="shared" si="2"/>
        <v>#DIV/0!</v>
      </c>
      <c r="BM16" t="e">
        <f t="shared" si="0"/>
        <v>#DIV/0!</v>
      </c>
      <c r="BN16" t="e">
        <f t="shared" si="0"/>
        <v>#DIV/0!</v>
      </c>
      <c r="BO16" t="e">
        <f t="shared" si="0"/>
        <v>#DIV/0!</v>
      </c>
      <c r="BP16" t="e">
        <f t="shared" si="0"/>
        <v>#DIV/0!</v>
      </c>
      <c r="BQ16" t="e">
        <f t="shared" si="0"/>
        <v>#DIV/0!</v>
      </c>
      <c r="BR16" t="e">
        <f t="shared" si="3"/>
        <v>#DIV/0!</v>
      </c>
      <c r="BS16" t="e">
        <f t="shared" si="3"/>
        <v>#DIV/0!</v>
      </c>
      <c r="BT16" t="e">
        <f t="shared" si="0"/>
        <v>#DIV/0!</v>
      </c>
      <c r="BU16" t="e">
        <f t="shared" si="0"/>
        <v>#DIV/0!</v>
      </c>
      <c r="BV16" t="e">
        <f t="shared" si="0"/>
        <v>#DIV/0!</v>
      </c>
      <c r="BW16" t="e">
        <f t="shared" si="0"/>
        <v>#DIV/0!</v>
      </c>
      <c r="BX16">
        <f t="shared" si="0"/>
        <v>38</v>
      </c>
      <c r="BY16">
        <f t="shared" si="0"/>
        <v>44.5</v>
      </c>
      <c r="BZ16">
        <f t="shared" si="0"/>
        <v>40</v>
      </c>
      <c r="CA16">
        <f t="shared" si="0"/>
        <v>35.25</v>
      </c>
      <c r="CB16">
        <f t="shared" si="0"/>
        <v>37.4</v>
      </c>
      <c r="CC16">
        <f t="shared" si="0"/>
        <v>34.166666666666664</v>
      </c>
      <c r="CD16">
        <f t="shared" si="0"/>
        <v>32.714285714285715</v>
      </c>
      <c r="CE16">
        <f t="shared" si="0"/>
        <v>32.5</v>
      </c>
      <c r="CF16">
        <f t="shared" si="4"/>
        <v>30.111111111111111</v>
      </c>
      <c r="CG16">
        <f t="shared" si="5"/>
        <v>29.5</v>
      </c>
      <c r="CH16">
        <f t="shared" si="6"/>
        <v>28.555555555555557</v>
      </c>
      <c r="CI16">
        <f t="shared" si="7"/>
        <v>25.75</v>
      </c>
      <c r="CJ16">
        <f t="shared" si="8"/>
        <v>25</v>
      </c>
      <c r="CK16">
        <f t="shared" si="9"/>
        <v>25.666666666666668</v>
      </c>
      <c r="CL16">
        <f t="shared" si="10"/>
        <v>21.6</v>
      </c>
      <c r="CM16">
        <f t="shared" si="11"/>
        <v>22.5</v>
      </c>
      <c r="CN16">
        <f t="shared" si="12"/>
        <v>22</v>
      </c>
      <c r="CO16">
        <f t="shared" si="13"/>
        <v>17.5</v>
      </c>
      <c r="CP16">
        <f t="shared" si="14"/>
        <v>24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29">SUM(C5:C16)</f>
        <v>0</v>
      </c>
      <c r="D18" s="22">
        <f t="shared" si="29"/>
        <v>0</v>
      </c>
      <c r="E18" s="22">
        <f t="shared" si="29"/>
        <v>0</v>
      </c>
      <c r="F18" s="22">
        <f t="shared" si="29"/>
        <v>0</v>
      </c>
      <c r="G18" s="22">
        <f t="shared" si="29"/>
        <v>0</v>
      </c>
      <c r="H18" s="22">
        <f t="shared" si="29"/>
        <v>0</v>
      </c>
      <c r="I18" s="22">
        <f t="shared" si="29"/>
        <v>0</v>
      </c>
      <c r="J18" s="22">
        <f t="shared" si="29"/>
        <v>0</v>
      </c>
      <c r="K18" s="22">
        <f t="shared" si="29"/>
        <v>0</v>
      </c>
      <c r="L18" s="22">
        <f t="shared" si="29"/>
        <v>0</v>
      </c>
      <c r="M18" s="22">
        <f t="shared" si="29"/>
        <v>0</v>
      </c>
      <c r="N18" s="22">
        <f t="shared" si="29"/>
        <v>0</v>
      </c>
      <c r="O18" s="22">
        <f t="shared" si="29"/>
        <v>0</v>
      </c>
      <c r="P18" s="22">
        <f t="shared" si="29"/>
        <v>0</v>
      </c>
      <c r="Q18" s="22">
        <f t="shared" si="29"/>
        <v>0</v>
      </c>
      <c r="R18" s="22">
        <f t="shared" si="29"/>
        <v>0</v>
      </c>
      <c r="S18" s="22">
        <f t="shared" si="29"/>
        <v>0</v>
      </c>
      <c r="T18" s="22">
        <f t="shared" si="29"/>
        <v>0</v>
      </c>
      <c r="U18" s="22">
        <f t="shared" si="29"/>
        <v>0</v>
      </c>
      <c r="V18" s="22">
        <f t="shared" si="29"/>
        <v>0</v>
      </c>
      <c r="W18" s="22">
        <f t="shared" si="29"/>
        <v>0</v>
      </c>
      <c r="X18" s="22">
        <f t="shared" si="29"/>
        <v>0</v>
      </c>
      <c r="Y18" s="22">
        <f t="shared" si="29"/>
        <v>776</v>
      </c>
      <c r="Z18" s="22">
        <f t="shared" si="29"/>
        <v>604</v>
      </c>
      <c r="AA18" s="22">
        <f t="shared" si="29"/>
        <v>760</v>
      </c>
      <c r="AB18" s="22">
        <f t="shared" si="29"/>
        <v>591</v>
      </c>
      <c r="AC18" s="22">
        <f t="shared" si="29"/>
        <v>563</v>
      </c>
      <c r="AD18" s="22">
        <f t="shared" si="29"/>
        <v>623</v>
      </c>
      <c r="AE18" s="22">
        <f t="shared" si="29"/>
        <v>788</v>
      </c>
      <c r="AF18" s="22">
        <f t="shared" si="29"/>
        <v>654</v>
      </c>
      <c r="AG18" s="22">
        <f t="shared" si="29"/>
        <v>545</v>
      </c>
      <c r="AH18" s="22">
        <f t="shared" si="29"/>
        <v>514</v>
      </c>
      <c r="AI18" s="22">
        <f t="shared" si="29"/>
        <v>405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X18" s="25">
        <f>AVERAGE(P18:Y18)</f>
        <v>77.599999999999994</v>
      </c>
      <c r="BY18" s="25">
        <f>AVERAGE(Q18:Z18)</f>
        <v>138</v>
      </c>
      <c r="BZ18" s="25">
        <f>AVERAGE(R18:AA18)</f>
        <v>214</v>
      </c>
      <c r="CA18" s="25">
        <f>AVERAGE(S18:AB18)</f>
        <v>273.10000000000002</v>
      </c>
      <c r="CB18" s="25">
        <f>AVERAGE(T18:AC18)</f>
        <v>329.4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Y21" s="99" t="s">
        <v>82</v>
      </c>
      <c r="BZ21" s="99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Y22" s="99" t="s">
        <v>86</v>
      </c>
      <c r="BZ22" s="99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77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77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77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77" ht="20" customHeight="1" x14ac:dyDescent="0.2">
      <c r="A36" s="1"/>
      <c r="B36" s="1"/>
      <c r="C36" s="1"/>
      <c r="V36" s="99" t="s">
        <v>82</v>
      </c>
      <c r="W36" s="99"/>
      <c r="X36" s="99"/>
      <c r="Y36" s="99"/>
      <c r="Z36" s="99"/>
      <c r="AA36" s="99"/>
      <c r="AB36" s="99"/>
      <c r="AC36" s="99"/>
      <c r="AD36" s="99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</row>
    <row r="37" spans="1:77" ht="20" customHeight="1" x14ac:dyDescent="0.2">
      <c r="A37" s="1"/>
      <c r="B37" s="1"/>
      <c r="C37" s="1"/>
      <c r="V37" s="99" t="s">
        <v>86</v>
      </c>
      <c r="W37" s="99"/>
      <c r="X37" s="99"/>
      <c r="Y37" s="99"/>
      <c r="Z37" s="99"/>
      <c r="AA37" s="99"/>
      <c r="AB37" s="99"/>
      <c r="AC37" s="99"/>
      <c r="AD37" s="99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</row>
    <row r="38" spans="1:77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77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77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77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77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77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77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77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77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77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77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transitionEvaluation="1" codeName="Sheet23">
    <tabColor theme="5"/>
  </sheetPr>
  <dimension ref="A1:DE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J25" sqref="AJ25"/>
    </sheetView>
  </sheetViews>
  <sheetFormatPr baseColWidth="10" defaultColWidth="9.42578125" defaultRowHeight="20" customHeight="1" x14ac:dyDescent="0.2"/>
  <cols>
    <col min="1" max="1" width="45.85546875" style="5" customWidth="1"/>
    <col min="2" max="22" width="5.7109375" style="5" hidden="1" customWidth="1"/>
    <col min="23" max="28" width="5.7109375" style="5" customWidth="1"/>
    <col min="29" max="29" width="6.7109375" style="5" customWidth="1"/>
    <col min="30" max="30" width="7.28515625" style="5" customWidth="1"/>
    <col min="31" max="31" width="6.5703125" customWidth="1"/>
    <col min="32" max="52" width="9.42578125" customWidth="1"/>
    <col min="53" max="74" width="9.42578125" style="5" customWidth="1"/>
    <col min="75" max="75" width="4.7109375" style="5" customWidth="1"/>
    <col min="76" max="76" width="25" style="5" customWidth="1"/>
    <col min="77" max="77" width="18" style="5" customWidth="1"/>
    <col min="78" max="78" width="9.42578125" style="5" customWidth="1"/>
    <col min="79" max="79" width="16.5703125" style="5" customWidth="1"/>
    <col min="80" max="81" width="16.42578125" style="5" customWidth="1"/>
    <col min="82" max="82" width="16.85546875" style="5" customWidth="1"/>
    <col min="83" max="109" width="9.42578125" style="5" hidden="1" customWidth="1"/>
    <col min="110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46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7" t="s">
        <v>73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28</v>
      </c>
      <c r="C5" s="16">
        <v>29</v>
      </c>
      <c r="D5" s="16">
        <v>64</v>
      </c>
      <c r="E5" s="16">
        <v>40</v>
      </c>
      <c r="F5" s="16">
        <v>85</v>
      </c>
      <c r="G5" s="16">
        <v>19</v>
      </c>
      <c r="H5" s="16">
        <v>44</v>
      </c>
      <c r="I5" s="16">
        <v>115</v>
      </c>
      <c r="J5" s="16">
        <v>27</v>
      </c>
      <c r="K5" s="16">
        <v>57</v>
      </c>
      <c r="L5" s="16">
        <v>76</v>
      </c>
      <c r="M5" s="16">
        <v>54</v>
      </c>
      <c r="N5" s="16">
        <v>33</v>
      </c>
      <c r="O5" s="16">
        <v>39</v>
      </c>
      <c r="P5" s="16">
        <v>53</v>
      </c>
      <c r="Q5" s="16">
        <v>89</v>
      </c>
      <c r="R5" s="16">
        <v>89</v>
      </c>
      <c r="S5" s="16"/>
      <c r="T5" s="16"/>
      <c r="U5" s="17">
        <v>87</v>
      </c>
      <c r="V5" s="17"/>
      <c r="W5" s="17">
        <v>110</v>
      </c>
      <c r="X5" s="17">
        <v>84</v>
      </c>
      <c r="Y5" s="17">
        <v>62</v>
      </c>
      <c r="Z5" s="17">
        <v>121</v>
      </c>
      <c r="AA5" s="17">
        <v>138</v>
      </c>
      <c r="AB5" s="17">
        <v>95</v>
      </c>
      <c r="AC5" s="17">
        <v>49</v>
      </c>
      <c r="AD5" s="17">
        <v>69</v>
      </c>
      <c r="AE5" s="10">
        <v>101</v>
      </c>
      <c r="AF5" s="10">
        <v>143</v>
      </c>
      <c r="AG5" s="10">
        <f>39+14</f>
        <v>53</v>
      </c>
      <c r="AH5" s="10">
        <f>20+35+47+37</f>
        <v>139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50.8</v>
      </c>
      <c r="BK5">
        <f t="shared" ref="BK5:DD16" si="0">AVERAGE(C5:L5)</f>
        <v>55.6</v>
      </c>
      <c r="BL5">
        <f>AVERAGE(D5:M5)</f>
        <v>58.1</v>
      </c>
      <c r="BM5">
        <f t="shared" si="0"/>
        <v>55</v>
      </c>
      <c r="BN5">
        <f t="shared" si="0"/>
        <v>54.9</v>
      </c>
      <c r="BO5">
        <f t="shared" si="0"/>
        <v>51.7</v>
      </c>
      <c r="BP5">
        <f t="shared" si="0"/>
        <v>58.7</v>
      </c>
      <c r="BQ5">
        <f t="shared" si="0"/>
        <v>63.2</v>
      </c>
      <c r="BR5">
        <f t="shared" si="0"/>
        <v>57.444444444444443</v>
      </c>
      <c r="BS5">
        <f t="shared" si="0"/>
        <v>61.25</v>
      </c>
      <c r="BT5">
        <f t="shared" si="0"/>
        <v>65</v>
      </c>
      <c r="BU5">
        <f t="shared" si="0"/>
        <v>63.428571428571431</v>
      </c>
      <c r="BV5">
        <f t="shared" si="0"/>
        <v>71.428571428571431</v>
      </c>
      <c r="BW5">
        <f t="shared" si="0"/>
        <v>78.714285714285708</v>
      </c>
      <c r="BX5">
        <f t="shared" si="0"/>
        <v>82</v>
      </c>
      <c r="BY5">
        <f t="shared" si="0"/>
        <v>91.714285714285708</v>
      </c>
      <c r="BZ5">
        <f t="shared" si="0"/>
        <v>98.714285714285708</v>
      </c>
      <c r="CA5">
        <f t="shared" si="0"/>
        <v>99.571428571428569</v>
      </c>
      <c r="CB5">
        <f t="shared" si="0"/>
        <v>93.25</v>
      </c>
      <c r="CC5">
        <f t="shared" si="0"/>
        <v>90.555555555555557</v>
      </c>
      <c r="CD5">
        <f t="shared" si="0"/>
        <v>92.111111111111114</v>
      </c>
      <c r="CE5">
        <f t="shared" si="0"/>
        <v>97.2</v>
      </c>
      <c r="CF5">
        <f t="shared" si="0"/>
        <v>91.5</v>
      </c>
      <c r="CG5">
        <f t="shared" si="0"/>
        <v>97</v>
      </c>
      <c r="CH5">
        <f t="shared" si="0"/>
        <v>100.88888888888889</v>
      </c>
      <c r="CI5">
        <f t="shared" si="0"/>
        <v>98.375</v>
      </c>
      <c r="CJ5">
        <f t="shared" si="0"/>
        <v>92.714285714285708</v>
      </c>
      <c r="CK5">
        <f t="shared" si="0"/>
        <v>92.333333333333329</v>
      </c>
      <c r="CL5">
        <f t="shared" si="0"/>
        <v>101</v>
      </c>
      <c r="CM5">
        <f t="shared" si="0"/>
        <v>109</v>
      </c>
      <c r="CN5">
        <f t="shared" si="0"/>
        <v>111.66666666666667</v>
      </c>
      <c r="CO5">
        <f t="shared" si="0"/>
        <v>96</v>
      </c>
      <c r="CP5">
        <f t="shared" si="0"/>
        <v>139</v>
      </c>
      <c r="CQ5" t="e">
        <f t="shared" si="0"/>
        <v>#DIV/0!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58</v>
      </c>
      <c r="C6" s="14">
        <v>43</v>
      </c>
      <c r="D6" s="14">
        <v>43</v>
      </c>
      <c r="E6" s="14">
        <v>41</v>
      </c>
      <c r="F6" s="14">
        <v>62</v>
      </c>
      <c r="G6" s="14">
        <v>56</v>
      </c>
      <c r="H6" s="14">
        <v>71</v>
      </c>
      <c r="I6" s="14">
        <v>80</v>
      </c>
      <c r="J6" s="14">
        <v>61</v>
      </c>
      <c r="K6" s="14">
        <v>33</v>
      </c>
      <c r="L6" s="14">
        <v>77</v>
      </c>
      <c r="M6" s="14">
        <v>81</v>
      </c>
      <c r="N6" s="14">
        <v>33</v>
      </c>
      <c r="O6" s="14">
        <v>56</v>
      </c>
      <c r="P6" s="14">
        <v>69</v>
      </c>
      <c r="Q6" s="14">
        <v>70</v>
      </c>
      <c r="R6" s="14">
        <v>35</v>
      </c>
      <c r="S6" s="14"/>
      <c r="T6" s="14"/>
      <c r="U6" s="15">
        <v>51</v>
      </c>
      <c r="V6" s="15"/>
      <c r="W6" s="15">
        <v>138</v>
      </c>
      <c r="X6" s="15">
        <v>55</v>
      </c>
      <c r="Y6" s="15">
        <v>47</v>
      </c>
      <c r="Z6" s="15">
        <v>33</v>
      </c>
      <c r="AA6" s="15">
        <v>133</v>
      </c>
      <c r="AB6" s="15">
        <v>77</v>
      </c>
      <c r="AC6" s="15">
        <v>106</v>
      </c>
      <c r="AD6" s="15">
        <v>94</v>
      </c>
      <c r="AE6" s="124">
        <v>126</v>
      </c>
      <c r="AF6" s="124">
        <v>81</v>
      </c>
      <c r="AG6" s="124">
        <f>17+44+42+1</f>
        <v>104</v>
      </c>
      <c r="AH6" s="124">
        <f>1+47+33+9</f>
        <v>90</v>
      </c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54.8</v>
      </c>
      <c r="BK6">
        <f t="shared" si="0"/>
        <v>56.7</v>
      </c>
      <c r="BL6">
        <f t="shared" ref="BL6:BL16" si="2">AVERAGE(D6:M6)</f>
        <v>60.5</v>
      </c>
      <c r="BM6">
        <f t="shared" si="0"/>
        <v>59.5</v>
      </c>
      <c r="BN6">
        <f t="shared" si="0"/>
        <v>61</v>
      </c>
      <c r="BO6">
        <f t="shared" si="0"/>
        <v>61.7</v>
      </c>
      <c r="BP6">
        <f t="shared" si="0"/>
        <v>63.1</v>
      </c>
      <c r="BQ6">
        <f t="shared" si="0"/>
        <v>59.5</v>
      </c>
      <c r="BR6">
        <f t="shared" ref="BR6:BS16" si="3">AVERAGE(J6:S6)</f>
        <v>57.222222222222221</v>
      </c>
      <c r="BS6">
        <f t="shared" si="3"/>
        <v>56.75</v>
      </c>
      <c r="BT6">
        <f t="shared" si="0"/>
        <v>59</v>
      </c>
      <c r="BU6">
        <f t="shared" si="0"/>
        <v>56.428571428571431</v>
      </c>
      <c r="BV6">
        <f t="shared" si="0"/>
        <v>64.571428571428569</v>
      </c>
      <c r="BW6">
        <f t="shared" si="0"/>
        <v>67.714285714285708</v>
      </c>
      <c r="BX6">
        <f t="shared" si="0"/>
        <v>66.428571428571431</v>
      </c>
      <c r="BY6">
        <f t="shared" si="0"/>
        <v>61.285714285714285</v>
      </c>
      <c r="BZ6">
        <f t="shared" si="0"/>
        <v>70.285714285714292</v>
      </c>
      <c r="CA6">
        <f t="shared" si="0"/>
        <v>76.285714285714292</v>
      </c>
      <c r="CB6">
        <f t="shared" si="0"/>
        <v>80</v>
      </c>
      <c r="CC6">
        <f t="shared" si="0"/>
        <v>81.555555555555557</v>
      </c>
      <c r="CD6">
        <f t="shared" si="0"/>
        <v>89.888888888888886</v>
      </c>
      <c r="CE6">
        <f t="shared" si="0"/>
        <v>89</v>
      </c>
      <c r="CF6">
        <f t="shared" ref="CF6:CF16" si="4">AVERAGE(X6:AG6)</f>
        <v>85.6</v>
      </c>
      <c r="CG6">
        <f t="shared" ref="CG6:CG16" si="5">AVERAGE(Y6:AH6)</f>
        <v>89.1</v>
      </c>
      <c r="CH6">
        <f t="shared" ref="CH6:CH16" si="6">AVERAGE(Z6:AI6)</f>
        <v>93.777777777777771</v>
      </c>
      <c r="CI6">
        <f t="shared" ref="CI6:CI16" si="7">AVERAGE(AA6:AJ6)</f>
        <v>101.375</v>
      </c>
      <c r="CJ6">
        <f t="shared" ref="CJ6:CJ16" si="8">AVERAGE(AB6:AK6)</f>
        <v>96.857142857142861</v>
      </c>
      <c r="CK6">
        <f t="shared" ref="CK6:CK16" si="9">AVERAGE(AC6:AL6)</f>
        <v>100.16666666666667</v>
      </c>
      <c r="CL6">
        <f t="shared" ref="CL6:CL16" si="10">AVERAGE(AD6:AM6)</f>
        <v>99</v>
      </c>
      <c r="CM6">
        <f t="shared" ref="CM6:CM16" si="11">AVERAGE(AE6:AN6)</f>
        <v>100.25</v>
      </c>
      <c r="CN6">
        <f t="shared" ref="CN6:CN16" si="12">AVERAGE(AF6:AO6)</f>
        <v>91.666666666666671</v>
      </c>
      <c r="CO6">
        <f t="shared" ref="CO6:CO16" si="13">AVERAGE(AG6:AP6)</f>
        <v>97</v>
      </c>
      <c r="CP6">
        <f t="shared" ref="CP6:CP16" si="14">AVERAGE(AH6:AQ6)</f>
        <v>90</v>
      </c>
      <c r="CQ6" t="e">
        <f t="shared" ref="CQ6:CQ16" si="15">AVERAGE(AI6:AR6)</f>
        <v>#DIV/0!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86</v>
      </c>
      <c r="C7" s="16">
        <v>42</v>
      </c>
      <c r="D7" s="16">
        <v>18</v>
      </c>
      <c r="E7" s="16">
        <v>32</v>
      </c>
      <c r="F7" s="16">
        <v>110</v>
      </c>
      <c r="G7" s="16">
        <v>70</v>
      </c>
      <c r="H7" s="16">
        <v>69</v>
      </c>
      <c r="I7" s="16">
        <v>69</v>
      </c>
      <c r="J7" s="16">
        <v>63</v>
      </c>
      <c r="K7" s="16">
        <v>82</v>
      </c>
      <c r="L7" s="16">
        <v>35</v>
      </c>
      <c r="M7" s="16">
        <v>123</v>
      </c>
      <c r="N7" s="16">
        <v>46</v>
      </c>
      <c r="O7" s="16">
        <v>64</v>
      </c>
      <c r="P7" s="16">
        <v>39</v>
      </c>
      <c r="Q7" s="16">
        <v>83</v>
      </c>
      <c r="R7" s="16">
        <v>35</v>
      </c>
      <c r="S7" s="16"/>
      <c r="T7" s="16"/>
      <c r="U7" s="17">
        <v>40</v>
      </c>
      <c r="V7" s="17"/>
      <c r="W7" s="17">
        <v>122</v>
      </c>
      <c r="X7" s="17">
        <v>97</v>
      </c>
      <c r="Y7" s="17">
        <v>86</v>
      </c>
      <c r="Z7" s="17">
        <v>54</v>
      </c>
      <c r="AA7" s="17">
        <v>187</v>
      </c>
      <c r="AB7" s="17">
        <v>66</v>
      </c>
      <c r="AC7" s="17">
        <v>74</v>
      </c>
      <c r="AD7" s="17">
        <v>106</v>
      </c>
      <c r="AE7" s="10">
        <v>185</v>
      </c>
      <c r="AF7" s="10">
        <v>149</v>
      </c>
      <c r="AG7" s="10">
        <f>31+35+11</f>
        <v>77</v>
      </c>
      <c r="AH7" s="10">
        <f>41+22</f>
        <v>63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64.099999999999994</v>
      </c>
      <c r="BK7">
        <f t="shared" si="0"/>
        <v>59</v>
      </c>
      <c r="BL7">
        <f t="shared" si="2"/>
        <v>67.099999999999994</v>
      </c>
      <c r="BM7">
        <f t="shared" si="0"/>
        <v>69.900000000000006</v>
      </c>
      <c r="BN7">
        <f t="shared" si="0"/>
        <v>73.099999999999994</v>
      </c>
      <c r="BO7">
        <f t="shared" si="0"/>
        <v>66</v>
      </c>
      <c r="BP7">
        <f t="shared" si="0"/>
        <v>67.3</v>
      </c>
      <c r="BQ7">
        <f t="shared" si="0"/>
        <v>63.9</v>
      </c>
      <c r="BR7">
        <f t="shared" si="3"/>
        <v>63.333333333333336</v>
      </c>
      <c r="BS7">
        <f t="shared" si="3"/>
        <v>63.375</v>
      </c>
      <c r="BT7">
        <f t="shared" si="0"/>
        <v>58.125</v>
      </c>
      <c r="BU7">
        <f t="shared" si="0"/>
        <v>61.428571428571431</v>
      </c>
      <c r="BV7">
        <f t="shared" si="0"/>
        <v>61.285714285714285</v>
      </c>
      <c r="BW7">
        <f t="shared" si="0"/>
        <v>68.571428571428569</v>
      </c>
      <c r="BX7">
        <f>AVERAGE(P7:Y7)</f>
        <v>71.714285714285708</v>
      </c>
      <c r="BY7">
        <f t="shared" si="0"/>
        <v>73.857142857142861</v>
      </c>
      <c r="BZ7">
        <f t="shared" si="0"/>
        <v>88.714285714285708</v>
      </c>
      <c r="CA7">
        <f t="shared" si="0"/>
        <v>93.142857142857139</v>
      </c>
      <c r="CB7">
        <f t="shared" si="0"/>
        <v>90.75</v>
      </c>
      <c r="CC7">
        <f t="shared" si="0"/>
        <v>92.444444444444443</v>
      </c>
      <c r="CD7">
        <f t="shared" si="0"/>
        <v>108.55555555555556</v>
      </c>
      <c r="CE7">
        <f>AVERAGE(W7:AF7)</f>
        <v>112.6</v>
      </c>
      <c r="CF7">
        <f t="shared" si="4"/>
        <v>108.1</v>
      </c>
      <c r="CG7">
        <f t="shared" si="5"/>
        <v>104.7</v>
      </c>
      <c r="CH7">
        <f t="shared" si="6"/>
        <v>106.77777777777777</v>
      </c>
      <c r="CI7">
        <f t="shared" si="7"/>
        <v>113.375</v>
      </c>
      <c r="CJ7">
        <f t="shared" si="8"/>
        <v>102.85714285714286</v>
      </c>
      <c r="CK7">
        <f t="shared" si="9"/>
        <v>109</v>
      </c>
      <c r="CL7">
        <f t="shared" si="10"/>
        <v>116</v>
      </c>
      <c r="CM7">
        <f t="shared" si="11"/>
        <v>118.5</v>
      </c>
      <c r="CN7">
        <f t="shared" si="12"/>
        <v>96.333333333333329</v>
      </c>
      <c r="CO7">
        <f t="shared" si="13"/>
        <v>70</v>
      </c>
      <c r="CP7">
        <f t="shared" si="14"/>
        <v>63</v>
      </c>
      <c r="CQ7" t="e">
        <f t="shared" si="15"/>
        <v>#DIV/0!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104</v>
      </c>
      <c r="C8" s="14">
        <v>85</v>
      </c>
      <c r="D8" s="14">
        <v>82</v>
      </c>
      <c r="E8" s="14">
        <v>94</v>
      </c>
      <c r="F8" s="14">
        <v>115</v>
      </c>
      <c r="G8" s="14">
        <v>100</v>
      </c>
      <c r="H8" s="14">
        <v>138</v>
      </c>
      <c r="I8" s="14">
        <v>125</v>
      </c>
      <c r="J8" s="14">
        <v>83</v>
      </c>
      <c r="K8" s="14">
        <v>118</v>
      </c>
      <c r="L8" s="14">
        <v>109</v>
      </c>
      <c r="M8" s="14">
        <v>131</v>
      </c>
      <c r="N8" s="14">
        <v>75</v>
      </c>
      <c r="O8" s="14">
        <v>109</v>
      </c>
      <c r="P8" s="14">
        <v>115</v>
      </c>
      <c r="Q8" s="14">
        <v>206</v>
      </c>
      <c r="R8" s="14">
        <v>107</v>
      </c>
      <c r="S8" s="14"/>
      <c r="T8" s="14"/>
      <c r="U8" s="15">
        <v>123</v>
      </c>
      <c r="V8" s="15"/>
      <c r="W8" s="15">
        <v>155</v>
      </c>
      <c r="X8" s="15">
        <v>126</v>
      </c>
      <c r="Y8" s="15">
        <v>136</v>
      </c>
      <c r="Z8" s="15">
        <v>133</v>
      </c>
      <c r="AA8" s="15">
        <v>266</v>
      </c>
      <c r="AB8" s="15">
        <v>227</v>
      </c>
      <c r="AC8" s="15">
        <v>173</v>
      </c>
      <c r="AD8" s="15">
        <v>188</v>
      </c>
      <c r="AE8" s="124">
        <v>146</v>
      </c>
      <c r="AF8" s="124">
        <v>144</v>
      </c>
      <c r="AG8" s="124">
        <f>36+14+50+42+26</f>
        <v>168</v>
      </c>
      <c r="AH8" s="124">
        <f>27+54+11</f>
        <v>92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104.4</v>
      </c>
      <c r="BK8">
        <f t="shared" si="0"/>
        <v>104.9</v>
      </c>
      <c r="BL8">
        <f t="shared" si="2"/>
        <v>109.5</v>
      </c>
      <c r="BM8">
        <f t="shared" si="0"/>
        <v>108.8</v>
      </c>
      <c r="BN8">
        <f t="shared" si="0"/>
        <v>110.3</v>
      </c>
      <c r="BO8">
        <f t="shared" si="0"/>
        <v>110.3</v>
      </c>
      <c r="BP8">
        <f t="shared" si="0"/>
        <v>120.9</v>
      </c>
      <c r="BQ8">
        <f t="shared" si="0"/>
        <v>117.8</v>
      </c>
      <c r="BR8">
        <f t="shared" si="3"/>
        <v>117</v>
      </c>
      <c r="BS8">
        <f t="shared" si="3"/>
        <v>121.25</v>
      </c>
      <c r="BT8">
        <f>AVERAGE(L8:U8)</f>
        <v>121.875</v>
      </c>
      <c r="BU8">
        <f t="shared" si="0"/>
        <v>123.71428571428571</v>
      </c>
      <c r="BV8">
        <f t="shared" si="0"/>
        <v>127.14285714285714</v>
      </c>
      <c r="BW8">
        <f t="shared" si="0"/>
        <v>134.42857142857142</v>
      </c>
      <c r="BX8">
        <f t="shared" si="0"/>
        <v>138.28571428571428</v>
      </c>
      <c r="BY8">
        <f t="shared" si="0"/>
        <v>140.85714285714286</v>
      </c>
      <c r="BZ8">
        <f t="shared" si="0"/>
        <v>149.42857142857142</v>
      </c>
      <c r="CA8">
        <f t="shared" si="0"/>
        <v>166.57142857142858</v>
      </c>
      <c r="CB8">
        <f t="shared" si="0"/>
        <v>167.375</v>
      </c>
      <c r="CC8">
        <f t="shared" si="0"/>
        <v>169.66666666666666</v>
      </c>
      <c r="CD8">
        <f t="shared" si="0"/>
        <v>172.22222222222223</v>
      </c>
      <c r="CE8">
        <f t="shared" si="0"/>
        <v>169.4</v>
      </c>
      <c r="CF8">
        <f t="shared" si="4"/>
        <v>170.7</v>
      </c>
      <c r="CG8">
        <f t="shared" si="5"/>
        <v>167.3</v>
      </c>
      <c r="CH8">
        <f t="shared" si="6"/>
        <v>170.77777777777777</v>
      </c>
      <c r="CI8">
        <f t="shared" si="7"/>
        <v>175.5</v>
      </c>
      <c r="CJ8">
        <f t="shared" si="8"/>
        <v>162.57142857142858</v>
      </c>
      <c r="CK8">
        <f t="shared" si="9"/>
        <v>151.83333333333334</v>
      </c>
      <c r="CL8">
        <f t="shared" si="10"/>
        <v>147.6</v>
      </c>
      <c r="CM8">
        <f t="shared" si="11"/>
        <v>137.5</v>
      </c>
      <c r="CN8">
        <f t="shared" si="12"/>
        <v>134.66666666666666</v>
      </c>
      <c r="CO8">
        <f t="shared" si="13"/>
        <v>130</v>
      </c>
      <c r="CP8">
        <f t="shared" si="14"/>
        <v>92</v>
      </c>
      <c r="CQ8" t="e">
        <f t="shared" si="15"/>
        <v>#DIV/0!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151</v>
      </c>
      <c r="C9" s="16">
        <v>139</v>
      </c>
      <c r="D9" s="16">
        <v>305</v>
      </c>
      <c r="E9" s="16">
        <v>185</v>
      </c>
      <c r="F9" s="16">
        <v>172</v>
      </c>
      <c r="G9" s="16">
        <v>288</v>
      </c>
      <c r="H9" s="16">
        <v>158</v>
      </c>
      <c r="I9" s="16">
        <v>214</v>
      </c>
      <c r="J9" s="16">
        <v>263</v>
      </c>
      <c r="K9" s="16">
        <v>148</v>
      </c>
      <c r="L9" s="16">
        <v>197</v>
      </c>
      <c r="M9" s="16">
        <v>140</v>
      </c>
      <c r="N9" s="16">
        <v>137</v>
      </c>
      <c r="O9" s="16">
        <v>150</v>
      </c>
      <c r="P9" s="16">
        <v>195</v>
      </c>
      <c r="Q9" s="16">
        <v>143</v>
      </c>
      <c r="R9" s="16">
        <v>185</v>
      </c>
      <c r="S9" s="16"/>
      <c r="T9" s="16"/>
      <c r="U9" s="17">
        <v>256</v>
      </c>
      <c r="V9" s="17"/>
      <c r="W9" s="17">
        <v>298</v>
      </c>
      <c r="X9" s="17">
        <v>161</v>
      </c>
      <c r="Y9" s="17">
        <v>307</v>
      </c>
      <c r="Z9" s="17">
        <v>315</v>
      </c>
      <c r="AA9" s="17">
        <v>312</v>
      </c>
      <c r="AB9" s="17">
        <v>290</v>
      </c>
      <c r="AC9" s="17">
        <v>219</v>
      </c>
      <c r="AD9" s="17">
        <v>306</v>
      </c>
      <c r="AE9" s="10">
        <v>452</v>
      </c>
      <c r="AF9" s="10">
        <v>237</v>
      </c>
      <c r="AG9" s="10">
        <f>7+28+34+31+13</f>
        <v>113</v>
      </c>
      <c r="AH9" s="10">
        <f>28+44+37+46+54+25</f>
        <v>234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202.3</v>
      </c>
      <c r="BK9">
        <f t="shared" si="0"/>
        <v>206.9</v>
      </c>
      <c r="BL9">
        <f t="shared" si="2"/>
        <v>207</v>
      </c>
      <c r="BM9">
        <f t="shared" si="0"/>
        <v>190.2</v>
      </c>
      <c r="BN9">
        <f t="shared" si="0"/>
        <v>186.7</v>
      </c>
      <c r="BO9">
        <f t="shared" si="0"/>
        <v>189</v>
      </c>
      <c r="BP9">
        <f t="shared" si="0"/>
        <v>174.5</v>
      </c>
      <c r="BQ9">
        <f t="shared" si="0"/>
        <v>177.2</v>
      </c>
      <c r="BR9">
        <f t="shared" si="3"/>
        <v>173.11111111111111</v>
      </c>
      <c r="BS9">
        <f t="shared" si="3"/>
        <v>161.875</v>
      </c>
      <c r="BT9">
        <f t="shared" si="0"/>
        <v>175.375</v>
      </c>
      <c r="BU9">
        <f t="shared" si="0"/>
        <v>172.28571428571428</v>
      </c>
      <c r="BV9">
        <f t="shared" si="0"/>
        <v>194.85714285714286</v>
      </c>
      <c r="BW9">
        <f t="shared" si="0"/>
        <v>198.28571428571428</v>
      </c>
      <c r="BX9">
        <f t="shared" si="0"/>
        <v>220.71428571428572</v>
      </c>
      <c r="BY9">
        <f t="shared" si="0"/>
        <v>237.85714285714286</v>
      </c>
      <c r="BZ9">
        <f t="shared" si="0"/>
        <v>262</v>
      </c>
      <c r="CA9">
        <f t="shared" si="0"/>
        <v>277</v>
      </c>
      <c r="CB9">
        <f t="shared" si="0"/>
        <v>269.75</v>
      </c>
      <c r="CC9">
        <f t="shared" si="0"/>
        <v>273.77777777777777</v>
      </c>
      <c r="CD9">
        <f t="shared" si="0"/>
        <v>295.55555555555554</v>
      </c>
      <c r="CE9">
        <f t="shared" si="0"/>
        <v>289.7</v>
      </c>
      <c r="CF9">
        <f t="shared" si="4"/>
        <v>271.2</v>
      </c>
      <c r="CG9">
        <f t="shared" si="5"/>
        <v>278.5</v>
      </c>
      <c r="CH9">
        <f t="shared" si="6"/>
        <v>275.33333333333331</v>
      </c>
      <c r="CI9">
        <f t="shared" si="7"/>
        <v>270.375</v>
      </c>
      <c r="CJ9">
        <f t="shared" si="8"/>
        <v>264.42857142857144</v>
      </c>
      <c r="CK9">
        <f t="shared" si="9"/>
        <v>260.16666666666669</v>
      </c>
      <c r="CL9">
        <f t="shared" si="10"/>
        <v>268.39999999999998</v>
      </c>
      <c r="CM9">
        <f t="shared" si="11"/>
        <v>259</v>
      </c>
      <c r="CN9">
        <f t="shared" si="12"/>
        <v>194.66666666666666</v>
      </c>
      <c r="CO9">
        <f t="shared" si="13"/>
        <v>173.5</v>
      </c>
      <c r="CP9">
        <f t="shared" si="14"/>
        <v>234</v>
      </c>
      <c r="CQ9" t="e">
        <f t="shared" si="15"/>
        <v>#DIV/0!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144</v>
      </c>
      <c r="C10" s="14">
        <v>146</v>
      </c>
      <c r="D10" s="14">
        <v>141</v>
      </c>
      <c r="E10" s="14">
        <v>152</v>
      </c>
      <c r="F10" s="14">
        <v>152</v>
      </c>
      <c r="G10" s="14">
        <v>177</v>
      </c>
      <c r="H10" s="14">
        <v>360</v>
      </c>
      <c r="I10" s="14">
        <v>131</v>
      </c>
      <c r="J10" s="14">
        <v>181</v>
      </c>
      <c r="K10" s="14">
        <v>149</v>
      </c>
      <c r="L10" s="14">
        <v>154</v>
      </c>
      <c r="M10" s="14">
        <v>163</v>
      </c>
      <c r="N10" s="14">
        <v>117</v>
      </c>
      <c r="O10" s="14">
        <v>183</v>
      </c>
      <c r="P10" s="14">
        <v>127</v>
      </c>
      <c r="Q10" s="14">
        <v>93</v>
      </c>
      <c r="R10" s="14">
        <v>166</v>
      </c>
      <c r="S10" s="14"/>
      <c r="T10" s="14"/>
      <c r="U10" s="15">
        <v>162</v>
      </c>
      <c r="V10" s="15"/>
      <c r="W10" s="15">
        <v>191</v>
      </c>
      <c r="X10" s="15">
        <v>239</v>
      </c>
      <c r="Y10" s="15">
        <v>266</v>
      </c>
      <c r="Z10" s="15">
        <v>253</v>
      </c>
      <c r="AA10" s="15">
        <v>366</v>
      </c>
      <c r="AB10" s="15">
        <v>367</v>
      </c>
      <c r="AC10" s="15">
        <v>282</v>
      </c>
      <c r="AD10" s="15">
        <v>330</v>
      </c>
      <c r="AE10" s="124">
        <v>444</v>
      </c>
      <c r="AF10" s="124">
        <v>163</v>
      </c>
      <c r="AG10" s="124">
        <f>22+47+43+52+11</f>
        <v>175</v>
      </c>
      <c r="AH10" s="124">
        <f>13+36</f>
        <v>49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173.3</v>
      </c>
      <c r="BK10">
        <f t="shared" si="0"/>
        <v>174.3</v>
      </c>
      <c r="BL10">
        <f t="shared" si="2"/>
        <v>176</v>
      </c>
      <c r="BM10">
        <f t="shared" si="0"/>
        <v>173.6</v>
      </c>
      <c r="BN10">
        <f t="shared" si="0"/>
        <v>176.7</v>
      </c>
      <c r="BO10">
        <f t="shared" si="0"/>
        <v>174.2</v>
      </c>
      <c r="BP10">
        <f t="shared" si="0"/>
        <v>165.8</v>
      </c>
      <c r="BQ10">
        <f t="shared" si="0"/>
        <v>146.4</v>
      </c>
      <c r="BR10">
        <f t="shared" si="3"/>
        <v>148.11111111111111</v>
      </c>
      <c r="BS10">
        <f t="shared" si="3"/>
        <v>144</v>
      </c>
      <c r="BT10">
        <f t="shared" si="0"/>
        <v>145.625</v>
      </c>
      <c r="BU10">
        <f t="shared" si="0"/>
        <v>144.42857142857142</v>
      </c>
      <c r="BV10">
        <f t="shared" si="0"/>
        <v>148.42857142857142</v>
      </c>
      <c r="BW10">
        <f t="shared" si="0"/>
        <v>165.85714285714286</v>
      </c>
      <c r="BX10">
        <f t="shared" si="0"/>
        <v>177.71428571428572</v>
      </c>
      <c r="BY10">
        <f t="shared" si="0"/>
        <v>195.71428571428572</v>
      </c>
      <c r="BZ10">
        <f t="shared" si="0"/>
        <v>234.71428571428572</v>
      </c>
      <c r="CA10">
        <f t="shared" si="0"/>
        <v>263.42857142857144</v>
      </c>
      <c r="CB10">
        <f t="shared" si="0"/>
        <v>265.75</v>
      </c>
      <c r="CC10">
        <f t="shared" si="0"/>
        <v>272.88888888888891</v>
      </c>
      <c r="CD10">
        <f t="shared" si="0"/>
        <v>304.22222222222223</v>
      </c>
      <c r="CE10">
        <f t="shared" si="0"/>
        <v>290.10000000000002</v>
      </c>
      <c r="CF10">
        <f t="shared" si="4"/>
        <v>288.5</v>
      </c>
      <c r="CG10">
        <f t="shared" si="5"/>
        <v>269.5</v>
      </c>
      <c r="CH10">
        <f t="shared" si="6"/>
        <v>269.88888888888891</v>
      </c>
      <c r="CI10">
        <f t="shared" si="7"/>
        <v>272</v>
      </c>
      <c r="CJ10">
        <f t="shared" si="8"/>
        <v>258.57142857142856</v>
      </c>
      <c r="CK10">
        <f t="shared" si="9"/>
        <v>240.5</v>
      </c>
      <c r="CL10">
        <f t="shared" si="10"/>
        <v>232.2</v>
      </c>
      <c r="CM10">
        <f t="shared" si="11"/>
        <v>207.75</v>
      </c>
      <c r="CN10">
        <f t="shared" si="12"/>
        <v>129</v>
      </c>
      <c r="CO10">
        <f t="shared" si="13"/>
        <v>112</v>
      </c>
      <c r="CP10">
        <f t="shared" si="14"/>
        <v>49</v>
      </c>
      <c r="CQ10" t="e">
        <f t="shared" si="15"/>
        <v>#DIV/0!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165</v>
      </c>
      <c r="C11" s="16">
        <v>136</v>
      </c>
      <c r="D11" s="16">
        <v>166</v>
      </c>
      <c r="E11" s="16">
        <v>213</v>
      </c>
      <c r="F11" s="16">
        <v>261</v>
      </c>
      <c r="G11" s="16">
        <v>201</v>
      </c>
      <c r="H11" s="16">
        <v>200</v>
      </c>
      <c r="I11" s="16">
        <v>268</v>
      </c>
      <c r="J11" s="16">
        <v>91</v>
      </c>
      <c r="K11" s="16">
        <v>196</v>
      </c>
      <c r="L11" s="16">
        <v>222</v>
      </c>
      <c r="M11" s="16">
        <v>268</v>
      </c>
      <c r="N11" s="16">
        <v>152</v>
      </c>
      <c r="O11" s="16">
        <v>188</v>
      </c>
      <c r="P11" s="16">
        <v>234</v>
      </c>
      <c r="Q11" s="16">
        <v>197</v>
      </c>
      <c r="R11" s="16">
        <v>269</v>
      </c>
      <c r="S11" s="16"/>
      <c r="T11" s="16"/>
      <c r="U11" s="17">
        <v>272</v>
      </c>
      <c r="V11" s="17"/>
      <c r="W11" s="17">
        <v>279</v>
      </c>
      <c r="X11" s="17">
        <v>340</v>
      </c>
      <c r="Y11" s="17">
        <v>419</v>
      </c>
      <c r="Z11" s="17">
        <v>389</v>
      </c>
      <c r="AA11" s="17">
        <v>445</v>
      </c>
      <c r="AB11" s="17">
        <v>478</v>
      </c>
      <c r="AC11" s="17">
        <v>410</v>
      </c>
      <c r="AD11" s="17">
        <v>319</v>
      </c>
      <c r="AE11" s="10">
        <v>474</v>
      </c>
      <c r="AF11" s="10">
        <v>170</v>
      </c>
      <c r="AG11" s="10">
        <f>19+46+58+48+35</f>
        <v>206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189.7</v>
      </c>
      <c r="BK11">
        <f t="shared" si="0"/>
        <v>195.4</v>
      </c>
      <c r="BL11">
        <f t="shared" si="2"/>
        <v>208.6</v>
      </c>
      <c r="BM11">
        <f t="shared" si="0"/>
        <v>207.2</v>
      </c>
      <c r="BN11">
        <f t="shared" si="0"/>
        <v>204.7</v>
      </c>
      <c r="BO11">
        <f t="shared" si="0"/>
        <v>202</v>
      </c>
      <c r="BP11">
        <f t="shared" si="0"/>
        <v>201.6</v>
      </c>
      <c r="BQ11">
        <f t="shared" si="0"/>
        <v>208.5</v>
      </c>
      <c r="BR11">
        <f t="shared" si="3"/>
        <v>201.88888888888889</v>
      </c>
      <c r="BS11">
        <f t="shared" si="3"/>
        <v>215.75</v>
      </c>
      <c r="BT11">
        <f t="shared" si="0"/>
        <v>225.25</v>
      </c>
      <c r="BU11">
        <f t="shared" si="0"/>
        <v>225.71428571428572</v>
      </c>
      <c r="BV11">
        <f t="shared" si="0"/>
        <v>227.28571428571428</v>
      </c>
      <c r="BW11">
        <f t="shared" si="0"/>
        <v>254.14285714285714</v>
      </c>
      <c r="BX11">
        <f t="shared" si="0"/>
        <v>287.14285714285717</v>
      </c>
      <c r="BY11">
        <f t="shared" si="0"/>
        <v>309.28571428571428</v>
      </c>
      <c r="BZ11">
        <f t="shared" si="0"/>
        <v>344.71428571428572</v>
      </c>
      <c r="CA11">
        <f t="shared" si="0"/>
        <v>374.57142857142856</v>
      </c>
      <c r="CB11">
        <f t="shared" si="0"/>
        <v>379</v>
      </c>
      <c r="CC11">
        <f t="shared" si="0"/>
        <v>372.33333333333331</v>
      </c>
      <c r="CD11">
        <f t="shared" si="0"/>
        <v>394.77777777777777</v>
      </c>
      <c r="CE11">
        <f t="shared" si="0"/>
        <v>372.3</v>
      </c>
      <c r="CF11">
        <f t="shared" si="4"/>
        <v>365</v>
      </c>
      <c r="CG11">
        <f t="shared" si="5"/>
        <v>367.77777777777777</v>
      </c>
      <c r="CH11">
        <f t="shared" si="6"/>
        <v>361.375</v>
      </c>
      <c r="CI11">
        <f t="shared" si="7"/>
        <v>357.42857142857144</v>
      </c>
      <c r="CJ11">
        <f t="shared" si="8"/>
        <v>342.83333333333331</v>
      </c>
      <c r="CK11">
        <f t="shared" si="9"/>
        <v>315.8</v>
      </c>
      <c r="CL11">
        <f t="shared" si="10"/>
        <v>292.25</v>
      </c>
      <c r="CM11">
        <f t="shared" si="11"/>
        <v>283.33333333333331</v>
      </c>
      <c r="CN11">
        <f t="shared" si="12"/>
        <v>188</v>
      </c>
      <c r="CO11">
        <f t="shared" si="13"/>
        <v>206</v>
      </c>
      <c r="CP11" t="e">
        <f t="shared" si="14"/>
        <v>#DIV/0!</v>
      </c>
      <c r="CQ11" t="e">
        <f t="shared" si="15"/>
        <v>#DIV/0!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174</v>
      </c>
      <c r="C12" s="14">
        <v>189</v>
      </c>
      <c r="D12" s="14">
        <v>239</v>
      </c>
      <c r="E12" s="14">
        <v>226</v>
      </c>
      <c r="F12" s="14">
        <v>142</v>
      </c>
      <c r="G12" s="14">
        <v>259</v>
      </c>
      <c r="H12" s="14">
        <v>312</v>
      </c>
      <c r="I12" s="14">
        <v>301</v>
      </c>
      <c r="J12" s="14">
        <v>263</v>
      </c>
      <c r="K12" s="14">
        <v>272</v>
      </c>
      <c r="L12" s="14">
        <v>227</v>
      </c>
      <c r="M12" s="14">
        <v>237</v>
      </c>
      <c r="N12" s="14">
        <v>204</v>
      </c>
      <c r="O12" s="14">
        <v>182</v>
      </c>
      <c r="P12" s="14">
        <v>145</v>
      </c>
      <c r="Q12" s="14">
        <v>258</v>
      </c>
      <c r="R12" s="14">
        <v>226</v>
      </c>
      <c r="S12" s="14"/>
      <c r="T12" s="14"/>
      <c r="U12" s="15">
        <v>250</v>
      </c>
      <c r="V12" s="15"/>
      <c r="W12" s="15">
        <v>366</v>
      </c>
      <c r="X12" s="15">
        <v>409</v>
      </c>
      <c r="Y12" s="15">
        <v>504</v>
      </c>
      <c r="Z12" s="15">
        <v>636</v>
      </c>
      <c r="AA12" s="15">
        <v>441</v>
      </c>
      <c r="AB12" s="15">
        <v>441</v>
      </c>
      <c r="AC12" s="15">
        <v>295</v>
      </c>
      <c r="AD12" s="15">
        <v>447</v>
      </c>
      <c r="AE12" s="124">
        <v>412</v>
      </c>
      <c r="AF12" s="124">
        <v>128</v>
      </c>
      <c r="AG12" s="124">
        <f>7+35+38+46+9</f>
        <v>135</v>
      </c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237.7</v>
      </c>
      <c r="BK12">
        <f t="shared" si="0"/>
        <v>243</v>
      </c>
      <c r="BL12">
        <f t="shared" si="2"/>
        <v>247.8</v>
      </c>
      <c r="BM12">
        <f t="shared" si="0"/>
        <v>244.3</v>
      </c>
      <c r="BN12">
        <f t="shared" si="0"/>
        <v>239.9</v>
      </c>
      <c r="BO12">
        <f t="shared" si="0"/>
        <v>240.2</v>
      </c>
      <c r="BP12">
        <f t="shared" si="0"/>
        <v>240.1</v>
      </c>
      <c r="BQ12">
        <f t="shared" si="0"/>
        <v>231.5</v>
      </c>
      <c r="BR12">
        <f t="shared" si="3"/>
        <v>223.77777777777777</v>
      </c>
      <c r="BS12">
        <f t="shared" si="3"/>
        <v>218.875</v>
      </c>
      <c r="BT12">
        <f t="shared" si="0"/>
        <v>216.125</v>
      </c>
      <c r="BU12">
        <f t="shared" si="0"/>
        <v>214.57142857142858</v>
      </c>
      <c r="BV12">
        <f t="shared" si="0"/>
        <v>233</v>
      </c>
      <c r="BW12">
        <f t="shared" si="0"/>
        <v>262.28571428571428</v>
      </c>
      <c r="BX12">
        <f t="shared" si="0"/>
        <v>308.28571428571428</v>
      </c>
      <c r="BY12">
        <f t="shared" si="0"/>
        <v>378.42857142857144</v>
      </c>
      <c r="BZ12">
        <f t="shared" si="0"/>
        <v>404.57142857142856</v>
      </c>
      <c r="CA12">
        <f t="shared" si="0"/>
        <v>435.28571428571428</v>
      </c>
      <c r="CB12">
        <f t="shared" si="0"/>
        <v>417.75</v>
      </c>
      <c r="CC12">
        <f t="shared" si="0"/>
        <v>421</v>
      </c>
      <c r="CD12">
        <f t="shared" si="0"/>
        <v>439</v>
      </c>
      <c r="CE12">
        <f t="shared" si="0"/>
        <v>407.9</v>
      </c>
      <c r="CF12">
        <f t="shared" si="4"/>
        <v>384.8</v>
      </c>
      <c r="CG12">
        <f t="shared" si="5"/>
        <v>382.11111111111109</v>
      </c>
      <c r="CH12">
        <f t="shared" si="6"/>
        <v>366.875</v>
      </c>
      <c r="CI12">
        <f t="shared" si="7"/>
        <v>328.42857142857144</v>
      </c>
      <c r="CJ12">
        <f t="shared" si="8"/>
        <v>309.66666666666669</v>
      </c>
      <c r="CK12">
        <f t="shared" si="9"/>
        <v>283.39999999999998</v>
      </c>
      <c r="CL12">
        <f t="shared" si="10"/>
        <v>280.5</v>
      </c>
      <c r="CM12">
        <f t="shared" si="11"/>
        <v>225</v>
      </c>
      <c r="CN12">
        <f t="shared" si="12"/>
        <v>131.5</v>
      </c>
      <c r="CO12">
        <f t="shared" si="13"/>
        <v>135</v>
      </c>
      <c r="CP12" t="e">
        <f t="shared" si="14"/>
        <v>#DIV/0!</v>
      </c>
      <c r="CQ12" t="e">
        <f t="shared" si="15"/>
        <v>#DIV/0!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91</v>
      </c>
      <c r="C13" s="16">
        <v>189</v>
      </c>
      <c r="D13" s="16">
        <v>189</v>
      </c>
      <c r="E13" s="16">
        <v>257</v>
      </c>
      <c r="F13" s="16">
        <v>209</v>
      </c>
      <c r="G13" s="16">
        <v>128</v>
      </c>
      <c r="H13" s="16">
        <v>168</v>
      </c>
      <c r="I13" s="16">
        <v>204</v>
      </c>
      <c r="J13" s="16">
        <v>224</v>
      </c>
      <c r="K13" s="16">
        <v>161</v>
      </c>
      <c r="L13" s="16">
        <v>219</v>
      </c>
      <c r="M13" s="16">
        <v>118</v>
      </c>
      <c r="N13" s="16">
        <v>172</v>
      </c>
      <c r="O13" s="16">
        <v>193</v>
      </c>
      <c r="P13" s="16">
        <v>175</v>
      </c>
      <c r="Q13" s="16">
        <v>336</v>
      </c>
      <c r="R13" s="16">
        <v>191</v>
      </c>
      <c r="S13" s="16"/>
      <c r="T13" s="16"/>
      <c r="U13" s="17">
        <v>207</v>
      </c>
      <c r="V13" s="17"/>
      <c r="W13" s="17">
        <v>242</v>
      </c>
      <c r="X13" s="17">
        <v>242</v>
      </c>
      <c r="Y13" s="17">
        <v>262</v>
      </c>
      <c r="Z13" s="17">
        <v>331</v>
      </c>
      <c r="AA13" s="17">
        <v>380</v>
      </c>
      <c r="AB13" s="17">
        <v>350</v>
      </c>
      <c r="AC13" s="17">
        <v>316</v>
      </c>
      <c r="AD13" s="17">
        <v>369</v>
      </c>
      <c r="AE13" s="10">
        <v>347</v>
      </c>
      <c r="AF13" s="10">
        <v>130</v>
      </c>
      <c r="AG13" s="10">
        <f>21+48+43+33+18</f>
        <v>163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182</v>
      </c>
      <c r="BK13">
        <f t="shared" si="0"/>
        <v>194.8</v>
      </c>
      <c r="BL13">
        <f t="shared" si="2"/>
        <v>187.7</v>
      </c>
      <c r="BM13">
        <f t="shared" si="0"/>
        <v>186</v>
      </c>
      <c r="BN13">
        <f t="shared" si="0"/>
        <v>179.6</v>
      </c>
      <c r="BO13">
        <f t="shared" si="0"/>
        <v>176.2</v>
      </c>
      <c r="BP13">
        <f t="shared" si="0"/>
        <v>197</v>
      </c>
      <c r="BQ13">
        <f t="shared" si="0"/>
        <v>199.3</v>
      </c>
      <c r="BR13">
        <f t="shared" si="3"/>
        <v>198.77777777777777</v>
      </c>
      <c r="BS13">
        <f t="shared" si="3"/>
        <v>195.625</v>
      </c>
      <c r="BT13">
        <f t="shared" si="0"/>
        <v>201.375</v>
      </c>
      <c r="BU13">
        <f t="shared" si="0"/>
        <v>198.85714285714286</v>
      </c>
      <c r="BV13">
        <f t="shared" si="0"/>
        <v>216.57142857142858</v>
      </c>
      <c r="BW13">
        <f t="shared" si="0"/>
        <v>226.57142857142858</v>
      </c>
      <c r="BX13">
        <f t="shared" si="0"/>
        <v>236.42857142857142</v>
      </c>
      <c r="BY13">
        <f t="shared" si="0"/>
        <v>258.71428571428572</v>
      </c>
      <c r="BZ13">
        <f t="shared" si="0"/>
        <v>265</v>
      </c>
      <c r="CA13">
        <f t="shared" si="0"/>
        <v>287.71428571428572</v>
      </c>
      <c r="CB13">
        <f t="shared" si="0"/>
        <v>291.25</v>
      </c>
      <c r="CC13">
        <f t="shared" si="0"/>
        <v>299.88888888888891</v>
      </c>
      <c r="CD13">
        <f t="shared" si="0"/>
        <v>315.44444444444446</v>
      </c>
      <c r="CE13">
        <f t="shared" si="0"/>
        <v>296.89999999999998</v>
      </c>
      <c r="CF13">
        <f t="shared" si="4"/>
        <v>289</v>
      </c>
      <c r="CG13">
        <f t="shared" si="5"/>
        <v>294.22222222222223</v>
      </c>
      <c r="CH13">
        <f t="shared" si="6"/>
        <v>298.25</v>
      </c>
      <c r="CI13">
        <f t="shared" si="7"/>
        <v>293.57142857142856</v>
      </c>
      <c r="CJ13">
        <f t="shared" si="8"/>
        <v>279.16666666666669</v>
      </c>
      <c r="CK13">
        <f t="shared" si="9"/>
        <v>265</v>
      </c>
      <c r="CL13">
        <f t="shared" si="10"/>
        <v>252.25</v>
      </c>
      <c r="CM13">
        <f t="shared" si="11"/>
        <v>213.33333333333334</v>
      </c>
      <c r="CN13">
        <f t="shared" si="12"/>
        <v>146.5</v>
      </c>
      <c r="CO13">
        <f t="shared" si="13"/>
        <v>163</v>
      </c>
      <c r="CP13" t="e">
        <f t="shared" si="14"/>
        <v>#DIV/0!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205</v>
      </c>
      <c r="C14" s="14">
        <v>225</v>
      </c>
      <c r="D14" s="14">
        <v>261</v>
      </c>
      <c r="E14" s="14">
        <v>264</v>
      </c>
      <c r="F14" s="14">
        <v>242</v>
      </c>
      <c r="G14" s="14">
        <v>246</v>
      </c>
      <c r="H14" s="14">
        <v>266</v>
      </c>
      <c r="I14" s="14">
        <v>234</v>
      </c>
      <c r="J14" s="14">
        <v>156</v>
      </c>
      <c r="K14" s="14">
        <v>256</v>
      </c>
      <c r="L14" s="14">
        <v>166</v>
      </c>
      <c r="M14" s="14">
        <v>127</v>
      </c>
      <c r="N14" s="14">
        <v>199</v>
      </c>
      <c r="O14" s="14">
        <v>240</v>
      </c>
      <c r="P14" s="14">
        <v>210</v>
      </c>
      <c r="Q14" s="14">
        <v>349</v>
      </c>
      <c r="R14" s="14">
        <v>191</v>
      </c>
      <c r="S14" s="14"/>
      <c r="T14" s="14"/>
      <c r="U14" s="15">
        <v>234</v>
      </c>
      <c r="V14" s="15"/>
      <c r="W14" s="15">
        <v>172</v>
      </c>
      <c r="X14" s="15">
        <v>191</v>
      </c>
      <c r="Y14" s="15">
        <v>213</v>
      </c>
      <c r="Z14" s="15">
        <v>323</v>
      </c>
      <c r="AA14" s="15">
        <v>255</v>
      </c>
      <c r="AB14" s="15">
        <v>229</v>
      </c>
      <c r="AC14" s="15">
        <v>234</v>
      </c>
      <c r="AD14" s="15">
        <v>252</v>
      </c>
      <c r="AE14" s="124">
        <v>418</v>
      </c>
      <c r="AF14" s="124">
        <v>219</v>
      </c>
      <c r="AG14" s="124">
        <f>27+44+38+40+49+13</f>
        <v>211</v>
      </c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235.5</v>
      </c>
      <c r="BK14">
        <f t="shared" si="0"/>
        <v>231.6</v>
      </c>
      <c r="BL14">
        <f t="shared" si="2"/>
        <v>221.8</v>
      </c>
      <c r="BM14">
        <f t="shared" si="0"/>
        <v>215.6</v>
      </c>
      <c r="BN14">
        <f t="shared" si="0"/>
        <v>213.2</v>
      </c>
      <c r="BO14">
        <f t="shared" si="0"/>
        <v>210</v>
      </c>
      <c r="BP14">
        <f t="shared" si="0"/>
        <v>220.3</v>
      </c>
      <c r="BQ14">
        <f t="shared" si="0"/>
        <v>212.8</v>
      </c>
      <c r="BR14">
        <f t="shared" si="3"/>
        <v>210.44444444444446</v>
      </c>
      <c r="BS14">
        <f t="shared" si="3"/>
        <v>217.25</v>
      </c>
      <c r="BT14">
        <f t="shared" si="0"/>
        <v>214.5</v>
      </c>
      <c r="BU14">
        <f t="shared" si="0"/>
        <v>221.42857142857142</v>
      </c>
      <c r="BV14">
        <f t="shared" si="0"/>
        <v>227.85714285714286</v>
      </c>
      <c r="BW14">
        <f t="shared" si="0"/>
        <v>226.71428571428572</v>
      </c>
      <c r="BX14">
        <f t="shared" si="0"/>
        <v>222.85714285714286</v>
      </c>
      <c r="BY14">
        <f t="shared" si="0"/>
        <v>239</v>
      </c>
      <c r="BZ14">
        <f t="shared" si="0"/>
        <v>225.57142857142858</v>
      </c>
      <c r="CA14">
        <f t="shared" si="0"/>
        <v>231</v>
      </c>
      <c r="CB14">
        <f t="shared" si="0"/>
        <v>231.375</v>
      </c>
      <c r="CC14">
        <f t="shared" si="0"/>
        <v>233.66666666666666</v>
      </c>
      <c r="CD14">
        <f t="shared" si="0"/>
        <v>254.11111111111111</v>
      </c>
      <c r="CE14">
        <f t="shared" si="0"/>
        <v>250.6</v>
      </c>
      <c r="CF14">
        <f t="shared" si="4"/>
        <v>254.5</v>
      </c>
      <c r="CG14">
        <f t="shared" si="5"/>
        <v>261.55555555555554</v>
      </c>
      <c r="CH14">
        <f t="shared" si="6"/>
        <v>267.625</v>
      </c>
      <c r="CI14">
        <f t="shared" si="7"/>
        <v>259.71428571428572</v>
      </c>
      <c r="CJ14">
        <f t="shared" si="8"/>
        <v>260.5</v>
      </c>
      <c r="CK14">
        <f t="shared" si="9"/>
        <v>266.8</v>
      </c>
      <c r="CL14">
        <f t="shared" si="10"/>
        <v>275</v>
      </c>
      <c r="CM14">
        <f t="shared" si="11"/>
        <v>282.66666666666669</v>
      </c>
      <c r="CN14">
        <f t="shared" si="12"/>
        <v>215</v>
      </c>
      <c r="CO14">
        <f t="shared" si="13"/>
        <v>211</v>
      </c>
      <c r="CP14" t="e">
        <f t="shared" si="14"/>
        <v>#DIV/0!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91</v>
      </c>
      <c r="C15" s="16">
        <v>118</v>
      </c>
      <c r="D15" s="16">
        <v>68</v>
      </c>
      <c r="E15" s="16">
        <v>80</v>
      </c>
      <c r="F15" s="16">
        <v>97</v>
      </c>
      <c r="G15" s="16">
        <v>106</v>
      </c>
      <c r="H15" s="16">
        <v>55</v>
      </c>
      <c r="I15" s="16">
        <v>114</v>
      </c>
      <c r="J15" s="16">
        <v>63</v>
      </c>
      <c r="K15" s="16">
        <v>91</v>
      </c>
      <c r="L15" s="16">
        <v>160</v>
      </c>
      <c r="M15" s="16">
        <v>113</v>
      </c>
      <c r="N15" s="16">
        <v>118</v>
      </c>
      <c r="O15" s="16">
        <v>105</v>
      </c>
      <c r="P15" s="16">
        <v>156</v>
      </c>
      <c r="Q15" s="16">
        <v>68</v>
      </c>
      <c r="R15" s="16">
        <v>74</v>
      </c>
      <c r="S15" s="16"/>
      <c r="T15" s="16"/>
      <c r="U15" s="17">
        <v>69</v>
      </c>
      <c r="V15" s="17"/>
      <c r="W15" s="17">
        <v>135</v>
      </c>
      <c r="X15" s="17"/>
      <c r="Y15" s="17">
        <v>105</v>
      </c>
      <c r="Z15" s="17">
        <v>157</v>
      </c>
      <c r="AA15" s="17">
        <v>176</v>
      </c>
      <c r="AB15" s="17">
        <v>118</v>
      </c>
      <c r="AC15" s="17">
        <v>102</v>
      </c>
      <c r="AD15" s="17">
        <v>168</v>
      </c>
      <c r="AE15" s="10">
        <v>215</v>
      </c>
      <c r="AF15" s="10">
        <v>122</v>
      </c>
      <c r="AG15" s="10">
        <f>21+33+34</f>
        <v>88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88.3</v>
      </c>
      <c r="BK15">
        <f t="shared" si="0"/>
        <v>95.2</v>
      </c>
      <c r="BL15">
        <f t="shared" si="2"/>
        <v>94.7</v>
      </c>
      <c r="BM15">
        <f t="shared" si="0"/>
        <v>99.7</v>
      </c>
      <c r="BN15">
        <f t="shared" si="0"/>
        <v>102.2</v>
      </c>
      <c r="BO15">
        <f t="shared" si="0"/>
        <v>108.1</v>
      </c>
      <c r="BP15">
        <f t="shared" si="0"/>
        <v>104.3</v>
      </c>
      <c r="BQ15">
        <f t="shared" si="0"/>
        <v>106.2</v>
      </c>
      <c r="BR15">
        <f t="shared" si="3"/>
        <v>105.33333333333333</v>
      </c>
      <c r="BS15">
        <f t="shared" si="3"/>
        <v>110.625</v>
      </c>
      <c r="BT15">
        <f t="shared" si="0"/>
        <v>107.875</v>
      </c>
      <c r="BU15">
        <f t="shared" si="0"/>
        <v>100.42857142857143</v>
      </c>
      <c r="BV15">
        <f t="shared" si="0"/>
        <v>103.57142857142857</v>
      </c>
      <c r="BW15">
        <f t="shared" si="0"/>
        <v>101.16666666666667</v>
      </c>
      <c r="BX15">
        <f t="shared" si="0"/>
        <v>101.16666666666667</v>
      </c>
      <c r="BY15">
        <f t="shared" si="0"/>
        <v>101.33333333333333</v>
      </c>
      <c r="BZ15">
        <f t="shared" si="0"/>
        <v>119.33333333333333</v>
      </c>
      <c r="CA15">
        <f t="shared" si="0"/>
        <v>126.66666666666667</v>
      </c>
      <c r="CB15">
        <f t="shared" si="0"/>
        <v>123.14285714285714</v>
      </c>
      <c r="CC15">
        <f t="shared" si="0"/>
        <v>128.75</v>
      </c>
      <c r="CD15">
        <f t="shared" si="0"/>
        <v>147</v>
      </c>
      <c r="CE15">
        <f t="shared" si="0"/>
        <v>144.22222222222223</v>
      </c>
      <c r="CF15">
        <f t="shared" si="4"/>
        <v>139</v>
      </c>
      <c r="CG15">
        <f t="shared" si="5"/>
        <v>139</v>
      </c>
      <c r="CH15">
        <f t="shared" si="6"/>
        <v>143.25</v>
      </c>
      <c r="CI15">
        <f t="shared" si="7"/>
        <v>141.28571428571428</v>
      </c>
      <c r="CJ15">
        <f t="shared" si="8"/>
        <v>135.5</v>
      </c>
      <c r="CK15">
        <f t="shared" si="9"/>
        <v>139</v>
      </c>
      <c r="CL15">
        <f t="shared" si="10"/>
        <v>148.25</v>
      </c>
      <c r="CM15">
        <f t="shared" si="11"/>
        <v>141.66666666666666</v>
      </c>
      <c r="CN15">
        <f t="shared" si="12"/>
        <v>105</v>
      </c>
      <c r="CO15">
        <f t="shared" si="13"/>
        <v>88</v>
      </c>
      <c r="CP15" t="e">
        <f t="shared" si="14"/>
        <v>#DIV/0!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55</v>
      </c>
      <c r="C16" s="14">
        <v>36</v>
      </c>
      <c r="D16" s="14">
        <v>46</v>
      </c>
      <c r="E16" s="14">
        <v>62</v>
      </c>
      <c r="F16" s="14">
        <v>35</v>
      </c>
      <c r="G16" s="14">
        <v>15</v>
      </c>
      <c r="H16" s="14">
        <v>35</v>
      </c>
      <c r="I16" s="14">
        <v>48</v>
      </c>
      <c r="J16" s="14">
        <v>29</v>
      </c>
      <c r="K16" s="14">
        <v>23</v>
      </c>
      <c r="L16" s="14">
        <v>63</v>
      </c>
      <c r="M16" s="14">
        <v>65</v>
      </c>
      <c r="N16" s="14">
        <v>67</v>
      </c>
      <c r="O16" s="14">
        <v>66</v>
      </c>
      <c r="P16" s="14">
        <v>32</v>
      </c>
      <c r="Q16" s="14">
        <v>107</v>
      </c>
      <c r="R16" s="14">
        <v>70</v>
      </c>
      <c r="S16" s="14"/>
      <c r="T16" s="14"/>
      <c r="U16" s="15">
        <v>54</v>
      </c>
      <c r="V16" s="15"/>
      <c r="W16" s="15">
        <v>11</v>
      </c>
      <c r="X16" s="15"/>
      <c r="Y16" s="15">
        <v>57</v>
      </c>
      <c r="Z16" s="15">
        <v>121</v>
      </c>
      <c r="AA16" s="15">
        <v>69</v>
      </c>
      <c r="AB16" s="15">
        <v>76</v>
      </c>
      <c r="AC16" s="15">
        <v>74</v>
      </c>
      <c r="AD16" s="15">
        <v>65</v>
      </c>
      <c r="AE16" s="124">
        <v>76</v>
      </c>
      <c r="AF16" s="124">
        <v>127</v>
      </c>
      <c r="AG16" s="124">
        <f>41+17</f>
        <v>58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38.4</v>
      </c>
      <c r="BK16">
        <f t="shared" si="0"/>
        <v>39.200000000000003</v>
      </c>
      <c r="BL16">
        <f t="shared" si="2"/>
        <v>42.1</v>
      </c>
      <c r="BM16">
        <f t="shared" si="0"/>
        <v>44.2</v>
      </c>
      <c r="BN16">
        <f t="shared" si="0"/>
        <v>44.6</v>
      </c>
      <c r="BO16">
        <f t="shared" si="0"/>
        <v>44.3</v>
      </c>
      <c r="BP16">
        <f t="shared" si="0"/>
        <v>53.5</v>
      </c>
      <c r="BQ16">
        <f t="shared" si="0"/>
        <v>57</v>
      </c>
      <c r="BR16">
        <f t="shared" si="3"/>
        <v>58</v>
      </c>
      <c r="BS16">
        <f t="shared" si="3"/>
        <v>61.625</v>
      </c>
      <c r="BT16">
        <f t="shared" si="0"/>
        <v>65.5</v>
      </c>
      <c r="BU16">
        <f t="shared" si="0"/>
        <v>65.857142857142861</v>
      </c>
      <c r="BV16">
        <f t="shared" si="0"/>
        <v>58.142857142857146</v>
      </c>
      <c r="BW16">
        <f t="shared" si="0"/>
        <v>56.666666666666664</v>
      </c>
      <c r="BX16">
        <f t="shared" si="0"/>
        <v>55.166666666666664</v>
      </c>
      <c r="BY16">
        <f t="shared" si="0"/>
        <v>70</v>
      </c>
      <c r="BZ16">
        <f t="shared" si="0"/>
        <v>63.666666666666664</v>
      </c>
      <c r="CA16">
        <f t="shared" si="0"/>
        <v>64.666666666666671</v>
      </c>
      <c r="CB16">
        <f t="shared" si="0"/>
        <v>66</v>
      </c>
      <c r="CC16">
        <f t="shared" si="0"/>
        <v>65.875</v>
      </c>
      <c r="CD16">
        <f t="shared" si="0"/>
        <v>68.625</v>
      </c>
      <c r="CE16">
        <f t="shared" si="0"/>
        <v>75.111111111111114</v>
      </c>
      <c r="CF16">
        <f t="shared" si="4"/>
        <v>80.333333333333329</v>
      </c>
      <c r="CG16">
        <f t="shared" si="5"/>
        <v>80.333333333333329</v>
      </c>
      <c r="CH16">
        <f t="shared" si="6"/>
        <v>83.25</v>
      </c>
      <c r="CI16">
        <f t="shared" si="7"/>
        <v>77.857142857142861</v>
      </c>
      <c r="CJ16">
        <f t="shared" si="8"/>
        <v>79.333333333333329</v>
      </c>
      <c r="CK16">
        <f t="shared" si="9"/>
        <v>80</v>
      </c>
      <c r="CL16">
        <f t="shared" si="10"/>
        <v>81.5</v>
      </c>
      <c r="CM16">
        <f t="shared" si="11"/>
        <v>87</v>
      </c>
      <c r="CN16">
        <f t="shared" si="12"/>
        <v>92.5</v>
      </c>
      <c r="CO16">
        <f t="shared" si="13"/>
        <v>58</v>
      </c>
      <c r="CP16" t="e">
        <f t="shared" si="14"/>
        <v>#DIV/0!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1352</v>
      </c>
      <c r="C18" s="22">
        <f t="shared" ref="C18:AZ18" si="29">SUM(C5:C16)</f>
        <v>1377</v>
      </c>
      <c r="D18" s="22">
        <f t="shared" si="29"/>
        <v>1622</v>
      </c>
      <c r="E18" s="22">
        <f t="shared" si="29"/>
        <v>1646</v>
      </c>
      <c r="F18" s="22">
        <f t="shared" si="29"/>
        <v>1682</v>
      </c>
      <c r="G18" s="22">
        <f t="shared" si="29"/>
        <v>1665</v>
      </c>
      <c r="H18" s="22">
        <f t="shared" si="29"/>
        <v>1876</v>
      </c>
      <c r="I18" s="22">
        <f t="shared" si="29"/>
        <v>1903</v>
      </c>
      <c r="J18" s="22">
        <f t="shared" si="29"/>
        <v>1504</v>
      </c>
      <c r="K18" s="22">
        <f t="shared" si="29"/>
        <v>1586</v>
      </c>
      <c r="L18" s="22">
        <f t="shared" si="29"/>
        <v>1705</v>
      </c>
      <c r="M18" s="22">
        <f t="shared" si="29"/>
        <v>1620</v>
      </c>
      <c r="N18" s="22">
        <f t="shared" si="29"/>
        <v>1353</v>
      </c>
      <c r="O18" s="22">
        <f t="shared" si="29"/>
        <v>1575</v>
      </c>
      <c r="P18" s="22">
        <f t="shared" si="29"/>
        <v>1550</v>
      </c>
      <c r="Q18" s="22">
        <f t="shared" si="29"/>
        <v>1999</v>
      </c>
      <c r="R18" s="22">
        <f t="shared" si="29"/>
        <v>1638</v>
      </c>
      <c r="S18" s="22">
        <f t="shared" si="29"/>
        <v>0</v>
      </c>
      <c r="T18" s="22">
        <f t="shared" si="29"/>
        <v>0</v>
      </c>
      <c r="U18" s="22">
        <f t="shared" si="29"/>
        <v>1805</v>
      </c>
      <c r="V18" s="22">
        <f t="shared" si="29"/>
        <v>0</v>
      </c>
      <c r="W18" s="22">
        <f t="shared" si="29"/>
        <v>2219</v>
      </c>
      <c r="X18" s="22">
        <f t="shared" si="29"/>
        <v>1944</v>
      </c>
      <c r="Y18" s="22">
        <f t="shared" si="29"/>
        <v>2464</v>
      </c>
      <c r="Z18" s="22">
        <f t="shared" si="29"/>
        <v>2866</v>
      </c>
      <c r="AA18" s="22">
        <f t="shared" si="29"/>
        <v>3168</v>
      </c>
      <c r="AB18" s="22">
        <f t="shared" si="29"/>
        <v>2814</v>
      </c>
      <c r="AC18" s="22">
        <f t="shared" si="29"/>
        <v>2334</v>
      </c>
      <c r="AD18" s="22">
        <f t="shared" si="29"/>
        <v>2713</v>
      </c>
      <c r="AE18" s="22">
        <f t="shared" si="29"/>
        <v>3396</v>
      </c>
      <c r="AF18" s="22">
        <f t="shared" si="29"/>
        <v>1813</v>
      </c>
      <c r="AG18" s="22">
        <f t="shared" si="29"/>
        <v>1551</v>
      </c>
      <c r="AH18" s="22">
        <f t="shared" si="29"/>
        <v>667</v>
      </c>
      <c r="AI18" s="22">
        <f t="shared" si="29"/>
        <v>0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1493.5</v>
      </c>
      <c r="BZ18" s="25">
        <f>AVERAGE(R18:AA18)</f>
        <v>1610.4</v>
      </c>
      <c r="CA18" s="25">
        <f>AVERAGE(S18:AB18)</f>
        <v>1728</v>
      </c>
      <c r="CB18" s="25">
        <f>AVERAGE(T18:AC18)</f>
        <v>1961.4</v>
      </c>
      <c r="CC18" s="25">
        <f>AVERAGE(U18:AD18)</f>
        <v>2232.6999999999998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 codeName="Sheet24">
    <tabColor theme="5"/>
  </sheetPr>
  <dimension ref="A1:DD192"/>
  <sheetViews>
    <sheetView tabSelected="1" defaultGridColor="0" colorId="22" zoomScale="90" zoomScaleNormal="90" workbookViewId="0">
      <pane xSplit="1" topLeftCell="Q1" activePane="topRight" state="frozen"/>
      <selection activeCell="A2" sqref="A2"/>
      <selection pane="topRight" activeCell="AI15" sqref="AI15"/>
    </sheetView>
  </sheetViews>
  <sheetFormatPr baseColWidth="10" defaultColWidth="9.42578125" defaultRowHeight="20" customHeight="1" x14ac:dyDescent="0.2"/>
  <cols>
    <col min="1" max="1" width="45.85546875" style="5" customWidth="1"/>
    <col min="2" max="14" width="5.7109375" style="5" customWidth="1"/>
    <col min="15" max="15" width="6.140625" style="5" customWidth="1"/>
    <col min="16" max="29" width="5.7109375" style="5" customWidth="1"/>
    <col min="30" max="30" width="6.85546875" style="5" customWidth="1"/>
    <col min="31" max="31" width="6.85546875" customWidth="1"/>
    <col min="32" max="52" width="9.42578125" customWidth="1"/>
    <col min="53" max="74" width="9.42578125" style="5" customWidth="1"/>
    <col min="75" max="75" width="4.7109375" style="5" customWidth="1"/>
    <col min="76" max="76" width="7.140625" style="5" customWidth="1"/>
    <col min="77" max="77" width="16.5703125" style="5" customWidth="1"/>
    <col min="78" max="78" width="9.42578125" style="5" customWidth="1"/>
    <col min="79" max="80" width="16.7109375" style="5" customWidth="1"/>
    <col min="81" max="81" width="19.42578125" style="5" customWidth="1"/>
    <col min="82" max="82" width="16.85546875" style="5" customWidth="1"/>
    <col min="83" max="84" width="9.42578125" style="5" hidden="1" customWidth="1"/>
    <col min="85" max="85" width="26.7109375" style="5" hidden="1" customWidth="1"/>
    <col min="86" max="86" width="33.42578125" style="5" hidden="1" customWidth="1"/>
    <col min="87" max="87" width="28.140625" style="5" hidden="1" customWidth="1"/>
    <col min="88" max="88" width="32.5703125" style="5" hidden="1" customWidth="1"/>
    <col min="89" max="89" width="43.7109375" style="5" hidden="1" customWidth="1"/>
    <col min="90" max="90" width="40.140625" style="5" hidden="1" customWidth="1"/>
    <col min="91" max="91" width="34.85546875" style="5" hidden="1" customWidth="1"/>
    <col min="92" max="92" width="30.85546875" style="5" hidden="1" customWidth="1"/>
    <col min="93" max="93" width="29.5703125" style="5" hidden="1" customWidth="1"/>
    <col min="94" max="94" width="29.28515625" style="5" hidden="1" customWidth="1"/>
    <col min="95" max="95" width="28.42578125" style="5" hidden="1" customWidth="1"/>
    <col min="96" max="96" width="25" style="5" hidden="1" customWidth="1"/>
    <col min="97" max="97" width="19.28515625" style="5" hidden="1" customWidth="1"/>
    <col min="98" max="98" width="15.42578125" style="5" hidden="1" customWidth="1"/>
    <col min="99" max="99" width="15.7109375" style="5" hidden="1" customWidth="1"/>
    <col min="100" max="100" width="21.28515625" style="5" hidden="1" customWidth="1"/>
    <col min="101" max="101" width="21.42578125" style="5" hidden="1" customWidth="1"/>
    <col min="102" max="102" width="22.42578125" style="5" hidden="1" customWidth="1"/>
    <col min="103" max="103" width="19.5703125" style="5" hidden="1" customWidth="1"/>
    <col min="104" max="104" width="19.7109375" style="5" hidden="1" customWidth="1"/>
    <col min="105" max="105" width="20" style="5" hidden="1" customWidth="1"/>
    <col min="106" max="106" width="26.42578125" style="5" hidden="1" customWidth="1"/>
    <col min="107" max="107" width="19.42578125" style="5" hidden="1" customWidth="1"/>
    <col min="108" max="108" width="20.85546875" style="5" hidden="1" customWidth="1"/>
    <col min="109" max="109" width="18.7109375" style="5" customWidth="1"/>
    <col min="110" max="110" width="23.7109375" style="5" customWidth="1"/>
    <col min="111" max="111" width="18.7109375" style="5" customWidth="1"/>
    <col min="112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BA1" s="35"/>
      <c r="BE1" s="35"/>
    </row>
    <row r="2" spans="1:108" s="34" customFormat="1" ht="25" customHeight="1" x14ac:dyDescent="0.25">
      <c r="A2" s="36" t="s">
        <v>47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145</v>
      </c>
      <c r="C5" s="16">
        <v>180</v>
      </c>
      <c r="D5" s="16">
        <v>207</v>
      </c>
      <c r="E5" s="16">
        <v>148</v>
      </c>
      <c r="F5" s="16">
        <v>196</v>
      </c>
      <c r="G5" s="16">
        <v>108</v>
      </c>
      <c r="H5" s="16">
        <v>172</v>
      </c>
      <c r="I5" s="16">
        <v>316</v>
      </c>
      <c r="J5" s="16">
        <v>143</v>
      </c>
      <c r="K5" s="16">
        <v>304</v>
      </c>
      <c r="L5" s="16">
        <v>210</v>
      </c>
      <c r="M5" s="16">
        <v>296</v>
      </c>
      <c r="N5" s="16">
        <v>287</v>
      </c>
      <c r="O5" s="16">
        <v>127</v>
      </c>
      <c r="P5" s="16">
        <v>179</v>
      </c>
      <c r="Q5" s="16">
        <v>269</v>
      </c>
      <c r="R5" s="16">
        <v>226</v>
      </c>
      <c r="S5" s="16"/>
      <c r="T5" s="16"/>
      <c r="U5" s="17">
        <v>366</v>
      </c>
      <c r="V5" s="17"/>
      <c r="W5" s="17">
        <v>471</v>
      </c>
      <c r="X5" s="17">
        <v>398</v>
      </c>
      <c r="Y5" s="17">
        <v>255</v>
      </c>
      <c r="Z5" s="17">
        <v>321</v>
      </c>
      <c r="AA5" s="76">
        <v>340</v>
      </c>
      <c r="AB5" s="16">
        <v>409</v>
      </c>
      <c r="AC5" s="16">
        <v>337</v>
      </c>
      <c r="AD5" s="16">
        <v>234</v>
      </c>
      <c r="AE5" s="10">
        <v>375</v>
      </c>
      <c r="AF5" s="10">
        <v>831</v>
      </c>
      <c r="AG5" s="10">
        <v>338</v>
      </c>
      <c r="AH5" s="10">
        <f>18+31+46+35+31+45+45+31+75+45+43+13+20</f>
        <v>478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191.9</v>
      </c>
      <c r="BK5">
        <f t="shared" ref="BK5:DD16" si="0">AVERAGE(C5:L5)</f>
        <v>198.4</v>
      </c>
      <c r="BL5">
        <f>AVERAGE(D5:M5)</f>
        <v>210</v>
      </c>
      <c r="BM5">
        <f t="shared" si="0"/>
        <v>218</v>
      </c>
      <c r="BN5">
        <f t="shared" si="0"/>
        <v>215.9</v>
      </c>
      <c r="BO5">
        <f t="shared" si="0"/>
        <v>214.2</v>
      </c>
      <c r="BP5">
        <f t="shared" si="0"/>
        <v>230.3</v>
      </c>
      <c r="BQ5">
        <f t="shared" si="0"/>
        <v>235.7</v>
      </c>
      <c r="BR5">
        <f t="shared" si="0"/>
        <v>226.77777777777777</v>
      </c>
      <c r="BS5">
        <f t="shared" si="0"/>
        <v>237.25</v>
      </c>
      <c r="BT5">
        <f t="shared" si="0"/>
        <v>245</v>
      </c>
      <c r="BU5">
        <f t="shared" si="0"/>
        <v>250</v>
      </c>
      <c r="BV5">
        <f t="shared" si="0"/>
        <v>275</v>
      </c>
      <c r="BW5">
        <f t="shared" si="0"/>
        <v>290.85714285714283</v>
      </c>
      <c r="BX5">
        <f t="shared" si="0"/>
        <v>309.14285714285717</v>
      </c>
      <c r="BY5">
        <f t="shared" si="0"/>
        <v>329.42857142857144</v>
      </c>
      <c r="BZ5">
        <f t="shared" si="0"/>
        <v>339.57142857142856</v>
      </c>
      <c r="CA5">
        <f t="shared" si="0"/>
        <v>365.71428571428572</v>
      </c>
      <c r="CB5">
        <f t="shared" si="0"/>
        <v>362.125</v>
      </c>
      <c r="CC5">
        <f t="shared" si="0"/>
        <v>347.88888888888891</v>
      </c>
      <c r="CD5">
        <f t="shared" si="0"/>
        <v>348.88888888888891</v>
      </c>
      <c r="CE5">
        <f t="shared" si="0"/>
        <v>397.1</v>
      </c>
      <c r="CF5">
        <f t="shared" si="0"/>
        <v>383.8</v>
      </c>
      <c r="CG5">
        <f t="shared" si="0"/>
        <v>391.8</v>
      </c>
      <c r="CH5">
        <f t="shared" si="0"/>
        <v>407</v>
      </c>
      <c r="CI5">
        <f t="shared" si="0"/>
        <v>417.75</v>
      </c>
      <c r="CJ5">
        <f t="shared" si="0"/>
        <v>428.85714285714283</v>
      </c>
      <c r="CK5">
        <f t="shared" si="0"/>
        <v>432.16666666666669</v>
      </c>
      <c r="CL5">
        <f t="shared" si="0"/>
        <v>451.2</v>
      </c>
      <c r="CM5">
        <f t="shared" si="0"/>
        <v>505.5</v>
      </c>
      <c r="CN5">
        <f t="shared" si="0"/>
        <v>549</v>
      </c>
      <c r="CO5">
        <f t="shared" si="0"/>
        <v>408</v>
      </c>
      <c r="CP5">
        <f t="shared" si="0"/>
        <v>478</v>
      </c>
      <c r="CQ5" t="e">
        <f t="shared" si="0"/>
        <v>#DIV/0!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200</v>
      </c>
      <c r="C6" s="14">
        <v>234</v>
      </c>
      <c r="D6" s="14">
        <v>180</v>
      </c>
      <c r="E6" s="14">
        <v>114</v>
      </c>
      <c r="F6" s="14">
        <v>188</v>
      </c>
      <c r="G6" s="14">
        <v>192</v>
      </c>
      <c r="H6" s="14">
        <v>194</v>
      </c>
      <c r="I6" s="14">
        <v>336</v>
      </c>
      <c r="J6" s="14">
        <v>188</v>
      </c>
      <c r="K6" s="14">
        <v>260</v>
      </c>
      <c r="L6" s="14">
        <v>211</v>
      </c>
      <c r="M6" s="14">
        <v>236</v>
      </c>
      <c r="N6" s="14">
        <v>194</v>
      </c>
      <c r="O6" s="14">
        <v>323</v>
      </c>
      <c r="P6" s="14">
        <v>288</v>
      </c>
      <c r="Q6" s="14">
        <v>200</v>
      </c>
      <c r="R6" s="14">
        <v>179</v>
      </c>
      <c r="S6" s="14"/>
      <c r="T6" s="14"/>
      <c r="U6" s="15">
        <v>213</v>
      </c>
      <c r="V6" s="15"/>
      <c r="W6" s="15">
        <v>264</v>
      </c>
      <c r="X6" s="15">
        <v>191</v>
      </c>
      <c r="Y6" s="15">
        <v>211</v>
      </c>
      <c r="Z6" s="15">
        <v>227</v>
      </c>
      <c r="AA6" s="76">
        <v>214</v>
      </c>
      <c r="AB6" s="14">
        <v>372</v>
      </c>
      <c r="AC6" s="14">
        <v>272</v>
      </c>
      <c r="AD6" s="14">
        <v>253</v>
      </c>
      <c r="AE6" s="124">
        <v>421</v>
      </c>
      <c r="AF6" s="124">
        <v>443</v>
      </c>
      <c r="AG6" s="124">
        <v>459</v>
      </c>
      <c r="AH6" s="124">
        <f>23+30+41+43+43+25+15</f>
        <v>220</v>
      </c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208.6</v>
      </c>
      <c r="BK6">
        <f t="shared" si="0"/>
        <v>209.7</v>
      </c>
      <c r="BL6">
        <f t="shared" ref="BL6:BL16" si="2">AVERAGE(D6:M6)</f>
        <v>209.9</v>
      </c>
      <c r="BM6">
        <f t="shared" si="0"/>
        <v>211.3</v>
      </c>
      <c r="BN6">
        <f t="shared" si="0"/>
        <v>232.2</v>
      </c>
      <c r="BO6">
        <f t="shared" si="0"/>
        <v>242.2</v>
      </c>
      <c r="BP6">
        <f t="shared" si="0"/>
        <v>243</v>
      </c>
      <c r="BQ6">
        <f t="shared" si="0"/>
        <v>241.5</v>
      </c>
      <c r="BR6">
        <f t="shared" ref="BR6:BS16" si="3">AVERAGE(J6:S6)</f>
        <v>231</v>
      </c>
      <c r="BS6">
        <f t="shared" si="3"/>
        <v>236.375</v>
      </c>
      <c r="BT6">
        <f t="shared" si="0"/>
        <v>230.5</v>
      </c>
      <c r="BU6">
        <f t="shared" si="0"/>
        <v>233.28571428571428</v>
      </c>
      <c r="BV6">
        <f t="shared" si="0"/>
        <v>237.28571428571428</v>
      </c>
      <c r="BW6">
        <f t="shared" si="0"/>
        <v>236.85714285714286</v>
      </c>
      <c r="BX6">
        <f t="shared" si="0"/>
        <v>220.85714285714286</v>
      </c>
      <c r="BY6">
        <f t="shared" si="0"/>
        <v>212.14285714285714</v>
      </c>
      <c r="BZ6">
        <f t="shared" si="0"/>
        <v>214.14285714285714</v>
      </c>
      <c r="CA6">
        <f t="shared" si="0"/>
        <v>241.71428571428572</v>
      </c>
      <c r="CB6">
        <f t="shared" si="0"/>
        <v>245.5</v>
      </c>
      <c r="CC6">
        <f t="shared" si="0"/>
        <v>246.33333333333334</v>
      </c>
      <c r="CD6">
        <f t="shared" si="0"/>
        <v>269.44444444444446</v>
      </c>
      <c r="CE6">
        <f t="shared" si="0"/>
        <v>286.8</v>
      </c>
      <c r="CF6">
        <f t="shared" ref="CF6:CF16" si="4">AVERAGE(X6:AG6)</f>
        <v>306.3</v>
      </c>
      <c r="CG6">
        <f t="shared" ref="CG6:CG16" si="5">AVERAGE(Y6:AH6)</f>
        <v>309.2</v>
      </c>
      <c r="CH6">
        <f t="shared" ref="CH6:CH16" si="6">AVERAGE(Z6:AI6)</f>
        <v>320.11111111111109</v>
      </c>
      <c r="CI6">
        <f t="shared" ref="CI6:CI16" si="7">AVERAGE(AA6:AJ6)</f>
        <v>331.75</v>
      </c>
      <c r="CJ6">
        <f t="shared" ref="CJ6:CJ16" si="8">AVERAGE(AB6:AK6)</f>
        <v>348.57142857142856</v>
      </c>
      <c r="CK6">
        <f t="shared" ref="CK6:CK16" si="9">AVERAGE(AC6:AL6)</f>
        <v>344.66666666666669</v>
      </c>
      <c r="CL6">
        <f t="shared" ref="CL6:CL16" si="10">AVERAGE(AD6:AM6)</f>
        <v>359.2</v>
      </c>
      <c r="CM6">
        <f t="shared" ref="CM6:CM16" si="11">AVERAGE(AE6:AN6)</f>
        <v>385.75</v>
      </c>
      <c r="CN6">
        <f t="shared" ref="CN6:CN16" si="12">AVERAGE(AF6:AO6)</f>
        <v>374</v>
      </c>
      <c r="CO6">
        <f t="shared" ref="CO6:CO16" si="13">AVERAGE(AG6:AP6)</f>
        <v>339.5</v>
      </c>
      <c r="CP6">
        <f t="shared" ref="CP6:CP16" si="14">AVERAGE(AH6:AQ6)</f>
        <v>220</v>
      </c>
      <c r="CQ6" t="e">
        <f t="shared" ref="CQ6:CQ16" si="15">AVERAGE(AI6:AR6)</f>
        <v>#DIV/0!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164</v>
      </c>
      <c r="C7" s="16">
        <v>220</v>
      </c>
      <c r="D7" s="16">
        <v>71</v>
      </c>
      <c r="E7" s="16">
        <v>176</v>
      </c>
      <c r="F7" s="16">
        <v>285</v>
      </c>
      <c r="G7" s="16">
        <v>198</v>
      </c>
      <c r="H7" s="16">
        <v>141</v>
      </c>
      <c r="I7" s="16">
        <v>191</v>
      </c>
      <c r="J7" s="16">
        <v>192</v>
      </c>
      <c r="K7" s="16">
        <v>326</v>
      </c>
      <c r="L7" s="16">
        <v>194</v>
      </c>
      <c r="M7" s="16">
        <v>239</v>
      </c>
      <c r="N7" s="16">
        <v>187</v>
      </c>
      <c r="O7" s="16">
        <v>153</v>
      </c>
      <c r="P7" s="16">
        <v>223</v>
      </c>
      <c r="Q7" s="16">
        <v>182</v>
      </c>
      <c r="R7" s="16">
        <v>180</v>
      </c>
      <c r="S7" s="16"/>
      <c r="T7" s="16"/>
      <c r="U7" s="17">
        <v>116</v>
      </c>
      <c r="V7" s="17"/>
      <c r="W7" s="17">
        <v>343</v>
      </c>
      <c r="X7" s="17">
        <v>299</v>
      </c>
      <c r="Y7" s="17">
        <v>274</v>
      </c>
      <c r="Z7" s="17">
        <v>265</v>
      </c>
      <c r="AA7" s="76">
        <v>246</v>
      </c>
      <c r="AB7" s="16">
        <v>266</v>
      </c>
      <c r="AC7" s="16">
        <v>323</v>
      </c>
      <c r="AD7" s="16">
        <v>335</v>
      </c>
      <c r="AE7" s="10">
        <v>528</v>
      </c>
      <c r="AF7" s="10">
        <v>571</v>
      </c>
      <c r="AG7" s="10">
        <f>34+34+45+48+33+47+33+44+10</f>
        <v>328</v>
      </c>
      <c r="AH7" s="10">
        <f>22+40+36+35+25+45+35+39</f>
        <v>277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196.4</v>
      </c>
      <c r="BK7">
        <f t="shared" si="0"/>
        <v>199.4</v>
      </c>
      <c r="BL7">
        <f t="shared" si="2"/>
        <v>201.3</v>
      </c>
      <c r="BM7">
        <f t="shared" si="0"/>
        <v>212.9</v>
      </c>
      <c r="BN7">
        <f t="shared" si="0"/>
        <v>210.6</v>
      </c>
      <c r="BO7">
        <f t="shared" si="0"/>
        <v>204.4</v>
      </c>
      <c r="BP7">
        <f t="shared" si="0"/>
        <v>202.8</v>
      </c>
      <c r="BQ7">
        <f t="shared" si="0"/>
        <v>206.7</v>
      </c>
      <c r="BR7">
        <f t="shared" si="3"/>
        <v>208.44444444444446</v>
      </c>
      <c r="BS7">
        <f t="shared" si="3"/>
        <v>210.5</v>
      </c>
      <c r="BT7">
        <f t="shared" si="0"/>
        <v>184.25</v>
      </c>
      <c r="BU7">
        <f t="shared" si="0"/>
        <v>182.85714285714286</v>
      </c>
      <c r="BV7">
        <f t="shared" si="0"/>
        <v>197.71428571428572</v>
      </c>
      <c r="BW7">
        <f t="shared" si="0"/>
        <v>213.71428571428572</v>
      </c>
      <c r="BX7">
        <f>AVERAGE(P7:Y7)</f>
        <v>231</v>
      </c>
      <c r="BY7">
        <f t="shared" si="0"/>
        <v>237</v>
      </c>
      <c r="BZ7">
        <f t="shared" si="0"/>
        <v>246.14285714285714</v>
      </c>
      <c r="CA7">
        <f t="shared" si="0"/>
        <v>258.42857142857144</v>
      </c>
      <c r="CB7">
        <f t="shared" si="0"/>
        <v>266.5</v>
      </c>
      <c r="CC7">
        <f t="shared" si="0"/>
        <v>274.11111111111109</v>
      </c>
      <c r="CD7">
        <f t="shared" si="0"/>
        <v>319.88888888888891</v>
      </c>
      <c r="CE7">
        <f>AVERAGE(W7:AF7)</f>
        <v>345</v>
      </c>
      <c r="CF7">
        <f t="shared" si="4"/>
        <v>343.5</v>
      </c>
      <c r="CG7">
        <f t="shared" si="5"/>
        <v>341.3</v>
      </c>
      <c r="CH7">
        <f t="shared" si="6"/>
        <v>348.77777777777777</v>
      </c>
      <c r="CI7">
        <f t="shared" si="7"/>
        <v>359.25</v>
      </c>
      <c r="CJ7">
        <f t="shared" si="8"/>
        <v>375.42857142857144</v>
      </c>
      <c r="CK7">
        <f t="shared" si="9"/>
        <v>393.66666666666669</v>
      </c>
      <c r="CL7">
        <f t="shared" si="10"/>
        <v>407.8</v>
      </c>
      <c r="CM7">
        <f t="shared" si="11"/>
        <v>426</v>
      </c>
      <c r="CN7">
        <f t="shared" si="12"/>
        <v>392</v>
      </c>
      <c r="CO7">
        <f t="shared" si="13"/>
        <v>302.5</v>
      </c>
      <c r="CP7">
        <f t="shared" si="14"/>
        <v>277</v>
      </c>
      <c r="CQ7" t="e">
        <f t="shared" si="15"/>
        <v>#DIV/0!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443</v>
      </c>
      <c r="C8" s="14">
        <v>260</v>
      </c>
      <c r="D8" s="14">
        <v>211</v>
      </c>
      <c r="E8" s="14">
        <v>310</v>
      </c>
      <c r="F8" s="14">
        <v>427</v>
      </c>
      <c r="G8" s="14">
        <v>302</v>
      </c>
      <c r="H8" s="14">
        <v>177</v>
      </c>
      <c r="I8" s="14">
        <v>360</v>
      </c>
      <c r="J8" s="14">
        <v>320</v>
      </c>
      <c r="K8" s="14">
        <v>230</v>
      </c>
      <c r="L8" s="14">
        <v>206</v>
      </c>
      <c r="M8" s="14">
        <v>212</v>
      </c>
      <c r="N8" s="14">
        <v>269</v>
      </c>
      <c r="O8" s="14">
        <v>287</v>
      </c>
      <c r="P8" s="14">
        <v>200</v>
      </c>
      <c r="Q8" s="14">
        <v>410</v>
      </c>
      <c r="R8" s="14">
        <v>168</v>
      </c>
      <c r="S8" s="14"/>
      <c r="T8" s="14"/>
      <c r="U8" s="15">
        <v>225</v>
      </c>
      <c r="V8" s="15"/>
      <c r="W8" s="15">
        <v>488</v>
      </c>
      <c r="X8" s="15">
        <v>291</v>
      </c>
      <c r="Y8" s="15">
        <v>290</v>
      </c>
      <c r="Z8" s="15">
        <v>281</v>
      </c>
      <c r="AA8" s="76">
        <v>728</v>
      </c>
      <c r="AB8" s="14">
        <v>466</v>
      </c>
      <c r="AC8" s="14">
        <v>245</v>
      </c>
      <c r="AD8" s="14">
        <v>278</v>
      </c>
      <c r="AE8" s="124">
        <v>240</v>
      </c>
      <c r="AF8" s="124">
        <v>430</v>
      </c>
      <c r="AG8" s="124">
        <v>331</v>
      </c>
      <c r="AH8" s="124">
        <f>46+29+50+42+31+44+53+12</f>
        <v>307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304</v>
      </c>
      <c r="BK8">
        <f t="shared" si="0"/>
        <v>280.3</v>
      </c>
      <c r="BL8">
        <f t="shared" si="2"/>
        <v>275.5</v>
      </c>
      <c r="BM8">
        <f t="shared" si="0"/>
        <v>281.3</v>
      </c>
      <c r="BN8">
        <f t="shared" si="0"/>
        <v>279</v>
      </c>
      <c r="BO8">
        <f t="shared" si="0"/>
        <v>256.3</v>
      </c>
      <c r="BP8">
        <f t="shared" si="0"/>
        <v>267.10000000000002</v>
      </c>
      <c r="BQ8">
        <f t="shared" si="0"/>
        <v>266.2</v>
      </c>
      <c r="BR8">
        <f t="shared" si="3"/>
        <v>255.77777777777777</v>
      </c>
      <c r="BS8">
        <f t="shared" si="3"/>
        <v>247.75</v>
      </c>
      <c r="BT8">
        <f>AVERAGE(L8:U8)</f>
        <v>247.125</v>
      </c>
      <c r="BU8">
        <f t="shared" si="0"/>
        <v>253</v>
      </c>
      <c r="BV8">
        <f t="shared" si="0"/>
        <v>292.42857142857144</v>
      </c>
      <c r="BW8">
        <f t="shared" si="0"/>
        <v>295.57142857142856</v>
      </c>
      <c r="BX8">
        <f t="shared" si="0"/>
        <v>296</v>
      </c>
      <c r="BY8">
        <f t="shared" si="0"/>
        <v>307.57142857142856</v>
      </c>
      <c r="BZ8">
        <f t="shared" si="0"/>
        <v>353</v>
      </c>
      <c r="CA8">
        <f t="shared" si="0"/>
        <v>395.57142857142856</v>
      </c>
      <c r="CB8">
        <f t="shared" si="0"/>
        <v>376.75</v>
      </c>
      <c r="CC8">
        <f t="shared" si="0"/>
        <v>365.77777777777777</v>
      </c>
      <c r="CD8">
        <f t="shared" si="0"/>
        <v>367.44444444444446</v>
      </c>
      <c r="CE8">
        <f t="shared" si="0"/>
        <v>373.7</v>
      </c>
      <c r="CF8">
        <f t="shared" si="4"/>
        <v>358</v>
      </c>
      <c r="CG8">
        <f t="shared" si="5"/>
        <v>359.6</v>
      </c>
      <c r="CH8">
        <f t="shared" si="6"/>
        <v>367.33333333333331</v>
      </c>
      <c r="CI8">
        <f t="shared" si="7"/>
        <v>378.125</v>
      </c>
      <c r="CJ8">
        <f t="shared" si="8"/>
        <v>328.14285714285717</v>
      </c>
      <c r="CK8">
        <f t="shared" si="9"/>
        <v>305.16666666666669</v>
      </c>
      <c r="CL8">
        <f t="shared" si="10"/>
        <v>317.2</v>
      </c>
      <c r="CM8">
        <f t="shared" si="11"/>
        <v>327</v>
      </c>
      <c r="CN8">
        <f t="shared" si="12"/>
        <v>356</v>
      </c>
      <c r="CO8">
        <f t="shared" si="13"/>
        <v>319</v>
      </c>
      <c r="CP8">
        <f t="shared" si="14"/>
        <v>307</v>
      </c>
      <c r="CQ8" t="e">
        <f t="shared" si="15"/>
        <v>#DIV/0!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714</v>
      </c>
      <c r="C9" s="16">
        <v>661</v>
      </c>
      <c r="D9" s="16">
        <v>793</v>
      </c>
      <c r="E9" s="16">
        <v>425</v>
      </c>
      <c r="F9" s="16">
        <v>537</v>
      </c>
      <c r="G9" s="16">
        <v>544</v>
      </c>
      <c r="H9" s="16">
        <v>595</v>
      </c>
      <c r="I9" s="16">
        <v>687</v>
      </c>
      <c r="J9" s="16">
        <v>965</v>
      </c>
      <c r="K9" s="16">
        <v>772</v>
      </c>
      <c r="L9" s="16">
        <v>507</v>
      </c>
      <c r="M9" s="16">
        <v>463</v>
      </c>
      <c r="N9" s="16">
        <v>470</v>
      </c>
      <c r="O9" s="16">
        <v>600</v>
      </c>
      <c r="P9" s="16">
        <v>535</v>
      </c>
      <c r="Q9" s="16">
        <v>348</v>
      </c>
      <c r="R9" s="16">
        <v>622</v>
      </c>
      <c r="S9" s="16"/>
      <c r="T9" s="16"/>
      <c r="U9" s="17">
        <v>496</v>
      </c>
      <c r="V9" s="17"/>
      <c r="W9" s="17">
        <v>481</v>
      </c>
      <c r="X9" s="17">
        <v>506</v>
      </c>
      <c r="Y9" s="17">
        <v>553</v>
      </c>
      <c r="Z9" s="17">
        <v>686</v>
      </c>
      <c r="AA9" s="17">
        <v>632</v>
      </c>
      <c r="AB9" s="17">
        <v>572</v>
      </c>
      <c r="AC9" s="17">
        <v>568</v>
      </c>
      <c r="AD9" s="17">
        <v>593</v>
      </c>
      <c r="AE9" s="10">
        <v>778</v>
      </c>
      <c r="AF9" s="10">
        <v>589</v>
      </c>
      <c r="AG9" s="10">
        <v>680</v>
      </c>
      <c r="AH9" s="10">
        <f>19+40+50+34+27+46+36+39+44+38+33+31+35+43+36+37+33+43+27</f>
        <v>691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669.3</v>
      </c>
      <c r="BK9">
        <f t="shared" si="0"/>
        <v>648.6</v>
      </c>
      <c r="BL9">
        <f t="shared" si="2"/>
        <v>628.79999999999995</v>
      </c>
      <c r="BM9">
        <f t="shared" si="0"/>
        <v>596.5</v>
      </c>
      <c r="BN9">
        <f t="shared" si="0"/>
        <v>614</v>
      </c>
      <c r="BO9">
        <f t="shared" si="0"/>
        <v>613.79999999999995</v>
      </c>
      <c r="BP9">
        <f t="shared" si="0"/>
        <v>594.20000000000005</v>
      </c>
      <c r="BQ9">
        <f t="shared" si="0"/>
        <v>596.9</v>
      </c>
      <c r="BR9">
        <f t="shared" si="3"/>
        <v>586.88888888888891</v>
      </c>
      <c r="BS9">
        <f t="shared" si="3"/>
        <v>539.625</v>
      </c>
      <c r="BT9">
        <f t="shared" si="0"/>
        <v>505.125</v>
      </c>
      <c r="BU9">
        <f t="shared" si="0"/>
        <v>504.85714285714283</v>
      </c>
      <c r="BV9">
        <f t="shared" si="0"/>
        <v>507.42857142857144</v>
      </c>
      <c r="BW9">
        <f t="shared" si="0"/>
        <v>512.57142857142856</v>
      </c>
      <c r="BX9">
        <f t="shared" si="0"/>
        <v>505.85714285714283</v>
      </c>
      <c r="BY9">
        <f t="shared" si="0"/>
        <v>527.42857142857144</v>
      </c>
      <c r="BZ9">
        <f t="shared" si="0"/>
        <v>568</v>
      </c>
      <c r="CA9">
        <f t="shared" si="0"/>
        <v>560.85714285714289</v>
      </c>
      <c r="CB9">
        <f t="shared" si="0"/>
        <v>561.75</v>
      </c>
      <c r="CC9">
        <f t="shared" si="0"/>
        <v>565.22222222222217</v>
      </c>
      <c r="CD9">
        <f t="shared" si="0"/>
        <v>596.55555555555554</v>
      </c>
      <c r="CE9">
        <f t="shared" si="0"/>
        <v>595.79999999999995</v>
      </c>
      <c r="CF9">
        <f t="shared" si="4"/>
        <v>615.70000000000005</v>
      </c>
      <c r="CG9">
        <f t="shared" si="5"/>
        <v>634.20000000000005</v>
      </c>
      <c r="CH9">
        <f t="shared" si="6"/>
        <v>643.22222222222217</v>
      </c>
      <c r="CI9">
        <f t="shared" si="7"/>
        <v>637.875</v>
      </c>
      <c r="CJ9">
        <f t="shared" si="8"/>
        <v>638.71428571428567</v>
      </c>
      <c r="CK9">
        <f t="shared" si="9"/>
        <v>649.83333333333337</v>
      </c>
      <c r="CL9">
        <f t="shared" si="10"/>
        <v>666.2</v>
      </c>
      <c r="CM9">
        <f t="shared" si="11"/>
        <v>684.5</v>
      </c>
      <c r="CN9">
        <f t="shared" si="12"/>
        <v>653.33333333333337</v>
      </c>
      <c r="CO9">
        <f t="shared" si="13"/>
        <v>685.5</v>
      </c>
      <c r="CP9">
        <f t="shared" si="14"/>
        <v>691</v>
      </c>
      <c r="CQ9" t="e">
        <f t="shared" si="15"/>
        <v>#DIV/0!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556</v>
      </c>
      <c r="C10" s="14">
        <v>518</v>
      </c>
      <c r="D10" s="14">
        <v>680</v>
      </c>
      <c r="E10" s="14">
        <v>744</v>
      </c>
      <c r="F10" s="14">
        <v>620</v>
      </c>
      <c r="G10" s="14">
        <v>524</v>
      </c>
      <c r="H10" s="14">
        <v>605</v>
      </c>
      <c r="I10" s="14">
        <v>384</v>
      </c>
      <c r="J10" s="14">
        <v>530</v>
      </c>
      <c r="K10" s="14">
        <v>484</v>
      </c>
      <c r="L10" s="14">
        <v>588</v>
      </c>
      <c r="M10" s="14">
        <v>423</v>
      </c>
      <c r="N10" s="14">
        <v>412</v>
      </c>
      <c r="O10" s="14">
        <v>312</v>
      </c>
      <c r="P10" s="14">
        <v>392</v>
      </c>
      <c r="Q10" s="14">
        <v>350</v>
      </c>
      <c r="R10" s="14">
        <v>565</v>
      </c>
      <c r="S10" s="14"/>
      <c r="T10" s="14"/>
      <c r="U10" s="15">
        <v>522</v>
      </c>
      <c r="V10" s="15"/>
      <c r="W10" s="15">
        <v>510</v>
      </c>
      <c r="X10" s="15">
        <v>502</v>
      </c>
      <c r="Y10" s="15">
        <v>583</v>
      </c>
      <c r="Z10" s="15">
        <v>570</v>
      </c>
      <c r="AA10" s="15">
        <v>777</v>
      </c>
      <c r="AB10" s="15">
        <v>640</v>
      </c>
      <c r="AC10" s="15">
        <v>687</v>
      </c>
      <c r="AD10" s="15">
        <v>692</v>
      </c>
      <c r="AE10" s="124">
        <v>829</v>
      </c>
      <c r="AF10" s="124">
        <v>624</v>
      </c>
      <c r="AG10" s="124">
        <v>758</v>
      </c>
      <c r="AH10" s="124">
        <f>6+38+36+38+34+37+32+22+44+70+52+39+38+34+33+34</f>
        <v>587</v>
      </c>
      <c r="AI10" s="124">
        <f>SUM(1+1+2+1+1+1+1+1+2+1+2+2+2+3+3+3+2+2+4+1+1+5+1+22+2+1+5+2+4+1+3+8+1+7+7+7+1+1+2+4+5+1+1+1+1+1+3+1+2+1+10+3+2+1+2+1+2+1+1+2+1+1+2+1+1+1+3+1+1+1+1+1+1+3+1+1+2+1+1+2+1+3+1+2+3+1+1+4+1+2+4+1+1+1+3+5+2+1+1+5+2+2+2+2+2+1+2+1+2+2+1+2+1+1+2+8+2+2+9+2+1+1+1+2+1+1+2+2+2+1+2+5+2+3+1+2+4+2+2+2+2+7+2+2+1+1+2+2+3+2+2+2+2+2+1+1+1+3+1+4+1+2+2+2+2+2+1+2+1+2+2+1+1+3+1+3+3+2+1+1+2+2+2+2+3+2+1+2+2+1+2+4+1+1+1+2+5+2+3+3+1+2+2+3+1+5+4+2+2+2+2+1+2+1+5+4+2+1+1+1+3+2+1+2+1+2+1+1+2+1+1+4+3+1+1+4+1+2+4+4+2+2+15+5+2+2+3+2+2+1+2+1+2+1+1+2+1+8+1+2+1+2+1+1+2+1+1+1)</f>
        <v>593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564.5</v>
      </c>
      <c r="BK10">
        <f t="shared" si="0"/>
        <v>567.70000000000005</v>
      </c>
      <c r="BL10">
        <f t="shared" si="2"/>
        <v>558.20000000000005</v>
      </c>
      <c r="BM10">
        <f t="shared" si="0"/>
        <v>531.4</v>
      </c>
      <c r="BN10">
        <f t="shared" si="0"/>
        <v>488.2</v>
      </c>
      <c r="BO10">
        <f t="shared" si="0"/>
        <v>465.4</v>
      </c>
      <c r="BP10">
        <f t="shared" si="0"/>
        <v>448</v>
      </c>
      <c r="BQ10">
        <f t="shared" si="0"/>
        <v>444</v>
      </c>
      <c r="BR10">
        <f t="shared" si="3"/>
        <v>450.66666666666669</v>
      </c>
      <c r="BS10">
        <f t="shared" si="3"/>
        <v>440.75</v>
      </c>
      <c r="BT10">
        <f t="shared" si="0"/>
        <v>445.5</v>
      </c>
      <c r="BU10">
        <f t="shared" si="0"/>
        <v>425.14285714285717</v>
      </c>
      <c r="BV10">
        <f t="shared" si="0"/>
        <v>437.57142857142856</v>
      </c>
      <c r="BW10">
        <f t="shared" si="0"/>
        <v>450.42857142857144</v>
      </c>
      <c r="BX10">
        <f t="shared" si="0"/>
        <v>489.14285714285717</v>
      </c>
      <c r="BY10">
        <f t="shared" si="0"/>
        <v>514.57142857142856</v>
      </c>
      <c r="BZ10">
        <f t="shared" si="0"/>
        <v>575.57142857142856</v>
      </c>
      <c r="CA10">
        <f t="shared" si="0"/>
        <v>586.28571428571433</v>
      </c>
      <c r="CB10">
        <f t="shared" si="0"/>
        <v>598.875</v>
      </c>
      <c r="CC10">
        <f t="shared" si="0"/>
        <v>609.22222222222217</v>
      </c>
      <c r="CD10">
        <f t="shared" si="0"/>
        <v>643.33333333333337</v>
      </c>
      <c r="CE10">
        <f t="shared" si="0"/>
        <v>641.4</v>
      </c>
      <c r="CF10">
        <f t="shared" si="4"/>
        <v>666.2</v>
      </c>
      <c r="CG10">
        <f t="shared" si="5"/>
        <v>674.7</v>
      </c>
      <c r="CH10">
        <f t="shared" si="6"/>
        <v>675.7</v>
      </c>
      <c r="CI10">
        <f t="shared" si="7"/>
        <v>687.44444444444446</v>
      </c>
      <c r="CJ10">
        <f t="shared" si="8"/>
        <v>676.25</v>
      </c>
      <c r="CK10">
        <f t="shared" si="9"/>
        <v>681.42857142857144</v>
      </c>
      <c r="CL10">
        <f t="shared" si="10"/>
        <v>680.5</v>
      </c>
      <c r="CM10">
        <f t="shared" si="11"/>
        <v>678.2</v>
      </c>
      <c r="CN10">
        <f t="shared" si="12"/>
        <v>640.5</v>
      </c>
      <c r="CO10">
        <f t="shared" si="13"/>
        <v>646</v>
      </c>
      <c r="CP10">
        <f t="shared" si="14"/>
        <v>590</v>
      </c>
      <c r="CQ10">
        <f t="shared" si="15"/>
        <v>593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579</v>
      </c>
      <c r="C11" s="16">
        <v>835</v>
      </c>
      <c r="D11" s="16">
        <v>785</v>
      </c>
      <c r="E11" s="16">
        <v>908</v>
      </c>
      <c r="F11" s="16">
        <v>830</v>
      </c>
      <c r="G11" s="16">
        <v>730</v>
      </c>
      <c r="H11" s="16">
        <v>772</v>
      </c>
      <c r="I11" s="16">
        <v>840</v>
      </c>
      <c r="J11" s="16">
        <v>552</v>
      </c>
      <c r="K11" s="16">
        <v>650</v>
      </c>
      <c r="L11" s="16">
        <v>780</v>
      </c>
      <c r="M11" s="16">
        <v>701</v>
      </c>
      <c r="N11" s="16">
        <v>737</v>
      </c>
      <c r="O11" s="16">
        <v>682</v>
      </c>
      <c r="P11" s="16">
        <v>682</v>
      </c>
      <c r="Q11" s="16">
        <v>525</v>
      </c>
      <c r="R11" s="16">
        <v>624</v>
      </c>
      <c r="S11" s="16"/>
      <c r="T11" s="16"/>
      <c r="U11" s="17">
        <v>679</v>
      </c>
      <c r="V11" s="17"/>
      <c r="W11" s="17">
        <v>483</v>
      </c>
      <c r="X11" s="17">
        <v>362</v>
      </c>
      <c r="Y11" s="17">
        <v>721</v>
      </c>
      <c r="Z11" s="17">
        <v>704</v>
      </c>
      <c r="AA11" s="17">
        <v>832</v>
      </c>
      <c r="AB11" s="17">
        <v>876</v>
      </c>
      <c r="AC11" s="17">
        <v>443</v>
      </c>
      <c r="AD11" s="17">
        <v>708</v>
      </c>
      <c r="AE11" s="10">
        <v>814</v>
      </c>
      <c r="AF11" s="10">
        <v>835</v>
      </c>
      <c r="AG11" s="10">
        <f>25+45+50+35+51+34+38+31+32+37+32+59+40+40+34+68+37+34+33+31+14+16</f>
        <v>816</v>
      </c>
      <c r="AH11" s="10">
        <f>1+1+44+52+37+39+29+49+40+36+45+28+61+47+34+33+32+37+61+46+7+35</f>
        <v>794</v>
      </c>
      <c r="AI11" s="10">
        <f>SUM(1+2+2+2+1+2+1+1+2+1+1+3+2+3+1+2+2+2+1+1+1+1+2+2+2+1+2+2+2+1+2+1+4+14+2+1+2+2+2+3+3+3+1+2+1+3+2+2+1+1+2+2+1+1+1+2+2+5+2+2+2+2+2+1+2+2+2+2+2+2+2+2+1+2+2+5+6+2+1+2+2+1+2+1+2+1+1+2+4+1+2+1+2+1+2+2+2+1+1+1+1+2+1+3+3+3+3+1+18+2+2+1+2+1+1+1+2+1+1+2+2+2+1+1+2+1+2+2+2+5+1+2+1+1+1+2+2+2+2+2+2+1+4+4+4+4+2+1+2+3+2+2+1+4+2+2+1+4+2+2+2+2+8+1+4+2+1+3+2+2+6+2+3+3+3+2+2+4+2+2+2+1+2+1+1+4+2+4+4+4+4+1+2+3+5+1+3+1+2+3+2+1+2+2+2+1+1+1+3+2+2+1+2+3+1+2+2+2+4+3+1+2+4+3+1+3+1+2+1+2+2+2+3+3+1+2+3+2+2+1+2+2+5+2+1+2+1+2+2+2+4+2+4+2+5+3+4+2+2+8+7+2+4+2+5+1+1+1+1+2+1+1+1+2+1+2+1+5+1+1+1+2+2+3+2+1+1+2+1+1+1+2+2+11+1+1+1+2+1+1+4+1+1+1+1+1+1+2+3+2+1+2+1+1+2+1+4+1+1+4+2+1+1+2+2+2+1+2+2+1+1+2+4+2+1+4+2+2+1+2+1+1+1+1+1+8+1+4+2+1+2+1+4+1+1+1+2+1+6+2+1+2+2+2+1+2+2+11+2+2+3+1+2+1+2+2+2+2+2+2+3+3+3+2+2+2+5+1+1+2+2+2+2+2+4+2+1+3+2+1+1+1+2+2)</f>
        <v>868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748.1</v>
      </c>
      <c r="BK11">
        <f t="shared" si="0"/>
        <v>768.2</v>
      </c>
      <c r="BL11">
        <f t="shared" si="2"/>
        <v>754.8</v>
      </c>
      <c r="BM11">
        <f t="shared" si="0"/>
        <v>750</v>
      </c>
      <c r="BN11">
        <f t="shared" si="0"/>
        <v>727.4</v>
      </c>
      <c r="BO11">
        <f t="shared" si="0"/>
        <v>712.6</v>
      </c>
      <c r="BP11">
        <f t="shared" si="0"/>
        <v>692.1</v>
      </c>
      <c r="BQ11">
        <f t="shared" si="0"/>
        <v>677.3</v>
      </c>
      <c r="BR11">
        <f t="shared" si="3"/>
        <v>659.22222222222217</v>
      </c>
      <c r="BS11">
        <f t="shared" si="3"/>
        <v>672.625</v>
      </c>
      <c r="BT11">
        <f t="shared" si="0"/>
        <v>676.25</v>
      </c>
      <c r="BU11">
        <f t="shared" si="0"/>
        <v>661.42857142857144</v>
      </c>
      <c r="BV11">
        <f t="shared" si="0"/>
        <v>630.28571428571433</v>
      </c>
      <c r="BW11">
        <f t="shared" si="0"/>
        <v>576.71428571428567</v>
      </c>
      <c r="BX11">
        <f t="shared" si="0"/>
        <v>582.28571428571433</v>
      </c>
      <c r="BY11">
        <f t="shared" si="0"/>
        <v>585.42857142857144</v>
      </c>
      <c r="BZ11">
        <f t="shared" si="0"/>
        <v>629.28571428571433</v>
      </c>
      <c r="CA11">
        <f t="shared" si="0"/>
        <v>665.28571428571433</v>
      </c>
      <c r="CB11">
        <f t="shared" si="0"/>
        <v>637.5</v>
      </c>
      <c r="CC11">
        <f t="shared" si="0"/>
        <v>645.33333333333337</v>
      </c>
      <c r="CD11">
        <f t="shared" si="0"/>
        <v>660.33333333333337</v>
      </c>
      <c r="CE11">
        <f t="shared" si="0"/>
        <v>677.8</v>
      </c>
      <c r="CF11">
        <f t="shared" si="4"/>
        <v>711.1</v>
      </c>
      <c r="CG11">
        <f t="shared" si="5"/>
        <v>754.3</v>
      </c>
      <c r="CH11">
        <f t="shared" si="6"/>
        <v>769</v>
      </c>
      <c r="CI11">
        <f t="shared" si="7"/>
        <v>776.22222222222217</v>
      </c>
      <c r="CJ11">
        <f t="shared" si="8"/>
        <v>769.25</v>
      </c>
      <c r="CK11">
        <f t="shared" si="9"/>
        <v>754</v>
      </c>
      <c r="CL11">
        <f t="shared" si="10"/>
        <v>805.83333333333337</v>
      </c>
      <c r="CM11">
        <f t="shared" si="11"/>
        <v>825.4</v>
      </c>
      <c r="CN11">
        <f t="shared" si="12"/>
        <v>828.25</v>
      </c>
      <c r="CO11">
        <f t="shared" si="13"/>
        <v>826</v>
      </c>
      <c r="CP11">
        <f t="shared" si="14"/>
        <v>831</v>
      </c>
      <c r="CQ11">
        <f t="shared" si="15"/>
        <v>868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720</v>
      </c>
      <c r="C12" s="14">
        <v>930</v>
      </c>
      <c r="D12" s="14">
        <v>1067</v>
      </c>
      <c r="E12" s="14">
        <v>896</v>
      </c>
      <c r="F12" s="14">
        <v>1059</v>
      </c>
      <c r="G12" s="14">
        <v>921</v>
      </c>
      <c r="H12" s="14">
        <v>1115</v>
      </c>
      <c r="I12" s="14">
        <v>1081</v>
      </c>
      <c r="J12" s="14">
        <v>647</v>
      </c>
      <c r="K12" s="14">
        <v>1006</v>
      </c>
      <c r="L12" s="14">
        <v>543</v>
      </c>
      <c r="M12" s="14">
        <v>606</v>
      </c>
      <c r="N12" s="14">
        <v>842</v>
      </c>
      <c r="O12" s="14">
        <v>681</v>
      </c>
      <c r="P12" s="14">
        <v>652</v>
      </c>
      <c r="Q12" s="14">
        <v>541</v>
      </c>
      <c r="R12" s="14">
        <v>617</v>
      </c>
      <c r="S12" s="14"/>
      <c r="T12" s="14"/>
      <c r="U12" s="15">
        <v>737</v>
      </c>
      <c r="V12" s="15"/>
      <c r="W12" s="15">
        <v>669</v>
      </c>
      <c r="X12" s="15">
        <v>530</v>
      </c>
      <c r="Y12" s="15">
        <v>792</v>
      </c>
      <c r="Z12" s="15">
        <v>863</v>
      </c>
      <c r="AA12" s="15">
        <v>762</v>
      </c>
      <c r="AB12" s="15">
        <v>891</v>
      </c>
      <c r="AC12" s="15">
        <v>507</v>
      </c>
      <c r="AD12" s="15">
        <v>693</v>
      </c>
      <c r="AE12" s="124">
        <v>939</v>
      </c>
      <c r="AF12" s="124">
        <v>764</v>
      </c>
      <c r="AG12" s="124">
        <f>20+34+49+19+26+37+45+42+39+32+41+58+48+49+41+41+34+53+43+50</f>
        <v>801</v>
      </c>
      <c r="AH12" s="124">
        <f>26+30+36+31+35+34+36+51+34+39+54+37+57+35+10+4+28+2+27</f>
        <v>606</v>
      </c>
      <c r="AI12" s="124">
        <f>SUM(1+2+2+1+2+2+5+1+1+1+1+2+1+2+3+3+1+4+3+2+1+2+2+2+5+1+2+1+1+2+1+1+3+2+1+2+3+3+1+5+3+6+2+3+1+2+2+1+1+1+2+4+2+2+7+5+5+5+1+1+4+4+3+1+1+2+1+2+2+2+1+2+3+2+1+1+1+1+2+1+2+3+3+2+2+2+1+2+9+4+1+1+1+1+3+2+1+2+1+2+1+1+6+1+2+2+2+5+1+1+1+1+3+3+5+2+2+1+1+3+1+1+2+2+3+2+2+2+1+2+1+1+2+1+7+2+1+1+1+2+2+2+5+2+7+2+1+2+2+2+5+2+1+2+2+1+1+1+1+2+5+1+1+2+1+2+2+2+8+2+2+2+1+2+3+1+1+1+1+2+3+1+1+7+2+2+2+2+2+2+1+3+1+1+1+1+2+1+5+4+2+3+14+3+2+2+3+2+2+1+2+3+2+2+2+2+1+1+15+1+1+2+2+1+2+2+1+2+2+1+4+2+2+1+2+3+2+1+1+2+1+3+1+2+4+1+1+1+2+2+2+2+2+2+7+2+2+3+3+3+2+1+2+2+1+2+1+1+2+1+2+2+5+2+2+1+2+2+2+1+8+9+1+1+2+3+1+2+2+2+1+1+2+3+3+2+3+1+2+1+1+1+5+5+1+1+1+2+2+5+2+2+1+2+1+1+1+4+2+4+1+2+2+7+4+2+1+2+1+2+2+4+1+5+3+2+1+1+2+2+2+1+1+1+2+2+2+1+1+2+2+1+3+3+2+3+1+1+2+1+1+2+1+2+2+1+2+1+2+4+4+2+1+1+2+2+4+2+3+2+1+4+1+1+3+1+3+4+1+2+2+1+1+3+5+2+3+2+1+1+1+9+1+6+2+1+2+6+1+1+2+2+1+2+2+1+1+1+1+1+1+1+1+2+3+2+1+1+2+4+2+3+2+1+4+4+4+4+2+1+3+1+2+2+1+3+2+1+3+2+2+2+2+1+1+3+2+8+2+2+4+2+1+2+4+3+3+6+3+2+1+2+2+2+3+1+1+3+1+1+2+5+3+1+1+2+1+1+2+2+2+2)</f>
        <v>1077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944.2</v>
      </c>
      <c r="BK12">
        <f t="shared" si="0"/>
        <v>926.5</v>
      </c>
      <c r="BL12">
        <f t="shared" si="2"/>
        <v>894.1</v>
      </c>
      <c r="BM12">
        <f t="shared" si="0"/>
        <v>871.6</v>
      </c>
      <c r="BN12">
        <f t="shared" si="0"/>
        <v>850.1</v>
      </c>
      <c r="BO12">
        <f t="shared" si="0"/>
        <v>809.4</v>
      </c>
      <c r="BP12">
        <f t="shared" si="0"/>
        <v>771.4</v>
      </c>
      <c r="BQ12">
        <f t="shared" si="0"/>
        <v>721.6</v>
      </c>
      <c r="BR12">
        <f t="shared" si="3"/>
        <v>681.66666666666663</v>
      </c>
      <c r="BS12">
        <f t="shared" si="3"/>
        <v>686</v>
      </c>
      <c r="BT12">
        <f t="shared" si="0"/>
        <v>652.375</v>
      </c>
      <c r="BU12">
        <f t="shared" si="0"/>
        <v>668</v>
      </c>
      <c r="BV12">
        <f t="shared" si="0"/>
        <v>677</v>
      </c>
      <c r="BW12">
        <f t="shared" si="0"/>
        <v>632.42857142857144</v>
      </c>
      <c r="BX12">
        <f t="shared" si="0"/>
        <v>648.28571428571433</v>
      </c>
      <c r="BY12">
        <f t="shared" si="0"/>
        <v>678.42857142857144</v>
      </c>
      <c r="BZ12">
        <f t="shared" si="0"/>
        <v>710</v>
      </c>
      <c r="CA12">
        <f t="shared" si="0"/>
        <v>749.14285714285711</v>
      </c>
      <c r="CB12">
        <f t="shared" si="0"/>
        <v>718.875</v>
      </c>
      <c r="CC12">
        <f t="shared" si="0"/>
        <v>716</v>
      </c>
      <c r="CD12">
        <f t="shared" si="0"/>
        <v>738.44444444444446</v>
      </c>
      <c r="CE12">
        <f t="shared" si="0"/>
        <v>741</v>
      </c>
      <c r="CF12">
        <f t="shared" si="4"/>
        <v>754.2</v>
      </c>
      <c r="CG12">
        <f t="shared" si="5"/>
        <v>761.8</v>
      </c>
      <c r="CH12">
        <f t="shared" si="6"/>
        <v>790.3</v>
      </c>
      <c r="CI12">
        <f t="shared" si="7"/>
        <v>782.22222222222217</v>
      </c>
      <c r="CJ12">
        <f t="shared" si="8"/>
        <v>784.75</v>
      </c>
      <c r="CK12">
        <f t="shared" si="9"/>
        <v>769.57142857142856</v>
      </c>
      <c r="CL12">
        <f t="shared" si="10"/>
        <v>813.33333333333337</v>
      </c>
      <c r="CM12">
        <f t="shared" si="11"/>
        <v>837.4</v>
      </c>
      <c r="CN12">
        <f t="shared" si="12"/>
        <v>812</v>
      </c>
      <c r="CO12">
        <f t="shared" si="13"/>
        <v>828</v>
      </c>
      <c r="CP12">
        <f t="shared" si="14"/>
        <v>841.5</v>
      </c>
      <c r="CQ12">
        <f t="shared" si="15"/>
        <v>1077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745</v>
      </c>
      <c r="C13" s="16">
        <v>522</v>
      </c>
      <c r="D13" s="16">
        <v>655</v>
      </c>
      <c r="E13" s="16">
        <v>1061</v>
      </c>
      <c r="F13" s="16">
        <v>570</v>
      </c>
      <c r="G13" s="16">
        <v>474</v>
      </c>
      <c r="H13" s="16">
        <v>589</v>
      </c>
      <c r="I13" s="16">
        <v>607</v>
      </c>
      <c r="J13" s="16">
        <v>680</v>
      </c>
      <c r="K13" s="16">
        <v>616</v>
      </c>
      <c r="L13" s="16">
        <v>698</v>
      </c>
      <c r="M13" s="16">
        <v>562</v>
      </c>
      <c r="N13" s="16">
        <v>469</v>
      </c>
      <c r="O13" s="16">
        <v>575</v>
      </c>
      <c r="P13" s="16">
        <v>539</v>
      </c>
      <c r="Q13" s="16">
        <v>443</v>
      </c>
      <c r="R13" s="16">
        <v>588</v>
      </c>
      <c r="S13" s="16"/>
      <c r="T13" s="16"/>
      <c r="U13" s="17">
        <v>639</v>
      </c>
      <c r="V13" s="17"/>
      <c r="W13" s="17">
        <v>536</v>
      </c>
      <c r="X13" s="17">
        <v>619</v>
      </c>
      <c r="Y13" s="17">
        <v>556</v>
      </c>
      <c r="Z13" s="17">
        <v>684</v>
      </c>
      <c r="AA13" s="17">
        <v>653</v>
      </c>
      <c r="AB13" s="17">
        <v>774</v>
      </c>
      <c r="AC13" s="17">
        <v>498</v>
      </c>
      <c r="AD13" s="17">
        <v>795</v>
      </c>
      <c r="AE13" s="10">
        <v>988</v>
      </c>
      <c r="AF13" s="10">
        <v>708</v>
      </c>
      <c r="AG13" s="10">
        <f>18+34+46+46+33+43+34+36+47+42+56+38+30+35+40+49+37+36+35</f>
        <v>735</v>
      </c>
      <c r="AI13" s="10">
        <f>SUM(1+2+2+10+3+2+3+3+2+3+2+1+2+1+2+2+4+2+1+2+2+2+2+2+2+2+1+2+3+7+1+1+1+1+2+3+1+1+1+2+3+1+3+1+7+2+1+1+2+2+2+1+2+2+1+2+4+2+5+1+1+2+2+4+2+3+2+2+2+1+2+1+2+4+2+1+1+1+1+1+1+1+1+1+1+2+2+2+1+3+1+1+2+2+1+4+1+3+2+2+3+1+7+3+2+2+2+1+3+2+2+2+2+2+2+1+1+3+2+1+2+3+2+4+2+2+2+2+2+2+1+1+4+31+5+5+2+2+2+2+3+2+2+2+4+4+1+2+2+1+1+1+2+1+1+2+3+2+3+1+2+1+1+4+1+3+2+2+2+1+2+1+2+1+2+1+3+1+2+6+2+1+1+1+2+2+1+1+1+2+1+2+5+2+1+1+3+1+2+3+1+2+5+2+2+2+2+2+2+1+2+2+3+1+3+2+1+2+1+2+2+3+2+1+1+2+6+2+2+6+3+2+2+1+1+2+1+1+2+1+2+2+2+1+2+1+2+2+5+1+1+1+1+2+2+11+2+2+1+2+5+1+2+1+1+2+2+2+2+1+1+1+1+1+1+5+1+2+4+3+3+3+1+1+2+4+2+3+3+3+2+2+2+2+2+4+2+2+4+2+6+1+5+7+2+6+2+1+2+2+3+2+1+2+4+1+3+1+1+3+1+2+10+1+1+1+4+2+2+2+2+2+2+1+1+2+2+1+3+3+1+3+3+1+2+1+2+1+3+3+1+1+1+1+1)</f>
        <v>783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651.9</v>
      </c>
      <c r="BK13">
        <f t="shared" si="0"/>
        <v>647.20000000000005</v>
      </c>
      <c r="BL13">
        <f t="shared" si="2"/>
        <v>651.20000000000005</v>
      </c>
      <c r="BM13">
        <f t="shared" si="0"/>
        <v>632.6</v>
      </c>
      <c r="BN13">
        <f t="shared" si="0"/>
        <v>584</v>
      </c>
      <c r="BO13">
        <f t="shared" si="0"/>
        <v>580.9</v>
      </c>
      <c r="BP13">
        <f t="shared" si="0"/>
        <v>577.79999999999995</v>
      </c>
      <c r="BQ13">
        <f t="shared" si="0"/>
        <v>577.70000000000005</v>
      </c>
      <c r="BR13">
        <f t="shared" si="3"/>
        <v>574.44444444444446</v>
      </c>
      <c r="BS13">
        <f t="shared" si="3"/>
        <v>561.25</v>
      </c>
      <c r="BT13">
        <f t="shared" si="0"/>
        <v>564.125</v>
      </c>
      <c r="BU13">
        <f t="shared" si="0"/>
        <v>545</v>
      </c>
      <c r="BV13">
        <f t="shared" si="0"/>
        <v>541.28571428571433</v>
      </c>
      <c r="BW13">
        <f t="shared" si="0"/>
        <v>562.71428571428567</v>
      </c>
      <c r="BX13">
        <f t="shared" si="0"/>
        <v>560</v>
      </c>
      <c r="BY13">
        <f t="shared" si="0"/>
        <v>580.71428571428567</v>
      </c>
      <c r="BZ13">
        <f t="shared" si="0"/>
        <v>610.71428571428567</v>
      </c>
      <c r="CA13">
        <f t="shared" si="0"/>
        <v>637.28571428571433</v>
      </c>
      <c r="CB13">
        <f t="shared" si="0"/>
        <v>619.875</v>
      </c>
      <c r="CC13">
        <f t="shared" si="0"/>
        <v>639.33333333333337</v>
      </c>
      <c r="CD13">
        <f t="shared" si="0"/>
        <v>678.11111111111109</v>
      </c>
      <c r="CE13">
        <f t="shared" si="0"/>
        <v>681.1</v>
      </c>
      <c r="CF13">
        <f t="shared" si="4"/>
        <v>701</v>
      </c>
      <c r="CG13">
        <f t="shared" si="5"/>
        <v>710.11111111111109</v>
      </c>
      <c r="CH13">
        <f t="shared" si="6"/>
        <v>735.33333333333337</v>
      </c>
      <c r="CI13">
        <f t="shared" si="7"/>
        <v>741.75</v>
      </c>
      <c r="CJ13">
        <f t="shared" si="8"/>
        <v>754.42857142857144</v>
      </c>
      <c r="CK13">
        <f t="shared" si="9"/>
        <v>751.16666666666663</v>
      </c>
      <c r="CL13">
        <f t="shared" si="10"/>
        <v>801.8</v>
      </c>
      <c r="CM13">
        <f t="shared" si="11"/>
        <v>803.5</v>
      </c>
      <c r="CN13">
        <f t="shared" si="12"/>
        <v>742</v>
      </c>
      <c r="CO13">
        <f t="shared" si="13"/>
        <v>759</v>
      </c>
      <c r="CP13">
        <f t="shared" si="14"/>
        <v>783</v>
      </c>
      <c r="CQ13">
        <f t="shared" si="15"/>
        <v>783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915</v>
      </c>
      <c r="C14" s="14">
        <v>1112</v>
      </c>
      <c r="D14" s="14">
        <v>974</v>
      </c>
      <c r="E14" s="14">
        <v>1178</v>
      </c>
      <c r="F14" s="14">
        <v>747</v>
      </c>
      <c r="G14" s="14">
        <v>791</v>
      </c>
      <c r="H14" s="14">
        <v>1181</v>
      </c>
      <c r="I14" s="14">
        <v>937</v>
      </c>
      <c r="J14" s="14">
        <v>837</v>
      </c>
      <c r="K14" s="14">
        <v>813</v>
      </c>
      <c r="L14" s="14">
        <v>754</v>
      </c>
      <c r="M14" s="14">
        <v>631</v>
      </c>
      <c r="N14" s="14">
        <v>679</v>
      </c>
      <c r="O14" s="14">
        <v>681</v>
      </c>
      <c r="P14" s="14">
        <v>504</v>
      </c>
      <c r="Q14" s="14">
        <v>614</v>
      </c>
      <c r="R14" s="14">
        <v>631</v>
      </c>
      <c r="S14" s="14"/>
      <c r="T14" s="14"/>
      <c r="U14" s="15">
        <v>820</v>
      </c>
      <c r="V14" s="15"/>
      <c r="W14" s="15">
        <v>494</v>
      </c>
      <c r="X14" s="15">
        <v>794</v>
      </c>
      <c r="Y14" s="15">
        <v>659</v>
      </c>
      <c r="Z14" s="15">
        <v>837</v>
      </c>
      <c r="AA14" s="15">
        <v>752</v>
      </c>
      <c r="AB14" s="15">
        <v>797</v>
      </c>
      <c r="AC14" s="15">
        <v>490</v>
      </c>
      <c r="AD14" s="15">
        <v>634</v>
      </c>
      <c r="AE14" s="124">
        <v>1217</v>
      </c>
      <c r="AF14" s="124">
        <v>890</v>
      </c>
      <c r="AG14" s="124">
        <f>30+48+30+32+38+46+42+37+39+46+37+51+33+39+38+35+51+32+41+47+40+9</f>
        <v>841</v>
      </c>
      <c r="AH14" s="124"/>
      <c r="AI14" s="124">
        <f>SUM(1+1+1+1+1+1+2+1+2+1+1+1+1+1+2+2+2+2+1+2+1+1+2+1+1+2+2+2+3+1+1+1+1+2+1+3+3+2+1+1+2+1+1+2+1+1+1+1+1+1+2+2+2+3+2+2+1+2+2+2+2+2+5+1+6+5+2+1+4+2+5+3+3+1+2+1+2+1+1+1+1+1+2+2+1+2+2+2+4+2+1+2+2+4+3+2+1+1+2+2+2+1+2+3+2+5+2+3+1+2+1+1+2+2+1+2+2+1+1+1+2+3+1+1+1+1+2+1+2+2+2+2+2+1+1+2+4+2+1+3+2+1+2+2+2+6+1+2+2+2+1+2+2+2+2+2+2+3+1+2+2+2+2+2+2+1+3+2+2+2+1+3+2+5+2+1+2+4+4+12+2+2+4+2+2+2+1+4+4+4+4+4+2+2+5+3+2+5+2+1+2+3+2+3+1+3+4+3+2+2+3+1+4+4+1+2+1+4+2+1+2+2+2+2+1+2+2+2+1+2+1+1+1+2+2+2+1+1+1+2+1+1+1+2+1+1+2+1+1+1+1+2+2+3+1+1+1+2+3+2+2+2+2+4+1+1+3+1+4+2+3+1+1+1+9+2+2+3+2+1+2+4+1+1+4+2+2+2+1+4+3+6+3+1+1+2+1+2+2+2+1+2+2+8+2+2+2+2+5+5+5+1+5+5+5+3+4+3+2+7+1+2+2+1+2+1+1+5+2+1+1+1+2+1+2+1+1+1+2+1+3+7+5+2+1+2+2+6+1+1+2+2+7+2+2)</f>
        <v>757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948.5</v>
      </c>
      <c r="BK14">
        <f t="shared" si="0"/>
        <v>932.4</v>
      </c>
      <c r="BL14">
        <f t="shared" si="2"/>
        <v>884.3</v>
      </c>
      <c r="BM14">
        <f t="shared" si="0"/>
        <v>854.8</v>
      </c>
      <c r="BN14">
        <f t="shared" si="0"/>
        <v>805.1</v>
      </c>
      <c r="BO14">
        <f t="shared" si="0"/>
        <v>780.8</v>
      </c>
      <c r="BP14">
        <f t="shared" si="0"/>
        <v>763.1</v>
      </c>
      <c r="BQ14">
        <f t="shared" si="0"/>
        <v>708.1</v>
      </c>
      <c r="BR14">
        <f t="shared" si="3"/>
        <v>682.66666666666663</v>
      </c>
      <c r="BS14">
        <f t="shared" si="3"/>
        <v>663.375</v>
      </c>
      <c r="BT14">
        <f t="shared" si="0"/>
        <v>664.25</v>
      </c>
      <c r="BU14">
        <f t="shared" si="0"/>
        <v>651.42857142857144</v>
      </c>
      <c r="BV14">
        <f t="shared" si="0"/>
        <v>631.85714285714289</v>
      </c>
      <c r="BW14">
        <f t="shared" si="0"/>
        <v>648.28571428571433</v>
      </c>
      <c r="BX14">
        <f t="shared" si="0"/>
        <v>645.14285714285711</v>
      </c>
      <c r="BY14">
        <f t="shared" si="0"/>
        <v>692.71428571428567</v>
      </c>
      <c r="BZ14">
        <f t="shared" si="0"/>
        <v>712.42857142857144</v>
      </c>
      <c r="CA14">
        <f t="shared" si="0"/>
        <v>736.14285714285711</v>
      </c>
      <c r="CB14">
        <f t="shared" si="0"/>
        <v>705.375</v>
      </c>
      <c r="CC14">
        <f t="shared" si="0"/>
        <v>697.44444444444446</v>
      </c>
      <c r="CD14">
        <f t="shared" si="0"/>
        <v>741.55555555555554</v>
      </c>
      <c r="CE14">
        <f t="shared" si="0"/>
        <v>756.4</v>
      </c>
      <c r="CF14">
        <f t="shared" si="4"/>
        <v>791.1</v>
      </c>
      <c r="CG14">
        <f t="shared" si="5"/>
        <v>790.77777777777783</v>
      </c>
      <c r="CH14">
        <f t="shared" si="6"/>
        <v>801.66666666666663</v>
      </c>
      <c r="CI14">
        <f t="shared" si="7"/>
        <v>797.25</v>
      </c>
      <c r="CJ14">
        <f t="shared" si="8"/>
        <v>803.71428571428567</v>
      </c>
      <c r="CK14">
        <f t="shared" si="9"/>
        <v>804.83333333333337</v>
      </c>
      <c r="CL14">
        <f t="shared" si="10"/>
        <v>867.8</v>
      </c>
      <c r="CM14">
        <f t="shared" si="11"/>
        <v>926.25</v>
      </c>
      <c r="CN14">
        <f t="shared" si="12"/>
        <v>829.33333333333337</v>
      </c>
      <c r="CO14">
        <f t="shared" si="13"/>
        <v>799</v>
      </c>
      <c r="CP14">
        <f t="shared" si="14"/>
        <v>757</v>
      </c>
      <c r="CQ14">
        <f t="shared" si="15"/>
        <v>757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318</v>
      </c>
      <c r="C15" s="16">
        <v>295</v>
      </c>
      <c r="D15" s="16">
        <v>281</v>
      </c>
      <c r="E15" s="16">
        <v>352</v>
      </c>
      <c r="F15" s="16">
        <v>293</v>
      </c>
      <c r="G15" s="16">
        <v>358</v>
      </c>
      <c r="H15" s="16">
        <v>145</v>
      </c>
      <c r="I15" s="16">
        <v>351</v>
      </c>
      <c r="J15" s="16">
        <v>320</v>
      </c>
      <c r="K15" s="16">
        <v>263</v>
      </c>
      <c r="L15" s="16">
        <v>433</v>
      </c>
      <c r="M15" s="16">
        <v>312</v>
      </c>
      <c r="N15" s="16">
        <v>372</v>
      </c>
      <c r="O15" s="16">
        <v>298</v>
      </c>
      <c r="P15" s="16">
        <v>278</v>
      </c>
      <c r="Q15" s="16">
        <v>380</v>
      </c>
      <c r="R15" s="16">
        <v>294</v>
      </c>
      <c r="S15" s="16"/>
      <c r="T15" s="16"/>
      <c r="U15" s="17">
        <v>300</v>
      </c>
      <c r="V15" s="17"/>
      <c r="W15" s="17">
        <v>257</v>
      </c>
      <c r="X15" s="17">
        <v>278</v>
      </c>
      <c r="Y15" s="17">
        <v>367</v>
      </c>
      <c r="Z15" s="17">
        <v>549</v>
      </c>
      <c r="AA15" s="17">
        <v>389</v>
      </c>
      <c r="AB15" s="17">
        <v>404</v>
      </c>
      <c r="AC15" s="17">
        <v>275</v>
      </c>
      <c r="AD15" s="17">
        <v>273</v>
      </c>
      <c r="AE15" s="10">
        <v>679</v>
      </c>
      <c r="AF15" s="10">
        <v>467</v>
      </c>
      <c r="AG15" s="10">
        <f>25+38+42+42+42+36+47+42+27+14</f>
        <v>355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297.60000000000002</v>
      </c>
      <c r="BK15">
        <f t="shared" si="0"/>
        <v>309.10000000000002</v>
      </c>
      <c r="BL15">
        <f t="shared" si="2"/>
        <v>310.8</v>
      </c>
      <c r="BM15">
        <f t="shared" si="0"/>
        <v>319.89999999999998</v>
      </c>
      <c r="BN15">
        <f t="shared" si="0"/>
        <v>314.5</v>
      </c>
      <c r="BO15">
        <f t="shared" si="0"/>
        <v>313</v>
      </c>
      <c r="BP15">
        <f t="shared" si="0"/>
        <v>315.2</v>
      </c>
      <c r="BQ15">
        <f t="shared" si="0"/>
        <v>330.1</v>
      </c>
      <c r="BR15">
        <f t="shared" si="3"/>
        <v>327.77777777777777</v>
      </c>
      <c r="BS15">
        <f t="shared" si="3"/>
        <v>328.75</v>
      </c>
      <c r="BT15">
        <f t="shared" si="0"/>
        <v>333.375</v>
      </c>
      <c r="BU15">
        <f t="shared" si="0"/>
        <v>319.14285714285717</v>
      </c>
      <c r="BV15">
        <f t="shared" si="0"/>
        <v>311.28571428571428</v>
      </c>
      <c r="BW15">
        <f t="shared" si="0"/>
        <v>297.85714285714283</v>
      </c>
      <c r="BX15">
        <f t="shared" si="0"/>
        <v>307.71428571428572</v>
      </c>
      <c r="BY15">
        <f t="shared" si="0"/>
        <v>346.42857142857144</v>
      </c>
      <c r="BZ15">
        <f t="shared" si="0"/>
        <v>347.71428571428572</v>
      </c>
      <c r="CA15">
        <f t="shared" si="0"/>
        <v>363.42857142857144</v>
      </c>
      <c r="CB15">
        <f t="shared" si="0"/>
        <v>352.375</v>
      </c>
      <c r="CC15">
        <f t="shared" si="0"/>
        <v>343.55555555555554</v>
      </c>
      <c r="CD15">
        <f t="shared" si="0"/>
        <v>385.66666666666669</v>
      </c>
      <c r="CE15">
        <f t="shared" si="0"/>
        <v>393.8</v>
      </c>
      <c r="CF15">
        <f t="shared" si="4"/>
        <v>403.6</v>
      </c>
      <c r="CG15">
        <f t="shared" si="5"/>
        <v>417.55555555555554</v>
      </c>
      <c r="CH15">
        <f t="shared" si="6"/>
        <v>423.875</v>
      </c>
      <c r="CI15">
        <f t="shared" si="7"/>
        <v>406</v>
      </c>
      <c r="CJ15">
        <f t="shared" si="8"/>
        <v>408.83333333333331</v>
      </c>
      <c r="CK15">
        <f t="shared" si="9"/>
        <v>409.8</v>
      </c>
      <c r="CL15">
        <f t="shared" si="10"/>
        <v>443.5</v>
      </c>
      <c r="CM15">
        <f t="shared" si="11"/>
        <v>500.33333333333331</v>
      </c>
      <c r="CN15">
        <f t="shared" si="12"/>
        <v>411</v>
      </c>
      <c r="CO15">
        <f t="shared" si="13"/>
        <v>355</v>
      </c>
      <c r="CP15" t="e">
        <f t="shared" si="14"/>
        <v>#DIV/0!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138</v>
      </c>
      <c r="C16" s="14">
        <v>112</v>
      </c>
      <c r="D16" s="14">
        <v>120</v>
      </c>
      <c r="E16" s="14">
        <v>187</v>
      </c>
      <c r="F16" s="14">
        <v>144</v>
      </c>
      <c r="G16" s="14">
        <v>134</v>
      </c>
      <c r="H16" s="14">
        <v>187</v>
      </c>
      <c r="I16" s="14">
        <v>168</v>
      </c>
      <c r="J16" s="14">
        <v>194</v>
      </c>
      <c r="K16" s="14">
        <v>138</v>
      </c>
      <c r="L16" s="14">
        <v>275</v>
      </c>
      <c r="M16" s="14">
        <v>209</v>
      </c>
      <c r="N16" s="14">
        <v>201</v>
      </c>
      <c r="O16" s="14">
        <v>165</v>
      </c>
      <c r="P16" s="14">
        <v>142</v>
      </c>
      <c r="Q16" s="14">
        <v>243</v>
      </c>
      <c r="R16" s="14">
        <v>95</v>
      </c>
      <c r="S16" s="14"/>
      <c r="T16" s="14"/>
      <c r="U16" s="15">
        <v>123</v>
      </c>
      <c r="V16" s="15"/>
      <c r="W16" s="15">
        <v>167</v>
      </c>
      <c r="X16" s="15">
        <v>222</v>
      </c>
      <c r="Y16" s="15">
        <v>275</v>
      </c>
      <c r="Z16" s="15">
        <v>343</v>
      </c>
      <c r="AA16" s="15">
        <v>197</v>
      </c>
      <c r="AB16" s="15">
        <v>198</v>
      </c>
      <c r="AC16" s="15">
        <v>268</v>
      </c>
      <c r="AD16" s="15">
        <v>214</v>
      </c>
      <c r="AE16" s="124">
        <v>145</v>
      </c>
      <c r="AF16" s="124">
        <v>404</v>
      </c>
      <c r="AG16" s="124">
        <f>32+37+34+30+31+33+42+25</f>
        <v>264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152.19999999999999</v>
      </c>
      <c r="BK16">
        <f t="shared" si="0"/>
        <v>165.9</v>
      </c>
      <c r="BL16">
        <f t="shared" si="2"/>
        <v>175.6</v>
      </c>
      <c r="BM16">
        <f t="shared" si="0"/>
        <v>183.7</v>
      </c>
      <c r="BN16">
        <f t="shared" si="0"/>
        <v>181.5</v>
      </c>
      <c r="BO16">
        <f t="shared" si="0"/>
        <v>181.3</v>
      </c>
      <c r="BP16">
        <f t="shared" si="0"/>
        <v>192.2</v>
      </c>
      <c r="BQ16">
        <f t="shared" si="0"/>
        <v>183</v>
      </c>
      <c r="BR16">
        <f t="shared" si="3"/>
        <v>184.66666666666666</v>
      </c>
      <c r="BS16">
        <f t="shared" si="3"/>
        <v>183.5</v>
      </c>
      <c r="BT16">
        <f t="shared" si="0"/>
        <v>181.625</v>
      </c>
      <c r="BU16">
        <f t="shared" si="0"/>
        <v>168.28571428571428</v>
      </c>
      <c r="BV16">
        <f t="shared" si="0"/>
        <v>162.28571428571428</v>
      </c>
      <c r="BW16">
        <f t="shared" si="0"/>
        <v>165.28571428571428</v>
      </c>
      <c r="BX16">
        <f t="shared" si="0"/>
        <v>181</v>
      </c>
      <c r="BY16">
        <f t="shared" si="0"/>
        <v>209.71428571428572</v>
      </c>
      <c r="BZ16">
        <f t="shared" si="0"/>
        <v>203.14285714285714</v>
      </c>
      <c r="CA16">
        <f t="shared" si="0"/>
        <v>217.85714285714286</v>
      </c>
      <c r="CB16">
        <f t="shared" si="0"/>
        <v>224.125</v>
      </c>
      <c r="CC16">
        <f t="shared" si="0"/>
        <v>223</v>
      </c>
      <c r="CD16">
        <f t="shared" si="0"/>
        <v>225.44444444444446</v>
      </c>
      <c r="CE16">
        <f t="shared" si="0"/>
        <v>243.3</v>
      </c>
      <c r="CF16">
        <f t="shared" si="4"/>
        <v>253</v>
      </c>
      <c r="CG16">
        <f t="shared" si="5"/>
        <v>256.44444444444446</v>
      </c>
      <c r="CH16">
        <f t="shared" si="6"/>
        <v>254.125</v>
      </c>
      <c r="CI16">
        <f t="shared" si="7"/>
        <v>241.42857142857142</v>
      </c>
      <c r="CJ16">
        <f t="shared" si="8"/>
        <v>248.83333333333334</v>
      </c>
      <c r="CK16">
        <f t="shared" si="9"/>
        <v>259</v>
      </c>
      <c r="CL16">
        <f t="shared" si="10"/>
        <v>256.75</v>
      </c>
      <c r="CM16">
        <f t="shared" si="11"/>
        <v>271</v>
      </c>
      <c r="CN16">
        <f t="shared" si="12"/>
        <v>334</v>
      </c>
      <c r="CO16">
        <f t="shared" si="13"/>
        <v>264</v>
      </c>
      <c r="CP16" t="e">
        <f t="shared" si="14"/>
        <v>#DIV/0!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5637</v>
      </c>
      <c r="C18" s="22">
        <f t="shared" ref="C18:AZ18" si="29">SUM(C5:C16)</f>
        <v>5879</v>
      </c>
      <c r="D18" s="22">
        <f t="shared" si="29"/>
        <v>6024</v>
      </c>
      <c r="E18" s="22">
        <f t="shared" si="29"/>
        <v>6499</v>
      </c>
      <c r="F18" s="22">
        <f t="shared" si="29"/>
        <v>5896</v>
      </c>
      <c r="G18" s="22">
        <f t="shared" si="29"/>
        <v>5276</v>
      </c>
      <c r="H18" s="22">
        <f t="shared" si="29"/>
        <v>5873</v>
      </c>
      <c r="I18" s="22">
        <f t="shared" si="29"/>
        <v>6258</v>
      </c>
      <c r="J18" s="22">
        <f t="shared" si="29"/>
        <v>5568</v>
      </c>
      <c r="K18" s="22">
        <f t="shared" si="29"/>
        <v>5862</v>
      </c>
      <c r="L18" s="22">
        <f t="shared" si="29"/>
        <v>5399</v>
      </c>
      <c r="M18" s="22">
        <f t="shared" si="29"/>
        <v>4890</v>
      </c>
      <c r="N18" s="22">
        <f t="shared" si="29"/>
        <v>5119</v>
      </c>
      <c r="O18" s="22">
        <f t="shared" si="29"/>
        <v>4884</v>
      </c>
      <c r="P18" s="22">
        <f t="shared" si="29"/>
        <v>4614</v>
      </c>
      <c r="Q18" s="22">
        <f t="shared" si="29"/>
        <v>4505</v>
      </c>
      <c r="R18" s="22">
        <f t="shared" si="29"/>
        <v>4789</v>
      </c>
      <c r="S18" s="22">
        <f t="shared" si="29"/>
        <v>0</v>
      </c>
      <c r="T18" s="22">
        <f t="shared" si="29"/>
        <v>0</v>
      </c>
      <c r="U18" s="22">
        <f t="shared" si="29"/>
        <v>5236</v>
      </c>
      <c r="V18" s="22">
        <f t="shared" si="29"/>
        <v>0</v>
      </c>
      <c r="W18" s="22">
        <f t="shared" si="29"/>
        <v>5163</v>
      </c>
      <c r="X18" s="22">
        <f t="shared" si="29"/>
        <v>4992</v>
      </c>
      <c r="Y18" s="22">
        <f t="shared" si="29"/>
        <v>5536</v>
      </c>
      <c r="Z18" s="22">
        <f t="shared" si="29"/>
        <v>6330</v>
      </c>
      <c r="AA18" s="22">
        <f t="shared" si="29"/>
        <v>6522</v>
      </c>
      <c r="AB18" s="22">
        <f t="shared" si="29"/>
        <v>6665</v>
      </c>
      <c r="AC18" s="22">
        <f t="shared" si="29"/>
        <v>4913</v>
      </c>
      <c r="AD18" s="22">
        <f t="shared" si="29"/>
        <v>5702</v>
      </c>
      <c r="AE18" s="22">
        <f t="shared" si="29"/>
        <v>7953</v>
      </c>
      <c r="AF18" s="22">
        <f t="shared" si="29"/>
        <v>7556</v>
      </c>
      <c r="AG18" s="22">
        <f t="shared" si="29"/>
        <v>6706</v>
      </c>
      <c r="AH18" s="22">
        <f t="shared" si="29"/>
        <v>3960</v>
      </c>
      <c r="AI18" s="22">
        <f t="shared" si="29"/>
        <v>4078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3655.1</v>
      </c>
      <c r="BZ18" s="25">
        <f>AVERAGE(R18:AA18)</f>
        <v>3856.8</v>
      </c>
      <c r="CA18" s="25">
        <f>AVERAGE(S18:AB18)</f>
        <v>4044.4</v>
      </c>
      <c r="CB18" s="25">
        <f>AVERAGE(T18:AC18)</f>
        <v>4535.7</v>
      </c>
      <c r="CC18" s="25">
        <f>AVERAGE(U18:AD18)</f>
        <v>5105.8999999999996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80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80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80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80" ht="20" customHeight="1" x14ac:dyDescent="0.2">
      <c r="A36" s="1"/>
      <c r="B36" s="1"/>
      <c r="C36" s="1"/>
      <c r="W36" s="99" t="s">
        <v>91</v>
      </c>
      <c r="X36" s="99"/>
      <c r="Y36" s="99"/>
      <c r="Z36" s="99"/>
      <c r="AA36" s="99"/>
      <c r="AB36" s="99"/>
      <c r="AC36" s="99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Z36" s="99"/>
      <c r="CA36" s="99"/>
      <c r="CB36" s="99"/>
    </row>
    <row r="37" spans="1:80" ht="20" customHeight="1" x14ac:dyDescent="0.2">
      <c r="A37" s="1"/>
      <c r="B37" s="1"/>
      <c r="C37" s="1"/>
      <c r="W37" s="99" t="s">
        <v>89</v>
      </c>
      <c r="X37" s="99"/>
      <c r="Y37" s="99"/>
      <c r="Z37" s="99"/>
      <c r="AA37" s="99"/>
      <c r="AB37" s="99"/>
      <c r="AC37" s="99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Z37" s="99"/>
      <c r="CA37" s="99"/>
      <c r="CB37" s="99"/>
    </row>
    <row r="38" spans="1:80" ht="20" customHeight="1" x14ac:dyDescent="0.2">
      <c r="A38" s="1"/>
      <c r="B38" s="1"/>
      <c r="C38" s="1"/>
      <c r="W38" s="99"/>
      <c r="X38" s="99"/>
      <c r="Y38" s="99"/>
      <c r="Z38" s="99"/>
      <c r="AA38" s="99"/>
      <c r="AB38" s="99"/>
      <c r="AC38" s="99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Z38" s="99"/>
      <c r="CA38" s="99"/>
      <c r="CB38" s="99"/>
    </row>
    <row r="39" spans="1:80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80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80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80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80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80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80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80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80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80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transitionEvaluation="1" codeName="Sheet25">
    <tabColor theme="5"/>
  </sheetPr>
  <dimension ref="A1:XFD192"/>
  <sheetViews>
    <sheetView defaultGridColor="0" colorId="22" zoomScale="110" zoomScaleNormal="110" workbookViewId="0">
      <pane xSplit="1" topLeftCell="AD1" activePane="topRight" state="frozen"/>
      <selection activeCell="A2" sqref="A2"/>
      <selection pane="topRight" activeCell="AE14" sqref="AE14"/>
    </sheetView>
  </sheetViews>
  <sheetFormatPr baseColWidth="10" defaultColWidth="9.42578125" defaultRowHeight="20" customHeight="1" x14ac:dyDescent="0.2"/>
  <cols>
    <col min="1" max="1" width="36.7109375" style="5" customWidth="1"/>
    <col min="2" max="28" width="5.7109375" style="5" customWidth="1"/>
    <col min="29" max="29" width="6.140625" style="5" customWidth="1"/>
    <col min="30" max="30" width="6" style="5" customWidth="1"/>
    <col min="31" max="31" width="5.7109375" customWidth="1"/>
    <col min="32" max="35" width="6" customWidth="1"/>
    <col min="36" max="52" width="9.42578125" customWidth="1"/>
    <col min="53" max="74" width="9.42578125" style="5" customWidth="1"/>
    <col min="75" max="75" width="10.7109375" style="5" customWidth="1"/>
    <col min="76" max="76" width="8.42578125" style="5" customWidth="1"/>
    <col min="77" max="77" width="7.7109375" style="5" customWidth="1"/>
    <col min="78" max="78" width="9.42578125" style="5" customWidth="1"/>
    <col min="79" max="79" width="16.85546875" style="5" customWidth="1"/>
    <col min="80" max="80" width="16.42578125" style="5" customWidth="1"/>
    <col min="81" max="81" width="9.42578125" style="5" customWidth="1"/>
    <col min="82" max="82" width="16.85546875" style="5" customWidth="1"/>
    <col min="83" max="110" width="9.42578125" style="5" hidden="1" customWidth="1"/>
    <col min="111" max="114" width="9.42578125" style="5" customWidth="1"/>
    <col min="115" max="16384" width="9.42578125" style="5"/>
  </cols>
  <sheetData>
    <row r="1" spans="1:108 16384:16384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 16384:16384" s="34" customFormat="1" ht="25" customHeight="1" x14ac:dyDescent="0.25">
      <c r="A2" s="36" t="s">
        <v>48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 16384:16384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28">
        <v>2021</v>
      </c>
      <c r="AG3" s="28">
        <v>2022</v>
      </c>
      <c r="AH3" s="28">
        <v>2023</v>
      </c>
      <c r="AI3" s="28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8">
        <v>2015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 16384:16384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60"/>
      <c r="AG4" s="160"/>
      <c r="AH4" s="160"/>
      <c r="AI4" s="160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 16384:16384" s="10" customFormat="1" ht="20" customHeight="1" x14ac:dyDescent="0.2">
      <c r="A5" s="9" t="s">
        <v>0</v>
      </c>
      <c r="B5" s="16">
        <v>44</v>
      </c>
      <c r="C5" s="16">
        <v>54</v>
      </c>
      <c r="D5" s="16">
        <v>70</v>
      </c>
      <c r="E5" s="16">
        <v>64</v>
      </c>
      <c r="F5" s="16">
        <v>134</v>
      </c>
      <c r="G5" s="16">
        <v>15</v>
      </c>
      <c r="H5" s="16">
        <v>64</v>
      </c>
      <c r="I5" s="16">
        <v>121</v>
      </c>
      <c r="J5" s="16">
        <v>21</v>
      </c>
      <c r="K5" s="16">
        <v>82</v>
      </c>
      <c r="L5" s="16">
        <v>64</v>
      </c>
      <c r="M5" s="16">
        <v>103</v>
      </c>
      <c r="N5" s="16">
        <v>51</v>
      </c>
      <c r="O5" s="16">
        <v>66</v>
      </c>
      <c r="P5" s="16">
        <v>44</v>
      </c>
      <c r="Q5" s="16">
        <v>64</v>
      </c>
      <c r="R5" s="16">
        <v>117</v>
      </c>
      <c r="S5" s="16"/>
      <c r="T5" s="16"/>
      <c r="U5" s="17">
        <v>100</v>
      </c>
      <c r="V5" s="17"/>
      <c r="W5" s="17">
        <v>194</v>
      </c>
      <c r="X5" s="17">
        <v>58</v>
      </c>
      <c r="Y5" s="17">
        <v>103</v>
      </c>
      <c r="Z5" s="76">
        <v>77</v>
      </c>
      <c r="AA5" s="17">
        <v>193</v>
      </c>
      <c r="AB5" s="17">
        <v>169</v>
      </c>
      <c r="AC5" s="17">
        <v>75</v>
      </c>
      <c r="AD5" s="112">
        <v>73</v>
      </c>
      <c r="AE5" s="10">
        <v>141</v>
      </c>
      <c r="AF5" s="112">
        <v>251</v>
      </c>
      <c r="AG5" s="112">
        <f>34+9</f>
        <v>43</v>
      </c>
      <c r="AH5" s="112">
        <f>(2+5+2)+(4+1+2+1+1+1+5+2+2+3+1+2+2+3+1)+(3+2+2+4+2+2+4+1+2+11+2+2+4+2+2+1+1+5+4)+(2+1+2+2+3+2+2+2+2+2+2+2+1+1+2+1+2+1+2+2)+(2+6+1+1+1+2+1+6+2+1+8+1+1+1+1+1)+(16+1+5+2+2+3+1+2+5+1+1+1+2+1+1+1+1+2)</f>
        <v>216</v>
      </c>
      <c r="AI5" s="112">
        <f>(1+2+2+2+1+1+1+1+1+1)+(1+1+1+2+1+2+2+3+3+2+1+1+1+1+2+2+1)+(1+1+1+1+4+3+2+1+1+2)</f>
        <v>57</v>
      </c>
      <c r="AJ5" s="199">
        <f>(1+4+2)+(3)+(3+3+1)+(3)+(2)+(3)+(1+2+1)+(1+2+7+2)+(1)+(1)+(2)+(10+2+1+3+2+2+2+3)+(2+1)+(1)+(3)+(1+1+1+2+4+1+1+1+2+2+2)+(1+2)+(1+4)</f>
        <v>103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66.900000000000006</v>
      </c>
      <c r="BK5">
        <f t="shared" ref="BK5:DD16" si="0">AVERAGE(C5:L5)</f>
        <v>68.900000000000006</v>
      </c>
      <c r="BL5">
        <f>AVERAGE(D5:M5)</f>
        <v>73.8</v>
      </c>
      <c r="BM5">
        <f t="shared" si="0"/>
        <v>71.900000000000006</v>
      </c>
      <c r="BN5">
        <f t="shared" si="0"/>
        <v>72.099999999999994</v>
      </c>
      <c r="BO5">
        <f t="shared" si="0"/>
        <v>63.1</v>
      </c>
      <c r="BP5">
        <f t="shared" si="0"/>
        <v>68</v>
      </c>
      <c r="BQ5">
        <f t="shared" si="0"/>
        <v>73.3</v>
      </c>
      <c r="BR5">
        <f t="shared" si="0"/>
        <v>68</v>
      </c>
      <c r="BS5">
        <f t="shared" si="0"/>
        <v>73.875</v>
      </c>
      <c r="BT5">
        <f t="shared" si="0"/>
        <v>76.125</v>
      </c>
      <c r="BU5">
        <f t="shared" si="0"/>
        <v>77.857142857142861</v>
      </c>
      <c r="BV5">
        <f t="shared" si="0"/>
        <v>90.857142857142861</v>
      </c>
      <c r="BW5">
        <f t="shared" si="0"/>
        <v>91.857142857142861</v>
      </c>
      <c r="BX5">
        <f t="shared" si="0"/>
        <v>97.142857142857139</v>
      </c>
      <c r="BY5">
        <f t="shared" si="0"/>
        <v>101.85714285714286</v>
      </c>
      <c r="BZ5">
        <f t="shared" si="0"/>
        <v>120.28571428571429</v>
      </c>
      <c r="CA5">
        <f t="shared" si="0"/>
        <v>127.71428571428571</v>
      </c>
      <c r="CB5">
        <f t="shared" si="0"/>
        <v>121.125</v>
      </c>
      <c r="CC5">
        <f t="shared" si="0"/>
        <v>115.77777777777777</v>
      </c>
      <c r="CD5">
        <f t="shared" si="0"/>
        <v>120.33333333333333</v>
      </c>
      <c r="CE5">
        <f t="shared" si="0"/>
        <v>133.4</v>
      </c>
      <c r="CF5">
        <f t="shared" si="0"/>
        <v>118.3</v>
      </c>
      <c r="CG5">
        <f t="shared" si="0"/>
        <v>134.1</v>
      </c>
      <c r="CH5">
        <f t="shared" si="0"/>
        <v>129.5</v>
      </c>
      <c r="CI5">
        <f t="shared" si="0"/>
        <v>132.1</v>
      </c>
      <c r="CJ5">
        <f t="shared" si="0"/>
        <v>125.33333333333333</v>
      </c>
      <c r="CK5">
        <f t="shared" si="0"/>
        <v>119.875</v>
      </c>
      <c r="CL5">
        <f t="shared" si="0"/>
        <v>126.28571428571429</v>
      </c>
      <c r="CM5">
        <f t="shared" si="0"/>
        <v>135.16666666666666</v>
      </c>
      <c r="CN5">
        <f t="shared" si="0"/>
        <v>134</v>
      </c>
      <c r="CO5">
        <f t="shared" si="0"/>
        <v>104.75</v>
      </c>
      <c r="CP5">
        <f t="shared" si="0"/>
        <v>125.33333333333333</v>
      </c>
      <c r="CQ5">
        <f t="shared" si="0"/>
        <v>80</v>
      </c>
      <c r="CR5">
        <f t="shared" si="0"/>
        <v>103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  <c r="XFD5" s="10" t="s">
        <v>70</v>
      </c>
    </row>
    <row r="6" spans="1:108 16384:16384" ht="20" customHeight="1" x14ac:dyDescent="0.2">
      <c r="A6" s="7" t="s">
        <v>1</v>
      </c>
      <c r="B6" s="14">
        <v>63</v>
      </c>
      <c r="C6" s="14">
        <v>104</v>
      </c>
      <c r="D6" s="14">
        <v>58</v>
      </c>
      <c r="E6" s="14">
        <v>43</v>
      </c>
      <c r="F6" s="14">
        <v>82</v>
      </c>
      <c r="G6" s="14">
        <v>50</v>
      </c>
      <c r="H6" s="14">
        <v>77</v>
      </c>
      <c r="I6" s="14">
        <v>142</v>
      </c>
      <c r="J6" s="14">
        <v>57</v>
      </c>
      <c r="K6" s="14">
        <v>55</v>
      </c>
      <c r="L6" s="14">
        <v>73</v>
      </c>
      <c r="M6" s="14">
        <v>113</v>
      </c>
      <c r="N6" s="14">
        <v>23</v>
      </c>
      <c r="O6" s="14">
        <v>87</v>
      </c>
      <c r="P6" s="14">
        <v>79</v>
      </c>
      <c r="Q6" s="14">
        <v>120</v>
      </c>
      <c r="R6" s="14">
        <v>26</v>
      </c>
      <c r="S6" s="14"/>
      <c r="T6" s="14"/>
      <c r="U6" s="15">
        <v>194</v>
      </c>
      <c r="V6" s="15"/>
      <c r="W6" s="15">
        <v>105</v>
      </c>
      <c r="X6" s="15">
        <v>94</v>
      </c>
      <c r="Y6" s="15">
        <v>126</v>
      </c>
      <c r="Z6" s="15">
        <v>57</v>
      </c>
      <c r="AA6" s="15">
        <v>123</v>
      </c>
      <c r="AB6" s="15">
        <v>152</v>
      </c>
      <c r="AC6" s="15">
        <v>62</v>
      </c>
      <c r="AD6" s="111">
        <v>136</v>
      </c>
      <c r="AE6" s="124">
        <v>167</v>
      </c>
      <c r="AF6" s="160">
        <v>136</v>
      </c>
      <c r="AG6" s="160">
        <f>23+37+38+30</f>
        <v>128</v>
      </c>
      <c r="AH6" s="160">
        <f>(1+7)+(2+3+1+2+1+2+1+1+2+1+3+1+1+1+2+1+2+1+1+2)+(1+2+1+4+1+4+2+2+1+2+2+1+3+5+1+1+3+1)+(8+2+2+2+2+2+2+2+2+1+1+2+2+2+1+1+3+2+2)+(1+1+2+2)</f>
        <v>123</v>
      </c>
      <c r="AI6" s="160">
        <f>(2+2+1+2+1+2)+(1+1+1+1+1+1+1+2+1+5+1+1+4+3+2+2+1+1)+(2+2+3+2+8+6+5+1+2+2+1+4+1+2+3+2+2)+(1+1+1+1+3+1+2+1+1+2+1+3+1+1+1+2+1+1+1+1)+(2+1+1+1+1+2+2+2+4+1+2+1+4+1)</f>
        <v>140</v>
      </c>
      <c r="AJ6" s="160">
        <f>(1+1+1+2+1+1+4)+(2+2+2)+(1)+(1)+(2)+(3)+(1+1+2+1+2)+(1)+(3)+(1+3+2)+(1+1+1+1)+(2)+(2)+(2+1)+(2+1)</f>
        <v>55</v>
      </c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73.099999999999994</v>
      </c>
      <c r="BK6">
        <f t="shared" si="0"/>
        <v>74.099999999999994</v>
      </c>
      <c r="BL6">
        <f t="shared" ref="BL6:BL16" si="2">AVERAGE(D6:M6)</f>
        <v>75</v>
      </c>
      <c r="BM6">
        <f t="shared" si="0"/>
        <v>71.5</v>
      </c>
      <c r="BN6">
        <f t="shared" si="0"/>
        <v>75.900000000000006</v>
      </c>
      <c r="BO6">
        <f t="shared" si="0"/>
        <v>75.599999999999994</v>
      </c>
      <c r="BP6">
        <f t="shared" si="0"/>
        <v>82.6</v>
      </c>
      <c r="BQ6">
        <f t="shared" si="0"/>
        <v>77.5</v>
      </c>
      <c r="BR6">
        <f t="shared" ref="BR6:BS16" si="3">AVERAGE(J6:S6)</f>
        <v>70.333333333333329</v>
      </c>
      <c r="BS6">
        <f t="shared" si="3"/>
        <v>72</v>
      </c>
      <c r="BT6">
        <f t="shared" si="0"/>
        <v>89.375</v>
      </c>
      <c r="BU6">
        <f t="shared" si="0"/>
        <v>91.714285714285708</v>
      </c>
      <c r="BV6">
        <f t="shared" si="0"/>
        <v>90.571428571428569</v>
      </c>
      <c r="BW6">
        <f t="shared" si="0"/>
        <v>100.71428571428571</v>
      </c>
      <c r="BX6">
        <f t="shared" si="0"/>
        <v>106.28571428571429</v>
      </c>
      <c r="BY6">
        <f t="shared" si="0"/>
        <v>103.14285714285714</v>
      </c>
      <c r="BZ6">
        <f t="shared" si="0"/>
        <v>103.57142857142857</v>
      </c>
      <c r="CA6">
        <f t="shared" si="0"/>
        <v>121.57142857142857</v>
      </c>
      <c r="CB6">
        <f t="shared" si="0"/>
        <v>114.125</v>
      </c>
      <c r="CC6">
        <f t="shared" si="0"/>
        <v>116.55555555555556</v>
      </c>
      <c r="CD6">
        <f t="shared" si="0"/>
        <v>113.55555555555556</v>
      </c>
      <c r="CE6">
        <f t="shared" si="0"/>
        <v>115.8</v>
      </c>
      <c r="CF6">
        <f t="shared" ref="CF6:CF16" si="4">AVERAGE(X6:AG6)</f>
        <v>118.1</v>
      </c>
      <c r="CG6">
        <f t="shared" ref="CG6:CG16" si="5">AVERAGE(Y6:AH6)</f>
        <v>121</v>
      </c>
      <c r="CH6">
        <f t="shared" ref="CH6:CH16" si="6">AVERAGE(Z6:AI6)</f>
        <v>122.4</v>
      </c>
      <c r="CI6">
        <f t="shared" ref="CI6:CI16" si="7">AVERAGE(AA6:AJ6)</f>
        <v>122.2</v>
      </c>
      <c r="CJ6">
        <f t="shared" ref="CJ6:CJ16" si="8">AVERAGE(AB6:AK6)</f>
        <v>122.11111111111111</v>
      </c>
      <c r="CK6">
        <f t="shared" ref="CK6:CK16" si="9">AVERAGE(AC6:AL6)</f>
        <v>118.375</v>
      </c>
      <c r="CL6">
        <f t="shared" ref="CL6:CL16" si="10">AVERAGE(AD6:AM6)</f>
        <v>126.42857142857143</v>
      </c>
      <c r="CM6">
        <f t="shared" ref="CM6:CM16" si="11">AVERAGE(AE6:AN6)</f>
        <v>124.83333333333333</v>
      </c>
      <c r="CN6">
        <f t="shared" ref="CN6:CN16" si="12">AVERAGE(AF6:AO6)</f>
        <v>116.4</v>
      </c>
      <c r="CO6">
        <f t="shared" ref="CO6:CO16" si="13">AVERAGE(AG6:AP6)</f>
        <v>111.5</v>
      </c>
      <c r="CP6">
        <f t="shared" ref="CP6:CP16" si="14">AVERAGE(AH6:AQ6)</f>
        <v>106</v>
      </c>
      <c r="CQ6">
        <f t="shared" ref="CQ6:CQ16" si="15">AVERAGE(AI6:AR6)</f>
        <v>97.5</v>
      </c>
      <c r="CR6">
        <f t="shared" ref="CR6:CR16" si="16">AVERAGE(AJ6:AS6)</f>
        <v>55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 16384:16384" s="10" customFormat="1" ht="20" customHeight="1" x14ac:dyDescent="0.2">
      <c r="A7" s="9" t="s">
        <v>2</v>
      </c>
      <c r="B7" s="16">
        <v>113</v>
      </c>
      <c r="C7" s="16">
        <v>98</v>
      </c>
      <c r="D7" s="16">
        <v>46</v>
      </c>
      <c r="E7" s="16">
        <v>85</v>
      </c>
      <c r="F7" s="16">
        <v>96</v>
      </c>
      <c r="G7" s="16">
        <v>101</v>
      </c>
      <c r="H7" s="16">
        <v>91</v>
      </c>
      <c r="I7" s="16">
        <v>114</v>
      </c>
      <c r="J7" s="16">
        <v>76</v>
      </c>
      <c r="K7" s="16">
        <v>99</v>
      </c>
      <c r="L7" s="16">
        <v>69</v>
      </c>
      <c r="M7" s="16">
        <v>183</v>
      </c>
      <c r="N7" s="16">
        <v>89</v>
      </c>
      <c r="O7" s="16">
        <v>81</v>
      </c>
      <c r="P7" s="16">
        <v>77</v>
      </c>
      <c r="Q7" s="16">
        <v>67</v>
      </c>
      <c r="R7" s="16">
        <v>62</v>
      </c>
      <c r="S7" s="16"/>
      <c r="T7" s="16"/>
      <c r="U7" s="17">
        <v>113</v>
      </c>
      <c r="V7" s="17"/>
      <c r="W7" s="17">
        <v>252</v>
      </c>
      <c r="X7" s="17">
        <v>164</v>
      </c>
      <c r="Y7" s="17">
        <v>140</v>
      </c>
      <c r="Z7" s="17">
        <v>67</v>
      </c>
      <c r="AA7" s="17">
        <v>278</v>
      </c>
      <c r="AB7" s="17">
        <v>75</v>
      </c>
      <c r="AC7" s="17">
        <v>301</v>
      </c>
      <c r="AD7" s="112">
        <v>131</v>
      </c>
      <c r="AE7" s="10">
        <v>108</v>
      </c>
      <c r="AF7" s="112">
        <v>262</v>
      </c>
      <c r="AG7" s="112">
        <f>10+30+35+18</f>
        <v>93</v>
      </c>
      <c r="AH7" s="112">
        <f>(2+2+1+2+2+1+1+2+2+2+1+1+1+1)+(2+2+1+1+4+2+2+2+1+1+3+2+1+2+1+1+1+2+2)+(2+1+2+4+2+2+1+1+1+1+1+2+2+2+1+1+2+3+1)+(6+7+2+1+1+3+2+2+1+3+2+2)</f>
        <v>118</v>
      </c>
      <c r="AI7" s="112">
        <f>(2+1+1+1+1)+(10+2+3+1+2+4+1+2+1+2+1+1+1+3+1+1+2+1+1)+(4+1+3+2+1+1+2+1+2+1+2+5+1+2+12+2+2+3+1+2)+(2+2+1+1+2+2+1+1+1+1+1+2+2+1+1+1+2+2+2+1)+(1+1+2+1+2+2+3+4+1+2+2+3+1+2+2+2+1+1+5+1)+(2+10+3+2+4+1+7)</f>
        <v>193</v>
      </c>
      <c r="AJ7" s="199">
        <f>(1+1+2+2+1)+(2+8+4+2+2)+(2+2)+(2+2)+(2+2)+(1+1+1+1)+(1+3+2+1+6)+(1+2+6)+(4+1)+(1)+(1+1)+(12+10)+(1)+(1)+(1+1+2)+(1)+(4+2+1+2+1)+(1+2+2)+(2+2+2+4)+(1)</f>
        <v>126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91.9</v>
      </c>
      <c r="BK7">
        <f t="shared" si="0"/>
        <v>87.5</v>
      </c>
      <c r="BL7">
        <f t="shared" si="2"/>
        <v>96</v>
      </c>
      <c r="BM7">
        <f t="shared" si="0"/>
        <v>100.3</v>
      </c>
      <c r="BN7">
        <f t="shared" si="0"/>
        <v>99.9</v>
      </c>
      <c r="BO7">
        <f t="shared" si="0"/>
        <v>98</v>
      </c>
      <c r="BP7">
        <f t="shared" si="0"/>
        <v>94.6</v>
      </c>
      <c r="BQ7">
        <f t="shared" si="0"/>
        <v>91.7</v>
      </c>
      <c r="BR7">
        <f t="shared" si="3"/>
        <v>89.222222222222229</v>
      </c>
      <c r="BS7">
        <f t="shared" si="3"/>
        <v>90.875</v>
      </c>
      <c r="BT7">
        <f t="shared" si="0"/>
        <v>92.625</v>
      </c>
      <c r="BU7">
        <f t="shared" si="0"/>
        <v>96</v>
      </c>
      <c r="BV7">
        <f t="shared" si="0"/>
        <v>105.85714285714286</v>
      </c>
      <c r="BW7">
        <f t="shared" si="0"/>
        <v>116.57142857142857</v>
      </c>
      <c r="BX7">
        <f>AVERAGE(P7:Y7)</f>
        <v>125</v>
      </c>
      <c r="BY7">
        <f t="shared" si="0"/>
        <v>123.57142857142857</v>
      </c>
      <c r="BZ7">
        <f t="shared" si="0"/>
        <v>153.71428571428572</v>
      </c>
      <c r="CA7">
        <f t="shared" si="0"/>
        <v>155.57142857142858</v>
      </c>
      <c r="CB7">
        <f t="shared" si="0"/>
        <v>173.75</v>
      </c>
      <c r="CC7">
        <f t="shared" si="0"/>
        <v>169</v>
      </c>
      <c r="CD7">
        <f t="shared" si="0"/>
        <v>168.44444444444446</v>
      </c>
      <c r="CE7">
        <f>AVERAGE(W7:AF7)</f>
        <v>177.8</v>
      </c>
      <c r="CF7">
        <f t="shared" si="4"/>
        <v>161.9</v>
      </c>
      <c r="CG7">
        <f t="shared" si="5"/>
        <v>157.30000000000001</v>
      </c>
      <c r="CH7">
        <f t="shared" si="6"/>
        <v>162.6</v>
      </c>
      <c r="CI7">
        <f t="shared" si="7"/>
        <v>168.5</v>
      </c>
      <c r="CJ7">
        <f t="shared" si="8"/>
        <v>156.33333333333334</v>
      </c>
      <c r="CK7">
        <f t="shared" si="9"/>
        <v>166.5</v>
      </c>
      <c r="CL7">
        <f t="shared" si="10"/>
        <v>147.28571428571428</v>
      </c>
      <c r="CM7">
        <f t="shared" si="11"/>
        <v>150</v>
      </c>
      <c r="CN7">
        <f t="shared" si="12"/>
        <v>158.4</v>
      </c>
      <c r="CO7">
        <f t="shared" si="13"/>
        <v>132.5</v>
      </c>
      <c r="CP7">
        <f t="shared" si="14"/>
        <v>145.66666666666666</v>
      </c>
      <c r="CQ7">
        <f t="shared" si="15"/>
        <v>159.5</v>
      </c>
      <c r="CR7">
        <f t="shared" si="16"/>
        <v>126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 16384:16384" ht="20" customHeight="1" x14ac:dyDescent="0.2">
      <c r="A8" s="7" t="s">
        <v>3</v>
      </c>
      <c r="B8" s="14">
        <v>248</v>
      </c>
      <c r="C8" s="14">
        <v>129</v>
      </c>
      <c r="D8" s="14">
        <v>151</v>
      </c>
      <c r="E8" s="14">
        <v>140</v>
      </c>
      <c r="F8" s="14">
        <v>274</v>
      </c>
      <c r="G8" s="14">
        <v>181</v>
      </c>
      <c r="H8" s="14">
        <v>150</v>
      </c>
      <c r="I8" s="14">
        <v>200</v>
      </c>
      <c r="J8" s="14">
        <v>105</v>
      </c>
      <c r="K8" s="14">
        <v>135</v>
      </c>
      <c r="L8" s="14">
        <v>114</v>
      </c>
      <c r="M8" s="14">
        <v>161</v>
      </c>
      <c r="N8" s="14">
        <v>127</v>
      </c>
      <c r="O8" s="14">
        <v>225</v>
      </c>
      <c r="P8" s="14">
        <v>143</v>
      </c>
      <c r="Q8" s="14">
        <v>237</v>
      </c>
      <c r="R8" s="14">
        <v>104</v>
      </c>
      <c r="S8" s="14"/>
      <c r="T8" s="14"/>
      <c r="U8" s="15">
        <v>247</v>
      </c>
      <c r="V8" s="15"/>
      <c r="W8" s="15">
        <v>248</v>
      </c>
      <c r="X8" s="15">
        <v>220</v>
      </c>
      <c r="Y8" s="15">
        <v>215</v>
      </c>
      <c r="Z8" s="15">
        <v>192</v>
      </c>
      <c r="AA8" s="15">
        <v>395</v>
      </c>
      <c r="AB8" s="15">
        <v>326</v>
      </c>
      <c r="AC8" s="15">
        <v>164</v>
      </c>
      <c r="AD8" s="111">
        <v>212</v>
      </c>
      <c r="AE8" s="124">
        <v>116</v>
      </c>
      <c r="AF8" s="160">
        <v>286</v>
      </c>
      <c r="AG8" s="160">
        <f>24+34+42+44+21+16</f>
        <v>181</v>
      </c>
      <c r="AH8" s="160">
        <f>(2+2+4+1+2+1+1+2)+(1+3+1+4+2+3+1+1+2+2+2+1+2+2+1+2+2+3+1)+(2+1+3+2+2+2+2+2+2+2+2+2+1+2)+(1+2+2+1+2+1+2+2+1+2+2+1+2+1+1+2+1+2+2)+(2+2+1+1+1+2+2+2+1+2+1+2+1+1+2+5+2)+(2+2+4)</f>
        <v>146</v>
      </c>
      <c r="AI8" s="160">
        <f>(1+1+3+2+1)+(2+6+2+2+1+2+1+2+2+2+2+13+1+2+2+3+2+1+2+2)+(2+2+1+1+1+1+3+2+2+2+2+2+10+2+1+2+2+4+9)+(2+2+2+2+2+3+1+1+2+1+1+7+4+2+1+1+1+3+2+2)+(1+4+4+1+4+2+6+2+1+3+2+4+1+1+2+2+2+2+2)+(1+2+1+4+2+2+2+1+1)</f>
        <v>215</v>
      </c>
      <c r="AJ8" s="160">
        <f>SUM(2+2+2+6+2+1+3+3+1+2+2+1+2+5+2+1+2+2+2+1+2+1)</f>
        <v>47</v>
      </c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171.3</v>
      </c>
      <c r="BK8">
        <f t="shared" si="0"/>
        <v>157.9</v>
      </c>
      <c r="BL8">
        <f t="shared" si="2"/>
        <v>161.1</v>
      </c>
      <c r="BM8">
        <f t="shared" si="0"/>
        <v>158.69999999999999</v>
      </c>
      <c r="BN8">
        <f t="shared" si="0"/>
        <v>167.2</v>
      </c>
      <c r="BO8">
        <f t="shared" si="0"/>
        <v>154.1</v>
      </c>
      <c r="BP8">
        <f t="shared" si="0"/>
        <v>159.69999999999999</v>
      </c>
      <c r="BQ8">
        <f t="shared" si="0"/>
        <v>155.1</v>
      </c>
      <c r="BR8">
        <f t="shared" si="3"/>
        <v>150.11111111111111</v>
      </c>
      <c r="BS8">
        <f t="shared" si="3"/>
        <v>155.75</v>
      </c>
      <c r="BT8">
        <f>AVERAGE(L8:U8)</f>
        <v>169.75</v>
      </c>
      <c r="BU8">
        <f t="shared" si="0"/>
        <v>177.71428571428572</v>
      </c>
      <c r="BV8">
        <f t="shared" si="0"/>
        <v>190.14285714285714</v>
      </c>
      <c r="BW8">
        <f t="shared" si="0"/>
        <v>203.42857142857142</v>
      </c>
      <c r="BX8">
        <f t="shared" si="0"/>
        <v>202</v>
      </c>
      <c r="BY8">
        <f t="shared" si="0"/>
        <v>209</v>
      </c>
      <c r="BZ8">
        <f t="shared" si="0"/>
        <v>231.57142857142858</v>
      </c>
      <c r="CA8">
        <f t="shared" si="0"/>
        <v>263.28571428571428</v>
      </c>
      <c r="CB8">
        <f t="shared" si="0"/>
        <v>250.875</v>
      </c>
      <c r="CC8">
        <f t="shared" si="0"/>
        <v>246.55555555555554</v>
      </c>
      <c r="CD8">
        <f t="shared" si="0"/>
        <v>232</v>
      </c>
      <c r="CE8">
        <f t="shared" si="0"/>
        <v>237.4</v>
      </c>
      <c r="CF8">
        <f t="shared" si="4"/>
        <v>230.7</v>
      </c>
      <c r="CG8">
        <f t="shared" si="5"/>
        <v>223.3</v>
      </c>
      <c r="CH8">
        <f t="shared" si="6"/>
        <v>223.3</v>
      </c>
      <c r="CI8">
        <f t="shared" si="7"/>
        <v>208.8</v>
      </c>
      <c r="CJ8">
        <f t="shared" si="8"/>
        <v>188.11111111111111</v>
      </c>
      <c r="CK8">
        <f t="shared" si="9"/>
        <v>170.875</v>
      </c>
      <c r="CL8">
        <f t="shared" si="10"/>
        <v>171.85714285714286</v>
      </c>
      <c r="CM8">
        <f t="shared" si="11"/>
        <v>165.16666666666666</v>
      </c>
      <c r="CN8">
        <f t="shared" si="12"/>
        <v>175</v>
      </c>
      <c r="CO8">
        <f t="shared" si="13"/>
        <v>147.25</v>
      </c>
      <c r="CP8">
        <f t="shared" si="14"/>
        <v>136</v>
      </c>
      <c r="CQ8">
        <f t="shared" si="15"/>
        <v>131</v>
      </c>
      <c r="CR8">
        <f t="shared" si="16"/>
        <v>47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 16384:16384" s="10" customFormat="1" ht="20" customHeight="1" x14ac:dyDescent="0.2">
      <c r="A9" s="9" t="s">
        <v>4</v>
      </c>
      <c r="B9" s="16">
        <v>495</v>
      </c>
      <c r="C9" s="16">
        <v>423</v>
      </c>
      <c r="D9" s="16">
        <v>610</v>
      </c>
      <c r="E9" s="16">
        <v>606</v>
      </c>
      <c r="F9" s="16">
        <v>613</v>
      </c>
      <c r="G9" s="16">
        <v>421</v>
      </c>
      <c r="H9" s="16">
        <v>576</v>
      </c>
      <c r="I9" s="16">
        <v>600</v>
      </c>
      <c r="J9" s="16">
        <v>468</v>
      </c>
      <c r="K9" s="16">
        <v>376</v>
      </c>
      <c r="L9" s="16">
        <v>286</v>
      </c>
      <c r="M9" s="16">
        <v>411</v>
      </c>
      <c r="N9" s="16">
        <v>307</v>
      </c>
      <c r="O9" s="16">
        <v>457</v>
      </c>
      <c r="P9" s="16">
        <v>376</v>
      </c>
      <c r="Q9" s="16">
        <v>393</v>
      </c>
      <c r="R9" s="16">
        <v>442</v>
      </c>
      <c r="S9" s="16"/>
      <c r="T9" s="16"/>
      <c r="U9" s="17">
        <v>458</v>
      </c>
      <c r="V9" s="17"/>
      <c r="W9" s="17">
        <v>477</v>
      </c>
      <c r="X9" s="17">
        <v>382</v>
      </c>
      <c r="Y9" s="17">
        <v>596</v>
      </c>
      <c r="Z9" s="17">
        <v>673</v>
      </c>
      <c r="AA9" s="17">
        <v>534</v>
      </c>
      <c r="AB9" s="17">
        <v>441</v>
      </c>
      <c r="AC9" s="17">
        <v>418</v>
      </c>
      <c r="AD9" s="112">
        <v>629</v>
      </c>
      <c r="AE9" s="10">
        <v>508</v>
      </c>
      <c r="AF9" s="112">
        <v>530</v>
      </c>
      <c r="AG9" s="112">
        <f>14+39+57+38+49+5+32+54+35+56+14</f>
        <v>393</v>
      </c>
      <c r="AH9" s="112">
        <f>(2+2)+(1+1+4)+(2+1+2+2+1+2+12+1+5+3+4+2+2+2+4+1+4+1)+(2+2+1+2+5+2+1+1+2+1+2+4)+(2+1+2+1+1+2+1+2+5+1+1+1+1+1+1+1+1+2)+(2+1+3+2+2+2+1+1+2+2+1+2+1+2+4+1+2+2+2+1)+(1+2+1+1+1+2+2+7+2+2+2+3+1+1+5+2+5+1+3+2)+(1+5+2+1+2+2+4+1+1+1+1+3+2+7+1+1+1+1+2+2)+(2+3+2+1+2+1+1+4+4+2+3+2+2+2+2+2+2+2+2+1)+(1+3+1+1+1+3+3+2+2+2+1+1+1+1+4+1+1+1)+(2+1+2+3+2+1+2+1+2+1+3+2+1+3+3+2+2+2+2)+(1+1+2+1+2+1+4+4+2+3+2+2+3+2+2+6+2+3)+(2+2+2+2+3+2+8+2+6+2+2+5+5+2+2+2+2+2)+(6+3+3+1+1+4+3+1+1+2+1+3+2+2+3+4+2+2)+(2+2+4+2+13+12+3+2+2+2+2+3+5+2+3+1+2+3+1)+(5+1+1+3+3+1+2+2+1+1+2+11+2)+(2+2+2)</f>
        <v>592</v>
      </c>
      <c r="AI9" s="112">
        <f>(2+2+2+1+1+2+1+1+3+1+2)+(1+1+1+3+1+1+2+1+1+2+1+1+1+2+2+1+2+2+3+5)+(2+1+3+1+2+2+2+2+1+5+3+1+1+4+2+2+3+1)+(3+2+2+2+1+1+2+2+5+1+2+3+1+1+2+6+3+2+9+7)+(2+3+2+2+2+2+2+1+1+2+4+2+1+2+2+1+1+2+3+1)+(1+2+1+2+2+2+2+2+1+2+2+4+1+1+2+2+2+1+2)+(2+2+6+1+1+2+3+4+2+3+3+1+3+7+1+1+15+2)+(4+2+2+3+2+1+3+1+2+1+1+4+1+1+1+1+4+1+2+3)+(2+2+3+2+2+2+2+2+2+2+3+3+2+2+2+1+2+4+2)+(2+4+1+10+1+2+2+8+2+1+2+1+2+1+2+2)+(4+1)</f>
        <v>408</v>
      </c>
      <c r="AJ9" s="199">
        <f>SUM(2+3+1+1+2+3+1+1+1+1+2+5+4+1+2+1+1+3+1+1+1+2+3+3+2+1+1+2+2+2+1+2+2+3+1+1+1+2+2+2+2+3+6+3+1+1+1+4+2+1+4+7+2+1+2+2+2+1+2+1+5+1+2+2+2+1+2+5+4+11+5+1+4+2+1+1+2+2+2+2+2+11+3+2+1+5+2+2+1+2+1+2+2+1+3+1+1+2+2+4+1+1+4+2+3+1+2+3+2+6+2+2+2+3+2+4+5+4+5+2+2+2+2+1+1+2+1+1+10+4+1+2+1+2+2+2+2+4+2+3+3+2+4+4+2+3+5+9+4+1+1+5+2+4+3+2+4+2+1+1+2+2+2+2+1+3+1+4+3+2+3+3+2+2+1+1+5+1+1+3+1+1+3+2+5+4+2+2+2+1+2+1+5+3+5+1)</f>
        <v>477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518.79999999999995</v>
      </c>
      <c r="BK9">
        <f t="shared" si="0"/>
        <v>497.9</v>
      </c>
      <c r="BL9">
        <f t="shared" si="2"/>
        <v>496.7</v>
      </c>
      <c r="BM9">
        <f t="shared" si="0"/>
        <v>466.4</v>
      </c>
      <c r="BN9">
        <f t="shared" si="0"/>
        <v>451.5</v>
      </c>
      <c r="BO9">
        <f t="shared" si="0"/>
        <v>427.8</v>
      </c>
      <c r="BP9">
        <f t="shared" si="0"/>
        <v>425</v>
      </c>
      <c r="BQ9">
        <f t="shared" si="0"/>
        <v>411.6</v>
      </c>
      <c r="BR9">
        <f t="shared" si="3"/>
        <v>390.66666666666669</v>
      </c>
      <c r="BS9">
        <f t="shared" si="3"/>
        <v>381</v>
      </c>
      <c r="BT9">
        <f t="shared" si="0"/>
        <v>391.25</v>
      </c>
      <c r="BU9">
        <f t="shared" si="0"/>
        <v>406.28571428571428</v>
      </c>
      <c r="BV9">
        <f t="shared" si="0"/>
        <v>415.71428571428572</v>
      </c>
      <c r="BW9">
        <f t="shared" si="0"/>
        <v>426.42857142857144</v>
      </c>
      <c r="BX9">
        <f t="shared" si="0"/>
        <v>446.28571428571428</v>
      </c>
      <c r="BY9">
        <f t="shared" si="0"/>
        <v>488.71428571428572</v>
      </c>
      <c r="BZ9">
        <f t="shared" si="0"/>
        <v>508.85714285714283</v>
      </c>
      <c r="CA9">
        <f t="shared" si="0"/>
        <v>508.71428571428572</v>
      </c>
      <c r="CB9">
        <f t="shared" si="0"/>
        <v>497.375</v>
      </c>
      <c r="CC9">
        <f t="shared" si="0"/>
        <v>512</v>
      </c>
      <c r="CD9">
        <f t="shared" si="0"/>
        <v>517.55555555555554</v>
      </c>
      <c r="CE9">
        <f t="shared" si="0"/>
        <v>518.79999999999995</v>
      </c>
      <c r="CF9">
        <f t="shared" si="4"/>
        <v>510.4</v>
      </c>
      <c r="CG9">
        <f t="shared" si="5"/>
        <v>531.4</v>
      </c>
      <c r="CH9">
        <f t="shared" si="6"/>
        <v>512.6</v>
      </c>
      <c r="CI9">
        <f t="shared" si="7"/>
        <v>493</v>
      </c>
      <c r="CJ9">
        <f t="shared" si="8"/>
        <v>488.44444444444446</v>
      </c>
      <c r="CK9">
        <f t="shared" si="9"/>
        <v>494.375</v>
      </c>
      <c r="CL9">
        <f t="shared" si="10"/>
        <v>505.28571428571428</v>
      </c>
      <c r="CM9">
        <f t="shared" si="11"/>
        <v>484.66666666666669</v>
      </c>
      <c r="CN9">
        <f t="shared" si="12"/>
        <v>480</v>
      </c>
      <c r="CO9">
        <f t="shared" si="13"/>
        <v>467.5</v>
      </c>
      <c r="CP9">
        <f t="shared" si="14"/>
        <v>492.33333333333331</v>
      </c>
      <c r="CQ9">
        <f t="shared" si="15"/>
        <v>442.5</v>
      </c>
      <c r="CR9">
        <f t="shared" si="16"/>
        <v>477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 16384:16384" ht="20" customHeight="1" x14ac:dyDescent="0.2">
      <c r="A10" s="7" t="s">
        <v>5</v>
      </c>
      <c r="B10" s="14">
        <v>456</v>
      </c>
      <c r="C10" s="14">
        <v>297</v>
      </c>
      <c r="D10" s="14">
        <v>370</v>
      </c>
      <c r="E10" s="14">
        <v>364</v>
      </c>
      <c r="F10" s="14">
        <v>383</v>
      </c>
      <c r="G10" s="14">
        <v>427</v>
      </c>
      <c r="H10" s="14">
        <v>395</v>
      </c>
      <c r="I10" s="14">
        <v>331</v>
      </c>
      <c r="J10" s="14">
        <v>399</v>
      </c>
      <c r="K10" s="14">
        <v>394</v>
      </c>
      <c r="L10" s="14">
        <v>385</v>
      </c>
      <c r="M10" s="14">
        <v>395</v>
      </c>
      <c r="N10" s="14">
        <v>255</v>
      </c>
      <c r="O10" s="14">
        <v>449</v>
      </c>
      <c r="P10" s="14">
        <v>428</v>
      </c>
      <c r="Q10" s="14">
        <v>263</v>
      </c>
      <c r="R10" s="14">
        <v>471</v>
      </c>
      <c r="S10" s="14"/>
      <c r="T10" s="14"/>
      <c r="U10" s="15">
        <v>238</v>
      </c>
      <c r="V10" s="15"/>
      <c r="W10" s="15">
        <v>480</v>
      </c>
      <c r="X10" s="15">
        <v>624</v>
      </c>
      <c r="Y10" s="15">
        <v>695</v>
      </c>
      <c r="Z10" s="15">
        <v>554</v>
      </c>
      <c r="AA10" s="15">
        <v>840</v>
      </c>
      <c r="AB10" s="15">
        <v>686</v>
      </c>
      <c r="AC10" s="15">
        <v>751</v>
      </c>
      <c r="AD10" s="111">
        <v>952</v>
      </c>
      <c r="AE10" s="124">
        <v>545</v>
      </c>
      <c r="AF10" s="160">
        <v>596</v>
      </c>
      <c r="AG10" s="160">
        <f>48+24+59+50+42+46+6+51+43+54+1</f>
        <v>424</v>
      </c>
      <c r="AH10" s="160">
        <f>(2)+(1+1+1+1+2+1+1+1+2+2+1+1+1+2+5+3)+(1+2+3+5+1+2+1+3+1+19+1+2+1+2+1+4+1+2+3+3)+(2+2+2+1+1+2+2+2+9+2+1+2+1+1+2+3+1+2+3)+(1+6+1+2+7+2+2+2+2+2+2+1+3+2+3+4+2+2+1+2)+(1+1+2+1+4+4+2+2+2+2+1+1+1+2+2+1+4+2+1+3)+(1+2+2+2+1+2+2+5+1+2+1+2+4)+(7+2+1+2+2+1+2+3+6+2+2+2+4+1+1+5+9)+(4+3+1+1+3+2+1+1+2+3+2+4+3+3+17+2+4+2+2)+(1+1+4+1+1+2+2+1+2+1+1+3+1+1+3+3)+(3+2+2+2+1+2+5+5+2+1+3+1+1+1+3+1+1+2+4)+(2+1+2+1+2+3+2+4+2+1+2+2+2+2+1)+(1+2+1+2+7+1+2)</f>
        <v>469</v>
      </c>
      <c r="AI10" s="160">
        <f>(4+1+1+1+2+2+1+1+2+2+2+9+4+5+2+2+5+5+1)+(2+2+1+2+2+1+3+4+1+4+1+2+2+2+1+2+1)+(2+2+2+2+1+1+1+1+1+1+1+2+2+1+1+2+2+2+1)+(2+2+1+1+1+2+4+4+2+1+1+1+4+2+1+1+1+2+4+1)+(2+2+1+2+1+5+5+2+4+3+4+1+1+2+1+1+2+2+2+1)+(2+2+1+2+1+3+1+2+2+2+3+1+3+1+2+2+2+2+1+2)+(1+2+1+1+2+4+1+2+2+2+2+1+2+2+2+4+1+1+1+2)+(2+4+2+2+1+2+1+3+1+2+2+1+1+2+2+2+2+2)+(4+1+2+1+2+2+1+3+2+2+2+2+1+2+2+1+2+1+1)+(2+4+1+2+2+2+2+1+2+4+6+2+5+3+3+3+3+2+2+2)+(2+2+1+1+1+3+1+1+1+1+2+2+2+2+1+1+3+2)+(1+3+6+2+1+3+2+1+2+4+1+1+1+2+2+2+4+3+1)+(2+1+3+3)</f>
        <v>469</v>
      </c>
      <c r="AJ10" s="124">
        <f>SUM(2+2+1+13+6+1+2+1+3+1+1+1+3+2+2+2+2+2+1+1+1+2+1+9+2+2+1+1+1+2+2+2+4+1+1+2+2+2+1+2+1+3+1+6+1+4+2+6+2+2+2+3+6+2+4+2+2+2+2+12+2+5+2+2+2+1+2+2+2+1+1+2+1+2+2+1+1+1+1+1+1+5+1+1+1+1+1+1+1+3+2+1+9+1+3+2+1+1+1+2+1+4+1+1+3+2+2+2+3+2+1+1+2+2+3+4+1+2+1+1+3+5+2+2+2+2+2+2+2+1+1+1+2+2+3+1+3+3+1+2+1+1+9+2+2+2+5+2+4+6+2+2+2+2+3+1+2+5+4+4+2+3+3+1+4+4+2+1+5+2+2+3+2+2+3+3+3+1+1+2+1+4+1+3+3+2+5+10+3+2+5+2+1+2+1+1+7+7+2+4+1+2+3+2+1+2+2+14+2+3+2+1+2+1+2+2+1+2+2)</f>
        <v>532</v>
      </c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381.6</v>
      </c>
      <c r="BK10">
        <f t="shared" si="0"/>
        <v>374.5</v>
      </c>
      <c r="BL10">
        <f t="shared" si="2"/>
        <v>384.3</v>
      </c>
      <c r="BM10">
        <f t="shared" si="0"/>
        <v>372.8</v>
      </c>
      <c r="BN10">
        <f t="shared" si="0"/>
        <v>381.3</v>
      </c>
      <c r="BO10">
        <f t="shared" si="0"/>
        <v>385.8</v>
      </c>
      <c r="BP10">
        <f t="shared" si="0"/>
        <v>369.4</v>
      </c>
      <c r="BQ10">
        <f t="shared" si="0"/>
        <v>377</v>
      </c>
      <c r="BR10">
        <f t="shared" si="3"/>
        <v>382.11111111111109</v>
      </c>
      <c r="BS10">
        <f t="shared" si="3"/>
        <v>380</v>
      </c>
      <c r="BT10">
        <f t="shared" si="0"/>
        <v>360.5</v>
      </c>
      <c r="BU10">
        <f t="shared" si="0"/>
        <v>357</v>
      </c>
      <c r="BV10">
        <f t="shared" si="0"/>
        <v>369.14285714285717</v>
      </c>
      <c r="BW10">
        <f t="shared" si="0"/>
        <v>421.85714285714283</v>
      </c>
      <c r="BX10">
        <f t="shared" si="0"/>
        <v>457</v>
      </c>
      <c r="BY10">
        <f t="shared" si="0"/>
        <v>475</v>
      </c>
      <c r="BZ10">
        <f t="shared" si="0"/>
        <v>557.42857142857144</v>
      </c>
      <c r="CA10">
        <f t="shared" si="0"/>
        <v>588.14285714285711</v>
      </c>
      <c r="CB10">
        <f t="shared" si="0"/>
        <v>608.5</v>
      </c>
      <c r="CC10">
        <f t="shared" si="0"/>
        <v>646.66666666666663</v>
      </c>
      <c r="CD10">
        <f t="shared" si="0"/>
        <v>680.77777777777783</v>
      </c>
      <c r="CE10">
        <f t="shared" si="0"/>
        <v>672.3</v>
      </c>
      <c r="CF10">
        <f t="shared" si="4"/>
        <v>666.7</v>
      </c>
      <c r="CG10">
        <f t="shared" si="5"/>
        <v>651.20000000000005</v>
      </c>
      <c r="CH10">
        <f t="shared" si="6"/>
        <v>628.6</v>
      </c>
      <c r="CI10">
        <f t="shared" si="7"/>
        <v>626.4</v>
      </c>
      <c r="CJ10">
        <f t="shared" si="8"/>
        <v>602.66666666666663</v>
      </c>
      <c r="CK10">
        <f t="shared" si="9"/>
        <v>592.25</v>
      </c>
      <c r="CL10">
        <f t="shared" si="10"/>
        <v>569.57142857142856</v>
      </c>
      <c r="CM10">
        <f t="shared" si="11"/>
        <v>505.83333333333331</v>
      </c>
      <c r="CN10">
        <f t="shared" si="12"/>
        <v>498</v>
      </c>
      <c r="CO10">
        <f t="shared" si="13"/>
        <v>473.5</v>
      </c>
      <c r="CP10">
        <f t="shared" si="14"/>
        <v>490</v>
      </c>
      <c r="CQ10">
        <f t="shared" si="15"/>
        <v>500.5</v>
      </c>
      <c r="CR10">
        <f t="shared" si="16"/>
        <v>532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 16384:16384" s="10" customFormat="1" ht="20" customHeight="1" x14ac:dyDescent="0.2">
      <c r="A11" s="9" t="s">
        <v>6</v>
      </c>
      <c r="B11" s="16">
        <v>384</v>
      </c>
      <c r="C11" s="16">
        <v>534</v>
      </c>
      <c r="D11" s="16">
        <v>570</v>
      </c>
      <c r="E11" s="16">
        <v>254</v>
      </c>
      <c r="F11" s="16">
        <v>528</v>
      </c>
      <c r="G11" s="16">
        <v>565</v>
      </c>
      <c r="H11" s="16">
        <v>568</v>
      </c>
      <c r="I11" s="16">
        <v>466</v>
      </c>
      <c r="J11" s="16">
        <v>332</v>
      </c>
      <c r="K11" s="16">
        <v>358</v>
      </c>
      <c r="L11" s="16">
        <v>485</v>
      </c>
      <c r="M11" s="16">
        <v>579</v>
      </c>
      <c r="N11" s="16">
        <v>459</v>
      </c>
      <c r="O11" s="16">
        <v>609</v>
      </c>
      <c r="P11" s="16">
        <v>488</v>
      </c>
      <c r="Q11" s="16">
        <v>505</v>
      </c>
      <c r="R11" s="16">
        <v>503</v>
      </c>
      <c r="S11" s="16"/>
      <c r="T11" s="16"/>
      <c r="U11" s="17">
        <v>567</v>
      </c>
      <c r="V11" s="17"/>
      <c r="W11" s="17">
        <v>592</v>
      </c>
      <c r="X11" s="17">
        <v>600</v>
      </c>
      <c r="Y11" s="17">
        <v>809</v>
      </c>
      <c r="Z11" s="17">
        <v>988</v>
      </c>
      <c r="AA11" s="17">
        <v>833</v>
      </c>
      <c r="AB11" s="17">
        <v>1046</v>
      </c>
      <c r="AC11" s="17">
        <v>783</v>
      </c>
      <c r="AD11" s="112">
        <v>771</v>
      </c>
      <c r="AE11" s="10">
        <v>542</v>
      </c>
      <c r="AF11" s="112">
        <v>609</v>
      </c>
      <c r="AG11" s="112">
        <f>9+4+26+49+13+10+44+7+23+39+48+44+32+56+40+25</f>
        <v>469</v>
      </c>
      <c r="AH11" s="112">
        <f>(5+3)+(1+2)+(2)+(2+1+2+2+1+2+7+4+1+2+12)+(2+2+1+2+2+3+5+2+2+1+2+2+2+3+5+3+2+2+1)+(4+1+2+8+2+2+6+1+4+2+2+3+1+2+1+2+2+2+8+1)+(3+1+4+2+1+4+2+6+2+4+1+6+5+2+2+2)+(2+1+3+1+1+4+1+2+4+2+1+1+3+1+3+1+10+3+1)+(1+1+1+2+1+2+1+3+2+4+2+1+1+1+1+2+2+1+2+2)+(4+2+10+3+2+2+5+1+1+1+3+1+1+1+3+2+1+2+2)+(3+2+2+6+2+1+1+2+1+1+3+2+2+2+2+1+1+1+2)+(9+1+2+1+2+2+2+4+4+2+2+1+2+2+1+2+3+2)+(1+2+2+3+2+3+1+1+2+2+2+3+2+4+1+1+2+3+1)+(2+2+1+1+5+4+2+1+2+2+2+1+2+2+2+17+3+3+2)+(2+2+2+1+1+2+3+2+2+3+2+2+3+1+2+2+2+2)+(4+8+1+2+1+1+2+2+2+3+2+1+2+2+2+3+2+1+1)+(1+4+1+1+2+2)</f>
        <v>585</v>
      </c>
      <c r="AI11" s="112">
        <f>(2+2+1+3+3+2+2+2+1+1+3+2+1+2)+(2+1+1+3+3+3+2+4+1+1+11+1+2+2+1+2+1+2)+(2+3+3+2+2+2+4+4+2+5+3+1+5+1+2+2+2+5+2+2)+(2+1+1+2+1+5+2+5+2+2+1+1+2+1+2+3+2+1+4)+(1+4+1+3+1+4+1+3+4+1+5+2+1+2+4+2+1+1+2+2)+(11+2+2+11+2+3+3+2+2+1+11+2+2+2+1+2+1+1+1+2)+(2+3+10+2+1+4+7+1+3+3+1+5+1)+(6+2+2+1+1+2+2+1+2+3+2+1+2+1+1+2+1+3+3)+(3+2+1+3+2+4+1+1+4+4+1+1+1+2+1+2+2+4)+(2+1+2+1+1+2+2+1+2+3+2+7+2+4+4+2+2+2+1)+(2+2+1+3+2+2+2+1+1+2+1+15+1+3+2+1+2+1+2+2)+(1+1+1+1+1+1+1+1+1+2+1+1+1+2+10+2+2+2)+(1)+(1+2)</f>
        <v>520</v>
      </c>
      <c r="AJ11" s="10">
        <f>SUM(3+2+2+1+2+2+2+2+1+2+1+1+5+2+2+2+1+1+1+3+2+2+1+3+2+4+1+1+2+1+5+1+2+7+7+2+2+2+4+2+2+2+2+1+3+1+1+12+1+1+2+4+2+2+2+4+5+2+2+1+1+1+4+2+2+3+1+1+1+4+1+2+3+12+4+5+3+2+1+2+2+2+1+2+4+3+2+2+6+6+6+64+2+4+3+1+2+2+1+2+1+6+2+4+6+2+1+2+2+2+2+2+2+6+1+1+1+1+2+3+2+1+1+3+2+4+2+4+1+2+5+5+2+1+3+2+10+2+4+3+6+2+3+5+2+1+21+2+1+1+2+1+1+1+2+2+2+3+1+2+2+1+4+1+1+1+1+1+1+2+1+1+4+2+11+2+3+1+4+3+1+3+4+3+3+2+1+5+3+1+2+8+2+2+1+1+1+3+3+1+2+2+1+1)</f>
        <v>587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455.9</v>
      </c>
      <c r="BK11">
        <f t="shared" si="0"/>
        <v>466</v>
      </c>
      <c r="BL11">
        <f t="shared" si="2"/>
        <v>470.5</v>
      </c>
      <c r="BM11">
        <f t="shared" si="0"/>
        <v>459.4</v>
      </c>
      <c r="BN11">
        <f t="shared" si="0"/>
        <v>494.9</v>
      </c>
      <c r="BO11">
        <f t="shared" si="0"/>
        <v>490.9</v>
      </c>
      <c r="BP11">
        <f t="shared" si="0"/>
        <v>484.9</v>
      </c>
      <c r="BQ11">
        <f t="shared" si="0"/>
        <v>478.4</v>
      </c>
      <c r="BR11">
        <f t="shared" si="3"/>
        <v>479.77777777777777</v>
      </c>
      <c r="BS11">
        <f t="shared" si="3"/>
        <v>498.25</v>
      </c>
      <c r="BT11">
        <f t="shared" si="0"/>
        <v>524.375</v>
      </c>
      <c r="BU11">
        <f t="shared" si="0"/>
        <v>530</v>
      </c>
      <c r="BV11">
        <f t="shared" si="0"/>
        <v>531.85714285714289</v>
      </c>
      <c r="BW11">
        <f t="shared" si="0"/>
        <v>552</v>
      </c>
      <c r="BX11">
        <f t="shared" si="0"/>
        <v>580.57142857142856</v>
      </c>
      <c r="BY11">
        <f t="shared" si="0"/>
        <v>652</v>
      </c>
      <c r="BZ11">
        <f t="shared" si="0"/>
        <v>698.85714285714289</v>
      </c>
      <c r="CA11">
        <f t="shared" si="0"/>
        <v>776.42857142857144</v>
      </c>
      <c r="CB11">
        <f t="shared" si="0"/>
        <v>777.25</v>
      </c>
      <c r="CC11">
        <f t="shared" si="0"/>
        <v>776.55555555555554</v>
      </c>
      <c r="CD11">
        <f t="shared" si="0"/>
        <v>773.77777777777783</v>
      </c>
      <c r="CE11">
        <f t="shared" si="0"/>
        <v>757.3</v>
      </c>
      <c r="CF11">
        <f t="shared" si="4"/>
        <v>745</v>
      </c>
      <c r="CG11">
        <f t="shared" si="5"/>
        <v>743.5</v>
      </c>
      <c r="CH11">
        <f t="shared" si="6"/>
        <v>714.6</v>
      </c>
      <c r="CI11">
        <f t="shared" si="7"/>
        <v>674.5</v>
      </c>
      <c r="CJ11">
        <f t="shared" si="8"/>
        <v>656.88888888888891</v>
      </c>
      <c r="CK11">
        <f t="shared" si="9"/>
        <v>608.25</v>
      </c>
      <c r="CL11">
        <f t="shared" si="10"/>
        <v>583.28571428571433</v>
      </c>
      <c r="CM11">
        <f t="shared" si="11"/>
        <v>552</v>
      </c>
      <c r="CN11">
        <f t="shared" si="12"/>
        <v>554</v>
      </c>
      <c r="CO11">
        <f t="shared" si="13"/>
        <v>540.25</v>
      </c>
      <c r="CP11">
        <f t="shared" si="14"/>
        <v>564</v>
      </c>
      <c r="CQ11">
        <f t="shared" si="15"/>
        <v>553.5</v>
      </c>
      <c r="CR11">
        <f t="shared" si="16"/>
        <v>587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 16384:16384" ht="20" customHeight="1" x14ac:dyDescent="0.2">
      <c r="A12" s="7" t="s">
        <v>7</v>
      </c>
      <c r="B12" s="14">
        <v>472</v>
      </c>
      <c r="C12" s="14">
        <v>532</v>
      </c>
      <c r="D12" s="14">
        <v>587</v>
      </c>
      <c r="E12" s="14">
        <v>543</v>
      </c>
      <c r="F12" s="14">
        <v>739</v>
      </c>
      <c r="G12" s="14">
        <v>672</v>
      </c>
      <c r="H12" s="14">
        <v>660</v>
      </c>
      <c r="I12" s="14">
        <v>614</v>
      </c>
      <c r="J12" s="14">
        <v>506</v>
      </c>
      <c r="K12" s="14">
        <v>222</v>
      </c>
      <c r="L12" s="14">
        <v>325</v>
      </c>
      <c r="M12" s="14">
        <v>533</v>
      </c>
      <c r="N12" s="14">
        <v>510</v>
      </c>
      <c r="O12" s="14">
        <v>427</v>
      </c>
      <c r="P12" s="14">
        <v>452</v>
      </c>
      <c r="Q12" s="14">
        <v>427</v>
      </c>
      <c r="R12" s="14">
        <v>693</v>
      </c>
      <c r="S12" s="14"/>
      <c r="T12" s="14"/>
      <c r="U12" s="15">
        <v>660</v>
      </c>
      <c r="V12" s="15"/>
      <c r="W12" s="15">
        <v>486</v>
      </c>
      <c r="X12" s="15">
        <v>626</v>
      </c>
      <c r="Y12" s="15">
        <v>745</v>
      </c>
      <c r="Z12" s="15">
        <v>656</v>
      </c>
      <c r="AA12" s="15">
        <v>813</v>
      </c>
      <c r="AB12" s="15">
        <v>901</v>
      </c>
      <c r="AC12" s="15">
        <v>541</v>
      </c>
      <c r="AD12" s="111">
        <v>745</v>
      </c>
      <c r="AE12" s="124">
        <v>937</v>
      </c>
      <c r="AF12" s="160">
        <v>513</v>
      </c>
      <c r="AG12" s="160">
        <f>11+37+33+49+46+37+44+30+37+36+45+49+42+24</f>
        <v>520</v>
      </c>
      <c r="AH12" s="160">
        <f>(2+1+1+1+1+1)+(2+1+1+1+1+1+2+1+2+2+3+1+2+2+2+2+1+1+3+4)+(4+2+2+2+1+1+2+2+2+2+2+1+2+2+4+2+2+2+4)+(1+2+1+4+3+2+2+19+1+1+1+1+1+4+7+4+5+2)+(2+1+1+1+2+1+4+2+3+2+5+1+2+4+4+2+4+2+4+2)+(2+2+2+2+3+2+2+1+2+2+1+1+2+1+3+5+3+3+2)+(3+1+4+1+1+1+5+2+4+1+2+2+1+1)+(2+1+1+1+1+1+1+1+2+4+1+2+2+1+18+2+2+4+3+2)+(2+3+2+1+5+1+2+1+2+1+1+2+2+1+1+2+1+2+1)+(1+1+1+4+2+2+2+1+4+1+1+1+3+2+2+2+6+3+2+2)+(2+2+1+2+1+2+2+1+2+2+3+2+2+1+2+2+2+2+1)+(3+3+2+1+12+2+2+2+2+1+4+2+2+1+2+4+2+2+2)+(2+2+1+2+1+2+2+2+1+2+1+1+2+1+1+1+2+1+2)</f>
        <v>505</v>
      </c>
      <c r="AI12" s="160">
        <f>(1+1+2+1+5+4+2+2+3+3+2+2+8+1+1+1+2+1+4+2)+(4+5+3+2+1+2+1+1+3+1+6+9+1+1+3+2+2+1+2)+(4+1+2+1+1+1+2+4+1+1+2+2+1+4+2+1+3+3+3+4)+(4+8+2+5+1+2+2+1+2+1+1+2+3+1+2+2)+(2+2+2+1+6+1+1+2+1+1+2+1+1+1+2+2+1+3+9+2)+(4+2+2+4+4+1+1+2+2+1+2+1+1+5+1+1+2+2+2)+(3+2+2+1+1+3+1+1+1+1+2+1+1+1+2+1+2+2+2+1)+(3+2+1+2+2+3+2+4+2+3+2+2+4+3+1+1)+(2+6+2+3+1+3+1+2+1+2+2+1+1+1+5+2+2+2)+(1+2+1+2+1+1+1+1+10+8+1+2+1+3+2+3)+(3+2+3+1+2+2+4)+(2)</f>
        <v>429</v>
      </c>
      <c r="AJ12" s="124">
        <f>SUM(8+1+3+2+1+2+2+2+1+2+1+2+2+2+2+3+2+7+5+11+1+2+2+4+2+1+3+1+4+2+1+1+1+4+3+2+2+2+1+2+7+3+1+1+3+2+1+3+5+1+2+3+4+1+1+2+2+1+2+2+2+1+1+3+1+1+5+1+2+1+1+2+2+3+1+2+2+2+4+1+1+2+2+5+2+2+2+1+4+2+2+2+4+3+9+1+2+2+1+1+1+4+1+1+2+1+2+3+4+2+1+1+1+1+3+1+2+1+6+3+4+1+2+5+2+2+9+2+2+1+20+2+2+2+1+2+1+2+1+1+1+2+16+2+2+1+3+2+2+1+2+2+2+1+4+2+2+5+1+2+2+2+2+2+1+1+2+12+3+2+2+2+2+2+2+1+4+4+1+1+1+6+1+2+3+1+2+2+2+1+2+1+1+4+1+2+1+1+2+2+3+2+1+2+2+4+3+3+25+2+2+2+2+3+3+1+2+3+2+3+2+4+1+14+2+4+1+1+1+1+11+1+2+1+4+4+2+2+2+2+1+4+2+5+2+2+2+2+1+1+1+4+2+8+2+1+1+2+5+2+1+2+2+2+1+2+1+2+2+2+2+3+3+2+2+5+3+1+5+2+1+2+3+1+1+1+1+3+2+2+4+4+3+2+3+3+2+1)</f>
        <v>751</v>
      </c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554.70000000000005</v>
      </c>
      <c r="BK12">
        <f t="shared" si="0"/>
        <v>540</v>
      </c>
      <c r="BL12">
        <f t="shared" si="2"/>
        <v>540.1</v>
      </c>
      <c r="BM12">
        <f t="shared" si="0"/>
        <v>532.4</v>
      </c>
      <c r="BN12">
        <f t="shared" si="0"/>
        <v>520.79999999999995</v>
      </c>
      <c r="BO12">
        <f t="shared" si="0"/>
        <v>492.1</v>
      </c>
      <c r="BP12">
        <f t="shared" si="0"/>
        <v>467.6</v>
      </c>
      <c r="BQ12">
        <f t="shared" si="0"/>
        <v>470.9</v>
      </c>
      <c r="BR12">
        <f t="shared" si="3"/>
        <v>455</v>
      </c>
      <c r="BS12">
        <f t="shared" si="3"/>
        <v>448.625</v>
      </c>
      <c r="BT12">
        <f t="shared" si="0"/>
        <v>503.375</v>
      </c>
      <c r="BU12">
        <f t="shared" si="0"/>
        <v>528.85714285714289</v>
      </c>
      <c r="BV12">
        <f t="shared" si="0"/>
        <v>522.14285714285711</v>
      </c>
      <c r="BW12">
        <f t="shared" si="0"/>
        <v>538.71428571428567</v>
      </c>
      <c r="BX12">
        <f t="shared" si="0"/>
        <v>584.14285714285711</v>
      </c>
      <c r="BY12">
        <f t="shared" si="0"/>
        <v>613.28571428571433</v>
      </c>
      <c r="BZ12">
        <f t="shared" si="0"/>
        <v>668.42857142857144</v>
      </c>
      <c r="CA12">
        <f t="shared" si="0"/>
        <v>698.14285714285711</v>
      </c>
      <c r="CB12">
        <f t="shared" si="0"/>
        <v>678.5</v>
      </c>
      <c r="CC12">
        <f t="shared" si="0"/>
        <v>685.88888888888891</v>
      </c>
      <c r="CD12">
        <f t="shared" si="0"/>
        <v>716.66666666666663</v>
      </c>
      <c r="CE12">
        <f t="shared" si="0"/>
        <v>696.3</v>
      </c>
      <c r="CF12">
        <f t="shared" si="4"/>
        <v>699.7</v>
      </c>
      <c r="CG12">
        <f t="shared" si="5"/>
        <v>687.6</v>
      </c>
      <c r="CH12">
        <f t="shared" si="6"/>
        <v>656</v>
      </c>
      <c r="CI12">
        <f t="shared" si="7"/>
        <v>665.5</v>
      </c>
      <c r="CJ12">
        <f t="shared" si="8"/>
        <v>649.11111111111109</v>
      </c>
      <c r="CK12">
        <f t="shared" si="9"/>
        <v>617.625</v>
      </c>
      <c r="CL12">
        <f t="shared" si="10"/>
        <v>628.57142857142856</v>
      </c>
      <c r="CM12">
        <f t="shared" si="11"/>
        <v>609.16666666666663</v>
      </c>
      <c r="CN12">
        <f t="shared" si="12"/>
        <v>543.6</v>
      </c>
      <c r="CO12">
        <f t="shared" si="13"/>
        <v>551.25</v>
      </c>
      <c r="CP12">
        <f t="shared" si="14"/>
        <v>561.66666666666663</v>
      </c>
      <c r="CQ12">
        <f t="shared" si="15"/>
        <v>590</v>
      </c>
      <c r="CR12">
        <f t="shared" si="16"/>
        <v>751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 16384:16384" s="10" customFormat="1" ht="20" customHeight="1" x14ac:dyDescent="0.2">
      <c r="A13" s="9" t="s">
        <v>8</v>
      </c>
      <c r="B13" s="16">
        <v>194</v>
      </c>
      <c r="C13" s="16">
        <v>411</v>
      </c>
      <c r="D13" s="16">
        <v>399</v>
      </c>
      <c r="E13" s="16">
        <v>478</v>
      </c>
      <c r="F13" s="16">
        <v>425</v>
      </c>
      <c r="G13" s="16">
        <v>372</v>
      </c>
      <c r="H13" s="16">
        <v>287</v>
      </c>
      <c r="I13" s="16">
        <v>514</v>
      </c>
      <c r="J13" s="16">
        <v>506</v>
      </c>
      <c r="K13" s="16">
        <v>311</v>
      </c>
      <c r="L13" s="16">
        <v>527</v>
      </c>
      <c r="M13" s="16">
        <v>474</v>
      </c>
      <c r="N13" s="16">
        <v>334</v>
      </c>
      <c r="O13" s="16">
        <v>387</v>
      </c>
      <c r="P13" s="16">
        <v>389</v>
      </c>
      <c r="Q13" s="16">
        <v>317</v>
      </c>
      <c r="R13" s="16">
        <v>542</v>
      </c>
      <c r="S13" s="16"/>
      <c r="T13" s="16"/>
      <c r="U13" s="17">
        <v>495</v>
      </c>
      <c r="V13" s="17"/>
      <c r="W13" s="17">
        <v>478</v>
      </c>
      <c r="X13" s="17">
        <v>570</v>
      </c>
      <c r="Y13" s="17">
        <v>579</v>
      </c>
      <c r="Z13" s="17">
        <v>710</v>
      </c>
      <c r="AA13" s="17">
        <v>655</v>
      </c>
      <c r="AB13" s="17">
        <v>800</v>
      </c>
      <c r="AC13" s="17">
        <v>747</v>
      </c>
      <c r="AD13" s="112">
        <v>653</v>
      </c>
      <c r="AE13" s="10">
        <v>813</v>
      </c>
      <c r="AF13" s="112">
        <v>621</v>
      </c>
      <c r="AG13" s="112">
        <f>16+58+44+49+40+41+46+33+42+39+29+2</f>
        <v>439</v>
      </c>
      <c r="AH13" s="112">
        <f>(2+3+2+5+1+2+2+4+2+1+1+3+1+1+1+1+2+2+1+3)+(2+1+2+2+2+1+1+2+2+3+3+6+1+4+1+2+2+2+2)+(2+7+1+2+1+1+3+3+1+2+3+1+2+2+3+1+2+1)+(2+4+1+1+1+1+2+1+2+1+1+4+3+2+4+2+2+2+2)+(5+1+1+1+1+1+1+2+1+2+2+1+1+1+2+3+2)+(4+1+4+1+2+3+5+1+1+3+1+3+2+2+1+2+1+1+1)+(2+1+1+2+2+3+1+3+2+4+2+3+3+2+2+3+4+2+2+2)+(7+2+2+1+1+2+2+1+4+2+8+1+1+2+1+1+1+2+2+2)+(2+1+2+1+5+2+1+2+1+2+5+1+2+1+1+6+1+1)+(1+2+5+2+1+2+2+2+1+2+2+1+1+1+1+2+1+1+2+1)+(2+1+1+4+2+1+1+1+4+2+2+1+1+1+1)</f>
        <v>410</v>
      </c>
      <c r="AI13" s="112">
        <f>(3+1)+(2+4+2+2+1+1+1+5+4+3+2+1+1)+(4+2+2+2+2+2+2+1+5+1+1+3+2+2+2+4+2+3+2+2)+(2+1+2+2+1+1+2+2+1+2+3+5+6+1+4+6+5)+(1+2+1+1+3+2+2+1+2+2+1+1+1+1+1+2+2+2+2+1)+(2+2+2+2+1+1+1+2+2+2+2+2+2+2+3+2+1+2+5+2)+(1+4+2+2+1+5+1+2+12+2+1+12+2+2+2+1+1+2+2+1)+(1+3+2+2+1+2+1+1)+(1+1+1+3+1+2+1+1+1+2+1+1+4+1+1+2+1+10)+(2+1+1+2+2+2+4+4+2+3+2+2+2+4+2)+(1)+(2+2+9+2+2+2+2+2+1+2)+(2+1+3+2+6+5+5+5+5+5+2+2)+(1+1+2+1+2)</f>
        <v>414</v>
      </c>
      <c r="AJ13" s="10">
        <f>SUM(2+2+3+2+2+4+1+2+2+2+2+7+2+1+1+2+1+2+2+1+2+1+2+3+2+1+2+3+2+1+4+5+1+1+2+2+2+4+2+2+1+2+2+2+2+1+9+2+2+1+2+2+1+2+1+1+3+3+1+2+1+1+1+1+1+2+2+2+2+1+1+1+2+2+2+2+3+2+2+2+2+1+2+4+1+1+1+1+3+1+2+1+3+1+1+2+2+2+1+1+1+1+2+1+2+2+2+4+2+1+2+5+2+3+1+1+1+2+2+4+3+1+1+2+2+1+1+1+2+2+4+2+2+1+1+1+8+10+5+1+2+2+1+2+1+8+1+4+4+1+3+4+2+2+3+2+3+1+1+1+2+1+1+21+2+1+1+3+1+2+1+1+1+2+3+2+1+7+2+2+5+2+4+2+3+4+1+1+2+4+4+2+2+1+1+2+5+2+4+1+1+2+2+2+1+6+2+1+1+3+2+1+1+1+2+1+1+2+2+2+2+1+4+2+5+3+3+1+2+1+2)</f>
        <v>506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389.7</v>
      </c>
      <c r="BK13">
        <f t="shared" si="0"/>
        <v>423</v>
      </c>
      <c r="BL13">
        <f t="shared" si="2"/>
        <v>429.3</v>
      </c>
      <c r="BM13">
        <f t="shared" si="0"/>
        <v>422.8</v>
      </c>
      <c r="BN13">
        <f t="shared" si="0"/>
        <v>413.7</v>
      </c>
      <c r="BO13">
        <f t="shared" si="0"/>
        <v>410.1</v>
      </c>
      <c r="BP13">
        <f t="shared" si="0"/>
        <v>404.6</v>
      </c>
      <c r="BQ13">
        <f t="shared" si="0"/>
        <v>430.1</v>
      </c>
      <c r="BR13">
        <f t="shared" si="3"/>
        <v>420.77777777777777</v>
      </c>
      <c r="BS13">
        <f t="shared" si="3"/>
        <v>410.125</v>
      </c>
      <c r="BT13">
        <f t="shared" si="0"/>
        <v>433.125</v>
      </c>
      <c r="BU13">
        <f t="shared" si="0"/>
        <v>419.71428571428572</v>
      </c>
      <c r="BV13">
        <f t="shared" si="0"/>
        <v>420.28571428571428</v>
      </c>
      <c r="BW13">
        <f t="shared" si="0"/>
        <v>454</v>
      </c>
      <c r="BX13">
        <f t="shared" si="0"/>
        <v>481.42857142857144</v>
      </c>
      <c r="BY13">
        <f t="shared" si="0"/>
        <v>527.28571428571433</v>
      </c>
      <c r="BZ13">
        <f t="shared" si="0"/>
        <v>575.57142857142856</v>
      </c>
      <c r="CA13">
        <f t="shared" si="0"/>
        <v>612.42857142857144</v>
      </c>
      <c r="CB13">
        <f t="shared" si="0"/>
        <v>629.25</v>
      </c>
      <c r="CC13">
        <f t="shared" si="0"/>
        <v>631.88888888888891</v>
      </c>
      <c r="CD13">
        <f t="shared" si="0"/>
        <v>667.22222222222217</v>
      </c>
      <c r="CE13">
        <f t="shared" si="0"/>
        <v>662.6</v>
      </c>
      <c r="CF13">
        <f t="shared" si="4"/>
        <v>658.7</v>
      </c>
      <c r="CG13">
        <f t="shared" si="5"/>
        <v>642.70000000000005</v>
      </c>
      <c r="CH13">
        <f t="shared" si="6"/>
        <v>626.20000000000005</v>
      </c>
      <c r="CI13">
        <f t="shared" si="7"/>
        <v>605.79999999999995</v>
      </c>
      <c r="CJ13">
        <f t="shared" si="8"/>
        <v>600.33333333333337</v>
      </c>
      <c r="CK13">
        <f t="shared" si="9"/>
        <v>575.375</v>
      </c>
      <c r="CL13">
        <f t="shared" si="10"/>
        <v>550.85714285714289</v>
      </c>
      <c r="CM13">
        <f t="shared" si="11"/>
        <v>533.83333333333337</v>
      </c>
      <c r="CN13">
        <f t="shared" si="12"/>
        <v>478</v>
      </c>
      <c r="CO13">
        <f t="shared" si="13"/>
        <v>442.25</v>
      </c>
      <c r="CP13">
        <f t="shared" si="14"/>
        <v>443.33333333333331</v>
      </c>
      <c r="CQ13">
        <f t="shared" si="15"/>
        <v>460</v>
      </c>
      <c r="CR13">
        <f t="shared" si="16"/>
        <v>506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 16384:16384" ht="20" customHeight="1" x14ac:dyDescent="0.2">
      <c r="A14" s="7" t="s">
        <v>9</v>
      </c>
      <c r="B14" s="14">
        <v>446</v>
      </c>
      <c r="C14" s="14">
        <v>444</v>
      </c>
      <c r="D14" s="14">
        <v>502</v>
      </c>
      <c r="E14" s="14">
        <v>775</v>
      </c>
      <c r="F14" s="14">
        <v>374</v>
      </c>
      <c r="G14" s="14">
        <v>528</v>
      </c>
      <c r="H14" s="14">
        <v>664</v>
      </c>
      <c r="I14" s="14">
        <v>608</v>
      </c>
      <c r="J14" s="14">
        <v>452</v>
      </c>
      <c r="K14" s="14">
        <v>542</v>
      </c>
      <c r="L14" s="14">
        <v>470</v>
      </c>
      <c r="M14" s="14">
        <v>286</v>
      </c>
      <c r="N14" s="14">
        <v>529</v>
      </c>
      <c r="O14" s="14">
        <v>479</v>
      </c>
      <c r="P14" s="14">
        <v>374</v>
      </c>
      <c r="Q14" s="14">
        <v>397</v>
      </c>
      <c r="R14" s="14">
        <v>440</v>
      </c>
      <c r="S14" s="14"/>
      <c r="T14" s="14"/>
      <c r="U14" s="15">
        <v>601</v>
      </c>
      <c r="V14" s="15"/>
      <c r="W14" s="15">
        <v>312</v>
      </c>
      <c r="X14" s="15">
        <v>477</v>
      </c>
      <c r="Y14" s="15">
        <v>657</v>
      </c>
      <c r="Z14" s="15">
        <v>625</v>
      </c>
      <c r="AA14" s="15">
        <v>673</v>
      </c>
      <c r="AB14" s="15">
        <v>767</v>
      </c>
      <c r="AC14" s="15">
        <v>558</v>
      </c>
      <c r="AD14" s="111">
        <v>689</v>
      </c>
      <c r="AE14" s="124">
        <v>1099</v>
      </c>
      <c r="AF14" s="160">
        <v>528</v>
      </c>
      <c r="AG14" s="160">
        <f>39+29+87+39+37+31+33+39+29+14+34+56+52+44+42+33</f>
        <v>638</v>
      </c>
      <c r="AH14" s="160">
        <f>(2)+(2+2+9+2+1+2+2+1+1+2+2+2+4+2+1+1+1+4+2)+(2+1+2+3+1+1+2+1+2+1+1+2+2+2+6+2+2+1+1)+(1+1+2+1+2+2+2+2+7+3+4+2+4+6+2+2+2+2+1+2)+(2+5+1+2+5+1+2+2+1+2+1+1+4+10+1+1)+(2+1+1+2+3+1+3+3+2+7+2+1+1+2+1+3)+(5+1+1+1+1+1+2+2+2+3+3+2+2+2+2+3+1+1)+(1+2+2+3+1+1+4+1+2+2+1+2+2+1+2)+(1+1+1+1+2+3+2+2+2+3+4+2+1+4+5+2+1+2+4+3)+(2+1+1+1+2+2+3+1+2+3+1+3+1+1+1+2+2+2)+(1+1+1+1+2+1+3+3+2+2+2+3+4+10+2+1+3+2+2+2)+(2+3+10+2+2+2+2+3+2+4+1+2+2+1)</f>
        <v>431</v>
      </c>
      <c r="AI14" s="200">
        <f>(1+2+2+1+1+1+1+1+1)+(4+2+2)+(5+1+1+2+1+2+3+5+2+4+2)+(2+2+1+1+1+3+3+2+9+2+1+1+6+1+1+1+2+2+2+3+2+2+3+2+3+2)+(1+1+2+1)+(1)+(2)+(2+1+1+2)+(3+3)+(1)+(2+1)+(3+2+2+2+1+5+6+3)+(2+2+1+11+1+3+1+2+2+2+2+3+1+2+2+5+4+1)+(2+3+3+3)+(2+1+4+1+2+2)+(1+2+1+2)+(2+1+1+1)+(3+1+5+2+1+1+2+2+1+6+2+5+5+5+5)+(2+2+2+7+1+1+2+6+2+2+2+1+1+2+4+1+4+2+1+5+4+2+1+2+1+1+1+6+1+4+2+5+1+1+2+2+9+6)+(1)+(2+2+1)+(2+1+1)+(2)+(1+1+1)+(1+2+2+2+3+2+2+2)+(2+1+1+2+2+10+1+3+2+1+2+1+2+3+2+1+3+2+1+4+2+1+1+2+2+4+1+2)+(2+1+9+1+3+4+2+1+2+2+3+1+1+1+2+3+2)+(3+2+1+2+1)+(1+1)+(2+1+2)+(2)+(2+1+2+1+1)+(2+1)+(2+2)+(1+1+1+1+2)+(1+2)+(1+2+2+2+2+2+1+4+4)+(2+2+2+3+1+1+9+9+8)+(1+1+2+3+1+1+2+2+7+2+3)</f>
        <v>638</v>
      </c>
      <c r="AJ14" s="124">
        <f>SUM(3+1+11+1+4+2+1+1+2+2+2+2+1+2+1+2+4+1+2+6+1+1+2+2+2+1+1+3+2+1+1+1+1+1+1+4+22+9+3+3+1+1+3+1+2+3+2+7+2+2+4+2+2+1+2+2+2+2+2+2+1+2+2+2+1+1+3+1+2+2+2+3+1+2+2+2+4+4+1+1+1+1+2+4+1+1+2+2+1+3+1+2+1+2+2+2+1+1+1+1+2+2+1+1+1+2+1+2+2+5+1+1+6+1+1+2+1+2+2+1+1+3+2+2+3+1+2+4+2+1+2+2+1+1+1+1+2+2+4+2+2+4+3+2+2+2+2+1+2+2+2+2+3+2+2+2+3+4+1+1+1+2+2+1+4+1+1+1+2+1+4+1+2+2+4+2+1+2+1+2+2+7+7+2+1+3+1+2+1+3+2+2+2+4+2+2+2+2+2+1+2+3+2+2+2+2+2+1+2+2+1+1+2+1+2+2+1+1+2+2+2+2+2+1+5+1+2+1+2+4+3+1+1+2+2+1+1+5+1+1+2+1+1+1+2+4+2+2+1+11+2+2+4+2+2+3+2+3+2+7+2+2+7+4+3+2+2)</f>
        <v>589</v>
      </c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533.5</v>
      </c>
      <c r="BK14">
        <f t="shared" si="0"/>
        <v>535.9</v>
      </c>
      <c r="BL14">
        <f t="shared" si="2"/>
        <v>520.1</v>
      </c>
      <c r="BM14">
        <f t="shared" si="0"/>
        <v>522.79999999999995</v>
      </c>
      <c r="BN14">
        <f t="shared" si="0"/>
        <v>493.2</v>
      </c>
      <c r="BO14">
        <f t="shared" si="0"/>
        <v>493.2</v>
      </c>
      <c r="BP14">
        <f t="shared" si="0"/>
        <v>480.1</v>
      </c>
      <c r="BQ14">
        <f t="shared" si="0"/>
        <v>457.7</v>
      </c>
      <c r="BR14">
        <f t="shared" si="3"/>
        <v>441</v>
      </c>
      <c r="BS14">
        <f t="shared" si="3"/>
        <v>439.625</v>
      </c>
      <c r="BT14">
        <f t="shared" si="0"/>
        <v>447</v>
      </c>
      <c r="BU14">
        <f t="shared" si="0"/>
        <v>443.71428571428572</v>
      </c>
      <c r="BV14">
        <f t="shared" si="0"/>
        <v>447.42857142857144</v>
      </c>
      <c r="BW14">
        <f t="shared" si="0"/>
        <v>440</v>
      </c>
      <c r="BX14">
        <f t="shared" si="0"/>
        <v>465.42857142857144</v>
      </c>
      <c r="BY14">
        <f t="shared" si="0"/>
        <v>501.28571428571428</v>
      </c>
      <c r="BZ14">
        <f t="shared" si="0"/>
        <v>540.71428571428567</v>
      </c>
      <c r="CA14">
        <f t="shared" si="0"/>
        <v>587.42857142857144</v>
      </c>
      <c r="CB14">
        <f t="shared" si="0"/>
        <v>583.75</v>
      </c>
      <c r="CC14">
        <f t="shared" si="0"/>
        <v>595.44444444444446</v>
      </c>
      <c r="CD14">
        <f t="shared" si="0"/>
        <v>650.77777777777783</v>
      </c>
      <c r="CE14">
        <f t="shared" si="0"/>
        <v>638.5</v>
      </c>
      <c r="CF14">
        <f t="shared" si="4"/>
        <v>671.1</v>
      </c>
      <c r="CG14">
        <f t="shared" si="5"/>
        <v>666.5</v>
      </c>
      <c r="CH14">
        <f t="shared" si="6"/>
        <v>664.6</v>
      </c>
      <c r="CI14">
        <f t="shared" si="7"/>
        <v>661</v>
      </c>
      <c r="CJ14">
        <f t="shared" si="8"/>
        <v>659.66666666666663</v>
      </c>
      <c r="CK14">
        <f t="shared" si="9"/>
        <v>646.25</v>
      </c>
      <c r="CL14">
        <f t="shared" si="10"/>
        <v>658.85714285714289</v>
      </c>
      <c r="CM14">
        <f t="shared" si="11"/>
        <v>653.83333333333337</v>
      </c>
      <c r="CN14">
        <f t="shared" si="12"/>
        <v>564.79999999999995</v>
      </c>
      <c r="CO14">
        <f t="shared" si="13"/>
        <v>574</v>
      </c>
      <c r="CP14">
        <f t="shared" si="14"/>
        <v>552.66666666666663</v>
      </c>
      <c r="CQ14">
        <f t="shared" si="15"/>
        <v>613.5</v>
      </c>
      <c r="CR14">
        <f t="shared" si="16"/>
        <v>589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 16384:16384" s="10" customFormat="1" ht="20" customHeight="1" x14ac:dyDescent="0.2">
      <c r="A15" s="9" t="s">
        <v>10</v>
      </c>
      <c r="B15" s="16">
        <v>146</v>
      </c>
      <c r="C15" s="16">
        <v>155</v>
      </c>
      <c r="D15" s="16">
        <v>187</v>
      </c>
      <c r="E15" s="16">
        <v>227</v>
      </c>
      <c r="F15" s="16">
        <v>177</v>
      </c>
      <c r="G15" s="16">
        <v>218</v>
      </c>
      <c r="H15" s="16">
        <v>135</v>
      </c>
      <c r="I15" s="16">
        <v>220</v>
      </c>
      <c r="J15" s="16">
        <v>177</v>
      </c>
      <c r="K15" s="16">
        <v>196</v>
      </c>
      <c r="L15" s="16">
        <v>259</v>
      </c>
      <c r="M15" s="16">
        <v>155</v>
      </c>
      <c r="N15" s="16">
        <v>314</v>
      </c>
      <c r="O15" s="16">
        <v>185</v>
      </c>
      <c r="P15" s="16">
        <v>206</v>
      </c>
      <c r="Q15" s="16">
        <v>179</v>
      </c>
      <c r="R15" s="16">
        <v>210</v>
      </c>
      <c r="S15" s="16"/>
      <c r="T15" s="16"/>
      <c r="U15" s="17">
        <v>125</v>
      </c>
      <c r="V15" s="17"/>
      <c r="W15" s="17">
        <v>186</v>
      </c>
      <c r="X15" s="17">
        <v>201</v>
      </c>
      <c r="Y15" s="17">
        <v>189</v>
      </c>
      <c r="Z15" s="17">
        <v>280</v>
      </c>
      <c r="AA15" s="17">
        <v>291</v>
      </c>
      <c r="AB15" s="17">
        <v>303</v>
      </c>
      <c r="AC15" s="17">
        <v>179</v>
      </c>
      <c r="AD15" s="112">
        <v>278</v>
      </c>
      <c r="AE15" s="10">
        <v>452</v>
      </c>
      <c r="AF15" s="112">
        <v>227</v>
      </c>
      <c r="AG15" s="112">
        <f>9+(1+1+2+2+2+2+3+2+2+2+2+1+7+4+2+1+2+4+2+1)+(1+2+1+2+1+2+1+2)+(2+2+2+1+2+1+2+3+2+2+1+2+1+4+1)+(1+2+1+5+2+1+2+2+2+3+1+1+1+1+4+1+1)+(1+2+1+2+2+2+2+1+3+3+3+1+2+1+2+1+1+6+2)+(2+3+1+2+2)</f>
        <v>173</v>
      </c>
      <c r="AH15" s="112">
        <f>(4+2)+(3+1+3+2+4+2+2+1+1+1+3+2+2+1+8+2+2+2+1)+(1+1+2+1+2+2+3+2+4+2+2+5+1+5+1+2+2+1+1)+(2+2+2+2+2+5+2+2+3+1+2+2+2+2+2+2+3+2+2+1)+(2+2+1+10+1+2+7+4+2+5+1+1+5+2+1+1+1+10)+(2+2+2+4+2+2+1+2+1+1+1+2+3+1+2+1+2+4+1)+(1+9+1+9+4+3+2+5+2+2+1+3+2+2+1+1+2+1)+(1+5)</f>
        <v>283</v>
      </c>
      <c r="AI15" s="199">
        <f>(3+2)+(2+1)+(5+1+2+2+1+2+2+11+1+1+2+7+1+2+4+3)+(1+2+2+2+1+4)+(1)+(3+2+2+2)+(2+2+2+2+2)+(5+3)+(5+1+1+2+2)+(3+11)+(1)+(4+2+4+2+1+2+4)+(1+1+3+1)+(4+1)+(6+2+2+2+2+3)+(2+1+1+1+2)+(1+2)+(4+2+3+4+2+1+1)+(2+1+2+4+2+4+2+2)+(1+2)+(3+3)+(4+2+4+1)+(4+1+16+3+2)+(6+1+1)+(1+1+3)+(1+2+2)+(2+5+1+3)</f>
        <v>289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183.8</v>
      </c>
      <c r="BK15">
        <f t="shared" si="0"/>
        <v>195.1</v>
      </c>
      <c r="BL15">
        <f t="shared" si="2"/>
        <v>195.1</v>
      </c>
      <c r="BM15">
        <f t="shared" si="0"/>
        <v>207.8</v>
      </c>
      <c r="BN15">
        <f t="shared" si="0"/>
        <v>203.6</v>
      </c>
      <c r="BO15">
        <f t="shared" si="0"/>
        <v>206.5</v>
      </c>
      <c r="BP15">
        <f t="shared" si="0"/>
        <v>202.6</v>
      </c>
      <c r="BQ15">
        <f t="shared" si="0"/>
        <v>210.1</v>
      </c>
      <c r="BR15">
        <f t="shared" si="3"/>
        <v>209</v>
      </c>
      <c r="BS15">
        <f t="shared" si="3"/>
        <v>213</v>
      </c>
      <c r="BT15">
        <f t="shared" si="0"/>
        <v>204.125</v>
      </c>
      <c r="BU15">
        <f t="shared" si="0"/>
        <v>196.28571428571428</v>
      </c>
      <c r="BV15">
        <f t="shared" si="0"/>
        <v>200.71428571428572</v>
      </c>
      <c r="BW15">
        <f t="shared" si="0"/>
        <v>184.57142857142858</v>
      </c>
      <c r="BX15">
        <f t="shared" si="0"/>
        <v>185.14285714285714</v>
      </c>
      <c r="BY15">
        <f t="shared" si="0"/>
        <v>195.71428571428572</v>
      </c>
      <c r="BZ15">
        <f t="shared" si="0"/>
        <v>211.71428571428572</v>
      </c>
      <c r="CA15">
        <f t="shared" si="0"/>
        <v>225</v>
      </c>
      <c r="CB15">
        <f t="shared" si="0"/>
        <v>219.25</v>
      </c>
      <c r="CC15">
        <f t="shared" si="0"/>
        <v>225.77777777777777</v>
      </c>
      <c r="CD15">
        <f t="shared" si="0"/>
        <v>262.11111111111109</v>
      </c>
      <c r="CE15">
        <f t="shared" si="0"/>
        <v>258.60000000000002</v>
      </c>
      <c r="CF15">
        <f t="shared" si="4"/>
        <v>257.3</v>
      </c>
      <c r="CG15">
        <f t="shared" si="5"/>
        <v>265.5</v>
      </c>
      <c r="CH15">
        <f t="shared" si="6"/>
        <v>275.5</v>
      </c>
      <c r="CI15">
        <f t="shared" si="7"/>
        <v>275</v>
      </c>
      <c r="CJ15">
        <f t="shared" si="8"/>
        <v>273</v>
      </c>
      <c r="CK15">
        <f t="shared" si="9"/>
        <v>268.71428571428572</v>
      </c>
      <c r="CL15">
        <f t="shared" si="10"/>
        <v>283.66666666666669</v>
      </c>
      <c r="CM15">
        <f t="shared" si="11"/>
        <v>284.8</v>
      </c>
      <c r="CN15">
        <f t="shared" si="12"/>
        <v>243</v>
      </c>
      <c r="CO15">
        <f t="shared" si="13"/>
        <v>248.33333333333334</v>
      </c>
      <c r="CP15">
        <f t="shared" si="14"/>
        <v>286</v>
      </c>
      <c r="CQ15">
        <f t="shared" si="15"/>
        <v>289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 16384:16384" ht="20" customHeight="1" x14ac:dyDescent="0.2">
      <c r="A16" s="7" t="s">
        <v>11</v>
      </c>
      <c r="B16" s="14">
        <v>48</v>
      </c>
      <c r="C16" s="14">
        <v>62</v>
      </c>
      <c r="D16" s="14">
        <v>44</v>
      </c>
      <c r="E16" s="14">
        <v>105</v>
      </c>
      <c r="F16" s="14">
        <v>69</v>
      </c>
      <c r="G16" s="14">
        <v>75</v>
      </c>
      <c r="H16" s="14">
        <v>75</v>
      </c>
      <c r="I16" s="14">
        <v>61</v>
      </c>
      <c r="J16" s="14">
        <v>92</v>
      </c>
      <c r="K16" s="14">
        <v>53</v>
      </c>
      <c r="L16" s="14">
        <v>183</v>
      </c>
      <c r="M16" s="14">
        <v>63</v>
      </c>
      <c r="N16" s="14">
        <v>30</v>
      </c>
      <c r="O16" s="14">
        <v>70</v>
      </c>
      <c r="P16" s="14">
        <v>45</v>
      </c>
      <c r="Q16" s="14">
        <v>115</v>
      </c>
      <c r="R16" s="14">
        <v>82</v>
      </c>
      <c r="S16" s="14"/>
      <c r="T16" s="14"/>
      <c r="U16" s="15">
        <v>52</v>
      </c>
      <c r="V16" s="15"/>
      <c r="W16" s="15">
        <v>134</v>
      </c>
      <c r="X16" s="15">
        <v>90</v>
      </c>
      <c r="Y16" s="76">
        <v>82</v>
      </c>
      <c r="Z16" s="15">
        <v>195</v>
      </c>
      <c r="AA16" s="15">
        <v>122</v>
      </c>
      <c r="AB16" s="15">
        <v>122</v>
      </c>
      <c r="AC16" s="15">
        <v>1370</v>
      </c>
      <c r="AD16" s="111">
        <v>149</v>
      </c>
      <c r="AE16" s="124">
        <v>52</v>
      </c>
      <c r="AF16" s="160">
        <v>116</v>
      </c>
      <c r="AG16" s="160">
        <f>(1+1+2+1+1+2+1+1+2+3+1+3+1+4+1)+(3+2+2+1+2+4+2+1+1+2+1+4+1+1+2+1+2+8+2+2)+(1+3+3+1+1+3+2+2+3+2+2+2+1+1+1+1)</f>
        <v>98</v>
      </c>
      <c r="AH16" s="160">
        <f>(2)+(1+1+2+2+2+2+2+1+1+1+4+1+2+2+1+1+1+2+2+1)+(1+1+2+2+3+3+2+4+4+5+1+2+1+2+5+1+7+2+1)+(7+2+2+2+2+2+2+1+2)</f>
        <v>105</v>
      </c>
      <c r="AI16" s="160">
        <f>(2+1+6+2+2)+(2+2+2)+(2+1+2+1)+(4+4+4+4+2+2+3+2)+(3+2)+(1+2)+(6+7+2+2+1)+(1+2)+(1+1)+(1+2)+(1+1+2+1+2+1)+(2+1+1+1)+(3+2)+(4+2+1+1)+(2+2+1)</f>
        <v>115</v>
      </c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68.400000000000006</v>
      </c>
      <c r="BK16">
        <f t="shared" si="0"/>
        <v>81.900000000000006</v>
      </c>
      <c r="BL16">
        <f t="shared" si="2"/>
        <v>82</v>
      </c>
      <c r="BM16">
        <f t="shared" si="0"/>
        <v>80.599999999999994</v>
      </c>
      <c r="BN16">
        <f t="shared" si="0"/>
        <v>77.099999999999994</v>
      </c>
      <c r="BO16">
        <f t="shared" si="0"/>
        <v>74.7</v>
      </c>
      <c r="BP16">
        <f t="shared" si="0"/>
        <v>78.7</v>
      </c>
      <c r="BQ16">
        <f t="shared" si="0"/>
        <v>79.400000000000006</v>
      </c>
      <c r="BR16">
        <f t="shared" si="3"/>
        <v>81.444444444444443</v>
      </c>
      <c r="BS16">
        <f t="shared" si="3"/>
        <v>80.125</v>
      </c>
      <c r="BT16">
        <f t="shared" si="0"/>
        <v>80</v>
      </c>
      <c r="BU16">
        <f t="shared" si="0"/>
        <v>65.285714285714292</v>
      </c>
      <c r="BV16">
        <f t="shared" si="0"/>
        <v>75.428571428571431</v>
      </c>
      <c r="BW16">
        <f t="shared" si="0"/>
        <v>84</v>
      </c>
      <c r="BX16">
        <f t="shared" si="0"/>
        <v>85.714285714285708</v>
      </c>
      <c r="BY16">
        <f t="shared" si="0"/>
        <v>107.14285714285714</v>
      </c>
      <c r="BZ16">
        <f t="shared" si="0"/>
        <v>108.14285714285714</v>
      </c>
      <c r="CA16">
        <f t="shared" si="0"/>
        <v>113.85714285714286</v>
      </c>
      <c r="CB16">
        <f t="shared" si="0"/>
        <v>270.875</v>
      </c>
      <c r="CC16">
        <f t="shared" si="0"/>
        <v>257.33333333333331</v>
      </c>
      <c r="CD16">
        <f t="shared" si="0"/>
        <v>257.33333333333331</v>
      </c>
      <c r="CE16">
        <f t="shared" si="0"/>
        <v>243.2</v>
      </c>
      <c r="CF16">
        <f t="shared" si="4"/>
        <v>239.6</v>
      </c>
      <c r="CG16">
        <f t="shared" si="5"/>
        <v>241.1</v>
      </c>
      <c r="CH16">
        <f t="shared" si="6"/>
        <v>244.4</v>
      </c>
      <c r="CI16">
        <f t="shared" si="7"/>
        <v>249.88888888888889</v>
      </c>
      <c r="CJ16">
        <f t="shared" si="8"/>
        <v>265.875</v>
      </c>
      <c r="CK16">
        <f t="shared" si="9"/>
        <v>286.42857142857144</v>
      </c>
      <c r="CL16">
        <f t="shared" si="10"/>
        <v>105.83333333333333</v>
      </c>
      <c r="CM16">
        <f t="shared" si="11"/>
        <v>97.2</v>
      </c>
      <c r="CN16">
        <f t="shared" si="12"/>
        <v>108.5</v>
      </c>
      <c r="CO16">
        <f t="shared" si="13"/>
        <v>106</v>
      </c>
      <c r="CP16">
        <f t="shared" si="14"/>
        <v>110</v>
      </c>
      <c r="CQ16">
        <f t="shared" si="15"/>
        <v>115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65"/>
      <c r="AG17" s="165"/>
      <c r="AH17" s="165"/>
      <c r="AI17" s="165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3109</v>
      </c>
      <c r="C18" s="22">
        <f t="shared" ref="C18:AZ18" si="29">SUM(C5:C16)</f>
        <v>3243</v>
      </c>
      <c r="D18" s="22">
        <f t="shared" si="29"/>
        <v>3594</v>
      </c>
      <c r="E18" s="22">
        <f t="shared" si="29"/>
        <v>3684</v>
      </c>
      <c r="F18" s="22">
        <f t="shared" si="29"/>
        <v>3894</v>
      </c>
      <c r="G18" s="22">
        <f t="shared" si="29"/>
        <v>3625</v>
      </c>
      <c r="H18" s="22">
        <f t="shared" si="29"/>
        <v>3742</v>
      </c>
      <c r="I18" s="22">
        <f t="shared" si="29"/>
        <v>3991</v>
      </c>
      <c r="J18" s="22">
        <f t="shared" si="29"/>
        <v>3191</v>
      </c>
      <c r="K18" s="22">
        <f t="shared" si="29"/>
        <v>2823</v>
      </c>
      <c r="L18" s="22">
        <f t="shared" si="29"/>
        <v>3240</v>
      </c>
      <c r="M18" s="22">
        <f t="shared" si="29"/>
        <v>3456</v>
      </c>
      <c r="N18" s="22">
        <f t="shared" si="29"/>
        <v>3028</v>
      </c>
      <c r="O18" s="22">
        <f t="shared" si="29"/>
        <v>3522</v>
      </c>
      <c r="P18" s="22">
        <f t="shared" si="29"/>
        <v>3101</v>
      </c>
      <c r="Q18" s="22">
        <f t="shared" si="29"/>
        <v>3084</v>
      </c>
      <c r="R18" s="22">
        <f t="shared" si="29"/>
        <v>3692</v>
      </c>
      <c r="S18" s="22">
        <f t="shared" si="29"/>
        <v>0</v>
      </c>
      <c r="T18" s="22">
        <f t="shared" si="29"/>
        <v>0</v>
      </c>
      <c r="U18" s="22">
        <f t="shared" si="29"/>
        <v>3850</v>
      </c>
      <c r="V18" s="22">
        <f t="shared" si="29"/>
        <v>0</v>
      </c>
      <c r="W18" s="22">
        <f t="shared" si="29"/>
        <v>3944</v>
      </c>
      <c r="X18" s="22">
        <f t="shared" si="29"/>
        <v>4106</v>
      </c>
      <c r="Y18" s="22">
        <f t="shared" si="29"/>
        <v>4936</v>
      </c>
      <c r="Z18" s="22">
        <f t="shared" si="29"/>
        <v>5074</v>
      </c>
      <c r="AA18" s="22">
        <f t="shared" si="29"/>
        <v>5750</v>
      </c>
      <c r="AB18" s="22">
        <f t="shared" si="29"/>
        <v>5788</v>
      </c>
      <c r="AC18" s="22">
        <f t="shared" si="29"/>
        <v>5949</v>
      </c>
      <c r="AD18" s="22">
        <f t="shared" si="29"/>
        <v>5418</v>
      </c>
      <c r="AE18" s="163">
        <f t="shared" si="29"/>
        <v>5480</v>
      </c>
      <c r="AF18" s="22">
        <f t="shared" si="29"/>
        <v>4675</v>
      </c>
      <c r="AG18" s="22">
        <f t="shared" si="29"/>
        <v>3599</v>
      </c>
      <c r="AH18" s="22">
        <f t="shared" si="29"/>
        <v>3983</v>
      </c>
      <c r="AI18" s="22">
        <f t="shared" si="29"/>
        <v>3887</v>
      </c>
      <c r="AJ18" s="164">
        <f t="shared" si="29"/>
        <v>3773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Z18" s="25">
        <f>AVERAGE(R18:AA18)</f>
        <v>3135.2</v>
      </c>
      <c r="CA18" s="25">
        <f>AVERAGE(S18:AB18)</f>
        <v>3344.8</v>
      </c>
      <c r="CB18" s="25">
        <f>AVERAGE(T18:AC18)</f>
        <v>3939.7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transitionEvaluation="1" codeName="Sheet26">
    <tabColor theme="5"/>
  </sheetPr>
  <dimension ref="A1:DD192"/>
  <sheetViews>
    <sheetView defaultGridColor="0" colorId="22" zoomScale="70" zoomScaleNormal="70" workbookViewId="0">
      <pane xSplit="1" topLeftCell="W1" activePane="topRight" state="frozen"/>
      <selection activeCell="A2" sqref="A2"/>
      <selection pane="topRight" activeCell="AI12" sqref="AI12"/>
    </sheetView>
  </sheetViews>
  <sheetFormatPr baseColWidth="10" defaultColWidth="9.42578125" defaultRowHeight="20" customHeight="1" x14ac:dyDescent="0.2"/>
  <cols>
    <col min="1" max="1" width="50.140625" style="5" customWidth="1"/>
    <col min="2" max="22" width="5.7109375" style="5" hidden="1" customWidth="1"/>
    <col min="23" max="25" width="5.7109375" style="5" customWidth="1"/>
    <col min="26" max="26" width="1.7109375" style="5" customWidth="1"/>
    <col min="27" max="27" width="5.7109375" style="5" customWidth="1"/>
    <col min="28" max="28" width="6.85546875" style="5" customWidth="1"/>
    <col min="29" max="29" width="5.7109375" style="5" customWidth="1"/>
    <col min="30" max="30" width="9.42578125" style="5" customWidth="1"/>
    <col min="31" max="52" width="9.42578125" customWidth="1"/>
    <col min="53" max="74" width="9.42578125" style="5" customWidth="1"/>
    <col min="75" max="75" width="4.7109375" style="5" customWidth="1"/>
    <col min="76" max="76" width="9.42578125" style="5" customWidth="1"/>
    <col min="77" max="77" width="19.140625" style="5" customWidth="1"/>
    <col min="78" max="78" width="9.42578125" style="5" customWidth="1"/>
    <col min="79" max="80" width="16.5703125" style="5" customWidth="1"/>
    <col min="81" max="81" width="9.4257812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42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BA1" s="35"/>
      <c r="BE1" s="35"/>
    </row>
    <row r="2" spans="1:108" s="34" customFormat="1" ht="25" customHeight="1" x14ac:dyDescent="0.25">
      <c r="A2" s="36" t="s">
        <v>110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>
        <v>27</v>
      </c>
      <c r="C5" s="16">
        <v>40</v>
      </c>
      <c r="D5" s="16">
        <v>24</v>
      </c>
      <c r="E5" s="16">
        <v>5</v>
      </c>
      <c r="F5" s="16">
        <v>35</v>
      </c>
      <c r="G5" s="16">
        <v>6</v>
      </c>
      <c r="H5" s="16">
        <v>19</v>
      </c>
      <c r="I5" s="16">
        <v>14</v>
      </c>
      <c r="J5" s="16">
        <v>21</v>
      </c>
      <c r="K5" s="16">
        <v>37</v>
      </c>
      <c r="L5" s="16">
        <v>17</v>
      </c>
      <c r="M5" s="16">
        <v>16</v>
      </c>
      <c r="N5" s="16">
        <v>18</v>
      </c>
      <c r="O5" s="16">
        <v>7</v>
      </c>
      <c r="P5" s="16">
        <v>27</v>
      </c>
      <c r="Q5" s="16">
        <v>26</v>
      </c>
      <c r="R5" s="16">
        <v>27</v>
      </c>
      <c r="S5" s="16"/>
      <c r="T5" s="16"/>
      <c r="U5" s="17"/>
      <c r="V5" s="17"/>
      <c r="W5" s="17">
        <v>79</v>
      </c>
      <c r="X5" s="17">
        <v>21</v>
      </c>
      <c r="Y5" s="17">
        <v>23</v>
      </c>
      <c r="Z5" s="17">
        <v>28</v>
      </c>
      <c r="AA5" s="17">
        <v>47</v>
      </c>
      <c r="AB5" s="17">
        <v>79</v>
      </c>
      <c r="AC5" s="17">
        <v>12</v>
      </c>
      <c r="AD5" s="112">
        <v>21</v>
      </c>
      <c r="AE5" s="10">
        <v>24</v>
      </c>
      <c r="AF5" s="10">
        <v>23</v>
      </c>
      <c r="AG5" s="10">
        <f>1+2+1+1+1+1+1+1+1+3+2</f>
        <v>15</v>
      </c>
      <c r="AH5" s="10">
        <f>(3+1+1+2+2)+(2+1+1+2+1+2)</f>
        <v>18</v>
      </c>
      <c r="AI5" s="10">
        <f>(2+1+3+2+1+2+1+1)</f>
        <v>13</v>
      </c>
      <c r="AJ5" s="182">
        <f>(2+2)+(2)+(1+3)+(1)+(2+2)</f>
        <v>15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22.8</v>
      </c>
      <c r="BK5">
        <f t="shared" ref="BK5:DD16" si="0">AVERAGE(C5:L5)</f>
        <v>21.8</v>
      </c>
      <c r="BL5">
        <f>AVERAGE(D5:M5)</f>
        <v>19.399999999999999</v>
      </c>
      <c r="BM5">
        <f t="shared" si="0"/>
        <v>18.8</v>
      </c>
      <c r="BN5">
        <f t="shared" si="0"/>
        <v>19</v>
      </c>
      <c r="BO5">
        <f t="shared" si="0"/>
        <v>18.2</v>
      </c>
      <c r="BP5">
        <f t="shared" si="0"/>
        <v>20.2</v>
      </c>
      <c r="BQ5">
        <f t="shared" si="0"/>
        <v>21</v>
      </c>
      <c r="BR5">
        <f t="shared" si="0"/>
        <v>21.777777777777779</v>
      </c>
      <c r="BS5">
        <f t="shared" si="0"/>
        <v>21.875</v>
      </c>
      <c r="BT5">
        <f t="shared" si="0"/>
        <v>19.714285714285715</v>
      </c>
      <c r="BU5">
        <f t="shared" si="0"/>
        <v>20.166666666666668</v>
      </c>
      <c r="BV5">
        <f t="shared" si="0"/>
        <v>30.666666666666668</v>
      </c>
      <c r="BW5">
        <f t="shared" si="0"/>
        <v>31.166666666666668</v>
      </c>
      <c r="BX5">
        <f t="shared" si="0"/>
        <v>33.833333333333336</v>
      </c>
      <c r="BY5">
        <f t="shared" si="0"/>
        <v>34</v>
      </c>
      <c r="BZ5">
        <f t="shared" si="0"/>
        <v>37.5</v>
      </c>
      <c r="CA5">
        <f t="shared" si="0"/>
        <v>46.166666666666664</v>
      </c>
      <c r="CB5">
        <f t="shared" si="0"/>
        <v>41.285714285714285</v>
      </c>
      <c r="CC5">
        <f t="shared" si="0"/>
        <v>38.75</v>
      </c>
      <c r="CD5">
        <f t="shared" si="0"/>
        <v>37.111111111111114</v>
      </c>
      <c r="CE5">
        <f t="shared" si="0"/>
        <v>35.700000000000003</v>
      </c>
      <c r="CF5">
        <f t="shared" si="0"/>
        <v>29.3</v>
      </c>
      <c r="CG5">
        <f t="shared" si="0"/>
        <v>29</v>
      </c>
      <c r="CH5">
        <f t="shared" si="0"/>
        <v>28</v>
      </c>
      <c r="CI5">
        <f t="shared" si="0"/>
        <v>26.7</v>
      </c>
      <c r="CJ5">
        <f t="shared" si="0"/>
        <v>24.444444444444443</v>
      </c>
      <c r="CK5">
        <f t="shared" si="0"/>
        <v>17.625</v>
      </c>
      <c r="CL5">
        <f t="shared" si="0"/>
        <v>18.428571428571427</v>
      </c>
      <c r="CM5">
        <f t="shared" si="0"/>
        <v>18</v>
      </c>
      <c r="CN5">
        <f t="shared" si="0"/>
        <v>16.8</v>
      </c>
      <c r="CO5">
        <f t="shared" si="0"/>
        <v>15.25</v>
      </c>
      <c r="CP5">
        <f t="shared" si="0"/>
        <v>15.333333333333334</v>
      </c>
      <c r="CQ5">
        <f t="shared" si="0"/>
        <v>14</v>
      </c>
      <c r="CR5">
        <f t="shared" si="0"/>
        <v>15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38</v>
      </c>
      <c r="C6" s="14">
        <v>33</v>
      </c>
      <c r="D6" s="14">
        <v>20</v>
      </c>
      <c r="E6" s="14">
        <v>10</v>
      </c>
      <c r="F6" s="14">
        <v>33</v>
      </c>
      <c r="G6" s="14">
        <v>16</v>
      </c>
      <c r="H6" s="14">
        <v>26</v>
      </c>
      <c r="I6" s="14">
        <v>40</v>
      </c>
      <c r="J6" s="14">
        <v>27</v>
      </c>
      <c r="K6" s="14">
        <v>30</v>
      </c>
      <c r="L6" s="14">
        <v>14</v>
      </c>
      <c r="M6" s="14">
        <v>78</v>
      </c>
      <c r="N6" s="14">
        <v>22</v>
      </c>
      <c r="O6" s="14">
        <v>23</v>
      </c>
      <c r="P6" s="14">
        <v>12</v>
      </c>
      <c r="Q6" s="14">
        <v>18</v>
      </c>
      <c r="R6" s="14">
        <v>16</v>
      </c>
      <c r="S6" s="14"/>
      <c r="T6" s="14"/>
      <c r="U6" s="15"/>
      <c r="V6" s="15"/>
      <c r="W6" s="15">
        <v>34</v>
      </c>
      <c r="X6" s="15">
        <v>6</v>
      </c>
      <c r="Y6" s="15">
        <v>21</v>
      </c>
      <c r="Z6" s="15">
        <v>25</v>
      </c>
      <c r="AA6" s="15">
        <v>41</v>
      </c>
      <c r="AB6" s="15">
        <v>58</v>
      </c>
      <c r="AC6" s="15">
        <v>24</v>
      </c>
      <c r="AD6" s="111">
        <v>17</v>
      </c>
      <c r="AE6" s="124">
        <v>15</v>
      </c>
      <c r="AF6" s="124">
        <v>14</v>
      </c>
      <c r="AG6" s="124">
        <f>1+1+3+2+1+3+2+2+1+2+1+4</f>
        <v>23</v>
      </c>
      <c r="AH6" s="124">
        <f>(1+1+1+2+2+3+2+1+2+2+1)+(4+2+8+1+3+1+2+1)</f>
        <v>40</v>
      </c>
      <c r="AI6" s="124">
        <f>(2+2+1+3+2)+(4+2+1+1+3+1+1+1)</f>
        <v>24</v>
      </c>
      <c r="AJ6" s="124">
        <f>(1)+(1)+(1+1)+(1)+(1)+(11)+(2+2+1)+(3)+(2+3)</f>
        <v>30</v>
      </c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27.3</v>
      </c>
      <c r="BK6">
        <f t="shared" si="0"/>
        <v>24.9</v>
      </c>
      <c r="BL6">
        <f t="shared" ref="BL6:BL16" si="2">AVERAGE(D6:M6)</f>
        <v>29.4</v>
      </c>
      <c r="BM6">
        <f t="shared" si="0"/>
        <v>29.6</v>
      </c>
      <c r="BN6">
        <f t="shared" si="0"/>
        <v>30.9</v>
      </c>
      <c r="BO6">
        <f t="shared" si="0"/>
        <v>28.8</v>
      </c>
      <c r="BP6">
        <f t="shared" si="0"/>
        <v>29</v>
      </c>
      <c r="BQ6">
        <f t="shared" si="0"/>
        <v>28</v>
      </c>
      <c r="BR6">
        <f t="shared" ref="BR6:BS16" si="3">AVERAGE(J6:S6)</f>
        <v>26.666666666666668</v>
      </c>
      <c r="BS6">
        <f t="shared" si="3"/>
        <v>26.625</v>
      </c>
      <c r="BT6">
        <f t="shared" si="0"/>
        <v>26.142857142857142</v>
      </c>
      <c r="BU6">
        <f t="shared" si="0"/>
        <v>28.166666666666668</v>
      </c>
      <c r="BV6">
        <f t="shared" si="0"/>
        <v>20.833333333333332</v>
      </c>
      <c r="BW6">
        <f t="shared" si="0"/>
        <v>18.166666666666668</v>
      </c>
      <c r="BX6">
        <f t="shared" si="0"/>
        <v>17.833333333333332</v>
      </c>
      <c r="BY6">
        <f t="shared" si="0"/>
        <v>20</v>
      </c>
      <c r="BZ6">
        <f t="shared" si="0"/>
        <v>23.833333333333332</v>
      </c>
      <c r="CA6">
        <f t="shared" si="0"/>
        <v>30.833333333333332</v>
      </c>
      <c r="CB6">
        <f t="shared" si="0"/>
        <v>29.857142857142858</v>
      </c>
      <c r="CC6">
        <f t="shared" si="0"/>
        <v>28.25</v>
      </c>
      <c r="CD6">
        <f t="shared" si="0"/>
        <v>26.777777777777779</v>
      </c>
      <c r="CE6">
        <f t="shared" si="0"/>
        <v>25.5</v>
      </c>
      <c r="CF6">
        <f t="shared" ref="CF6:CF16" si="4">AVERAGE(X6:AG6)</f>
        <v>24.4</v>
      </c>
      <c r="CG6">
        <f t="shared" ref="CG6:CG16" si="5">AVERAGE(Y6:AH6)</f>
        <v>27.8</v>
      </c>
      <c r="CH6">
        <f t="shared" ref="CH6:CH16" si="6">AVERAGE(Z6:AI6)</f>
        <v>28.1</v>
      </c>
      <c r="CI6">
        <f t="shared" ref="CI6:CI16" si="7">AVERAGE(AA6:AJ6)</f>
        <v>28.6</v>
      </c>
      <c r="CJ6">
        <f t="shared" ref="CJ6:CJ16" si="8">AVERAGE(AB6:AK6)</f>
        <v>27.222222222222221</v>
      </c>
      <c r="CK6">
        <f t="shared" ref="CK6:CK16" si="9">AVERAGE(AC6:AL6)</f>
        <v>23.375</v>
      </c>
      <c r="CL6">
        <f t="shared" ref="CL6:CL16" si="10">AVERAGE(AD6:AM6)</f>
        <v>23.285714285714285</v>
      </c>
      <c r="CM6">
        <f t="shared" ref="CM6:CM16" si="11">AVERAGE(AE6:AN6)</f>
        <v>24.333333333333332</v>
      </c>
      <c r="CN6">
        <f t="shared" ref="CN6:CN16" si="12">AVERAGE(AF6:AO6)</f>
        <v>26.2</v>
      </c>
      <c r="CO6">
        <f t="shared" ref="CO6:CO16" si="13">AVERAGE(AG6:AP6)</f>
        <v>29.25</v>
      </c>
      <c r="CP6">
        <f t="shared" ref="CP6:CP16" si="14">AVERAGE(AH6:AQ6)</f>
        <v>31.333333333333332</v>
      </c>
      <c r="CQ6">
        <f t="shared" ref="CQ6:CQ16" si="15">AVERAGE(AI6:AR6)</f>
        <v>27</v>
      </c>
      <c r="CR6">
        <f t="shared" ref="CR6:CR16" si="16">AVERAGE(AJ6:AS6)</f>
        <v>30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67</v>
      </c>
      <c r="C7" s="16">
        <v>27</v>
      </c>
      <c r="D7" s="16">
        <v>14</v>
      </c>
      <c r="E7" s="16">
        <v>15</v>
      </c>
      <c r="F7" s="16">
        <v>65</v>
      </c>
      <c r="G7" s="16">
        <v>51</v>
      </c>
      <c r="H7" s="16">
        <v>40</v>
      </c>
      <c r="I7" s="16">
        <v>45</v>
      </c>
      <c r="J7" s="16">
        <v>40</v>
      </c>
      <c r="K7" s="16">
        <v>30</v>
      </c>
      <c r="L7" s="16">
        <v>22</v>
      </c>
      <c r="M7" s="16">
        <v>57</v>
      </c>
      <c r="N7" s="16">
        <v>31</v>
      </c>
      <c r="O7" s="16">
        <v>28</v>
      </c>
      <c r="P7" s="16">
        <v>16</v>
      </c>
      <c r="Q7" s="16">
        <v>30</v>
      </c>
      <c r="R7" s="16">
        <v>15</v>
      </c>
      <c r="S7" s="16"/>
      <c r="T7" s="16"/>
      <c r="U7" s="17"/>
      <c r="V7" s="17"/>
      <c r="W7" s="17">
        <v>72</v>
      </c>
      <c r="X7" s="17">
        <v>47</v>
      </c>
      <c r="Y7" s="17">
        <v>16</v>
      </c>
      <c r="Z7" s="17">
        <v>27</v>
      </c>
      <c r="AA7" s="17">
        <v>112</v>
      </c>
      <c r="AB7" s="17">
        <v>39</v>
      </c>
      <c r="AC7" s="17">
        <v>37</v>
      </c>
      <c r="AD7" s="112">
        <v>24</v>
      </c>
      <c r="AE7" s="10">
        <v>36</v>
      </c>
      <c r="AF7" s="10">
        <v>31</v>
      </c>
      <c r="AG7" s="10">
        <f>1+2+1+1+1+1+2+4+5</f>
        <v>18</v>
      </c>
      <c r="AH7" s="10">
        <f>(1+2+2+1+2+2+1+1+1)+(4+2)</f>
        <v>19</v>
      </c>
      <c r="AI7" s="10">
        <f>(1+2+1+2+2+1+1+1+3+2)+(1+2+1+1+2+1+2+2+2+1+1+2+2+4+2)</f>
        <v>42</v>
      </c>
      <c r="AJ7" s="182">
        <f>(1)+(1)+(1)+(1)+(1)+(2+2+2)+(2)+(1+11+4+2+1+1+2)+(2)+(2+2)</f>
        <v>41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39.4</v>
      </c>
      <c r="BK7">
        <f t="shared" si="0"/>
        <v>34.9</v>
      </c>
      <c r="BL7">
        <f t="shared" si="2"/>
        <v>37.9</v>
      </c>
      <c r="BM7">
        <f t="shared" si="0"/>
        <v>39.6</v>
      </c>
      <c r="BN7">
        <f t="shared" si="0"/>
        <v>40.9</v>
      </c>
      <c r="BO7">
        <f t="shared" si="0"/>
        <v>36</v>
      </c>
      <c r="BP7">
        <f t="shared" si="0"/>
        <v>33.9</v>
      </c>
      <c r="BQ7">
        <f t="shared" si="0"/>
        <v>31.4</v>
      </c>
      <c r="BR7">
        <f t="shared" si="3"/>
        <v>29.888888888888889</v>
      </c>
      <c r="BS7">
        <f t="shared" si="3"/>
        <v>28.625</v>
      </c>
      <c r="BT7">
        <f t="shared" si="0"/>
        <v>28.428571428571427</v>
      </c>
      <c r="BU7">
        <f t="shared" si="0"/>
        <v>29.5</v>
      </c>
      <c r="BV7">
        <f t="shared" si="0"/>
        <v>32</v>
      </c>
      <c r="BW7">
        <f t="shared" si="0"/>
        <v>34.666666666666664</v>
      </c>
      <c r="BX7">
        <f>AVERAGE(P7:Y7)</f>
        <v>32.666666666666664</v>
      </c>
      <c r="BY7">
        <f t="shared" si="0"/>
        <v>34.5</v>
      </c>
      <c r="BZ7">
        <f t="shared" si="0"/>
        <v>48.166666666666664</v>
      </c>
      <c r="CA7">
        <f t="shared" si="0"/>
        <v>52.166666666666664</v>
      </c>
      <c r="CB7">
        <f t="shared" si="0"/>
        <v>50</v>
      </c>
      <c r="CC7">
        <f t="shared" si="0"/>
        <v>46.75</v>
      </c>
      <c r="CD7">
        <f t="shared" si="0"/>
        <v>45.555555555555557</v>
      </c>
      <c r="CE7">
        <f>AVERAGE(W7:AF7)</f>
        <v>44.1</v>
      </c>
      <c r="CF7">
        <f t="shared" si="4"/>
        <v>38.700000000000003</v>
      </c>
      <c r="CG7">
        <f t="shared" si="5"/>
        <v>35.9</v>
      </c>
      <c r="CH7">
        <f t="shared" si="6"/>
        <v>38.5</v>
      </c>
      <c r="CI7">
        <f t="shared" si="7"/>
        <v>39.9</v>
      </c>
      <c r="CJ7">
        <f t="shared" si="8"/>
        <v>31.888888888888889</v>
      </c>
      <c r="CK7">
        <f t="shared" si="9"/>
        <v>31</v>
      </c>
      <c r="CL7">
        <f t="shared" si="10"/>
        <v>30.142857142857142</v>
      </c>
      <c r="CM7">
        <f t="shared" si="11"/>
        <v>31.166666666666668</v>
      </c>
      <c r="CN7">
        <f t="shared" si="12"/>
        <v>30.2</v>
      </c>
      <c r="CO7">
        <f t="shared" si="13"/>
        <v>30</v>
      </c>
      <c r="CP7">
        <f t="shared" si="14"/>
        <v>34</v>
      </c>
      <c r="CQ7">
        <f t="shared" si="15"/>
        <v>41.5</v>
      </c>
      <c r="CR7">
        <f t="shared" si="16"/>
        <v>41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108</v>
      </c>
      <c r="C8" s="14">
        <v>82</v>
      </c>
      <c r="D8" s="14">
        <v>86</v>
      </c>
      <c r="E8" s="14">
        <v>67</v>
      </c>
      <c r="F8" s="14">
        <v>129</v>
      </c>
      <c r="G8" s="14">
        <v>81</v>
      </c>
      <c r="H8" s="14">
        <v>44</v>
      </c>
      <c r="I8" s="14">
        <v>156</v>
      </c>
      <c r="J8" s="14">
        <v>94</v>
      </c>
      <c r="K8" s="14">
        <v>25</v>
      </c>
      <c r="L8" s="14">
        <v>70</v>
      </c>
      <c r="M8" s="14">
        <v>71</v>
      </c>
      <c r="N8" s="14">
        <v>83</v>
      </c>
      <c r="O8" s="14">
        <v>89</v>
      </c>
      <c r="P8" s="14">
        <v>57</v>
      </c>
      <c r="Q8" s="14">
        <v>107</v>
      </c>
      <c r="R8" s="14">
        <v>38</v>
      </c>
      <c r="S8" s="14"/>
      <c r="T8" s="14"/>
      <c r="U8" s="15"/>
      <c r="V8" s="15"/>
      <c r="W8" s="15">
        <v>50</v>
      </c>
      <c r="X8" s="15">
        <v>47</v>
      </c>
      <c r="Y8" s="15">
        <v>83</v>
      </c>
      <c r="Z8" s="15">
        <v>103</v>
      </c>
      <c r="AA8" s="15">
        <v>138</v>
      </c>
      <c r="AB8" s="15">
        <v>122</v>
      </c>
      <c r="AC8" s="15">
        <v>42</v>
      </c>
      <c r="AD8" s="111">
        <v>50</v>
      </c>
      <c r="AE8" s="124">
        <v>49</v>
      </c>
      <c r="AF8" s="124">
        <v>62</v>
      </c>
      <c r="AG8" s="124">
        <f>(2+2+2+10+2+2+1+1+1+1+1+2+2+1+2+1+6+2+3+3+2+2+2)+(2+1+2+1+2+2+2+1+1+1+1+9+1+2+2+2)</f>
        <v>85</v>
      </c>
      <c r="AH8" s="124">
        <f>(2+2+1+2+2+2+3+2+1+2+1+2+1+2+1+2+1)+(2+2+1+2+1+2+2+1+3+2+3+1+1+1+2)</f>
        <v>55</v>
      </c>
      <c r="AI8" s="124">
        <f>(2+1+2+1)+(1+4+1+1+2+2+2+2+2+2+1+2+2+3+1+3+1+3+3+2)+(2+1)</f>
        <v>49</v>
      </c>
      <c r="AJ8" s="124">
        <f>(1+1)+(1)+(1)+(7)+(2)+(2+4+3+4+2)+(6)+(10+3)</f>
        <v>47</v>
      </c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87.2</v>
      </c>
      <c r="BK8">
        <f t="shared" si="0"/>
        <v>83.4</v>
      </c>
      <c r="BL8">
        <f t="shared" si="2"/>
        <v>82.3</v>
      </c>
      <c r="BM8">
        <f t="shared" si="0"/>
        <v>82</v>
      </c>
      <c r="BN8">
        <f t="shared" si="0"/>
        <v>84.2</v>
      </c>
      <c r="BO8">
        <f t="shared" si="0"/>
        <v>77</v>
      </c>
      <c r="BP8">
        <f t="shared" si="0"/>
        <v>79.599999999999994</v>
      </c>
      <c r="BQ8">
        <f t="shared" si="0"/>
        <v>79</v>
      </c>
      <c r="BR8">
        <f t="shared" si="3"/>
        <v>70.444444444444443</v>
      </c>
      <c r="BS8">
        <f t="shared" si="3"/>
        <v>67.5</v>
      </c>
      <c r="BT8">
        <f>AVERAGE(L8:U8)</f>
        <v>73.571428571428569</v>
      </c>
      <c r="BU8">
        <f t="shared" si="0"/>
        <v>74.166666666666671</v>
      </c>
      <c r="BV8">
        <f t="shared" si="0"/>
        <v>70.666666666666671</v>
      </c>
      <c r="BW8">
        <f t="shared" si="0"/>
        <v>64.666666666666671</v>
      </c>
      <c r="BX8">
        <f t="shared" si="0"/>
        <v>63.666666666666664</v>
      </c>
      <c r="BY8">
        <f t="shared" si="0"/>
        <v>71.333333333333329</v>
      </c>
      <c r="BZ8">
        <f t="shared" si="0"/>
        <v>76.5</v>
      </c>
      <c r="CA8">
        <f t="shared" si="0"/>
        <v>90.5</v>
      </c>
      <c r="CB8">
        <f t="shared" si="0"/>
        <v>83.571428571428569</v>
      </c>
      <c r="CC8">
        <f t="shared" si="0"/>
        <v>79.375</v>
      </c>
      <c r="CD8">
        <f t="shared" si="0"/>
        <v>76</v>
      </c>
      <c r="CE8">
        <f t="shared" si="0"/>
        <v>74.599999999999994</v>
      </c>
      <c r="CF8">
        <f t="shared" si="4"/>
        <v>78.099999999999994</v>
      </c>
      <c r="CG8">
        <f t="shared" si="5"/>
        <v>78.900000000000006</v>
      </c>
      <c r="CH8">
        <f t="shared" si="6"/>
        <v>75.5</v>
      </c>
      <c r="CI8">
        <f t="shared" si="7"/>
        <v>69.900000000000006</v>
      </c>
      <c r="CJ8">
        <f t="shared" si="8"/>
        <v>62.333333333333336</v>
      </c>
      <c r="CK8">
        <f t="shared" si="9"/>
        <v>54.875</v>
      </c>
      <c r="CL8">
        <f t="shared" si="10"/>
        <v>56.714285714285715</v>
      </c>
      <c r="CM8">
        <f t="shared" si="11"/>
        <v>57.833333333333336</v>
      </c>
      <c r="CN8">
        <f t="shared" si="12"/>
        <v>59.6</v>
      </c>
      <c r="CO8">
        <f t="shared" si="13"/>
        <v>59</v>
      </c>
      <c r="CP8">
        <f t="shared" si="14"/>
        <v>50.333333333333336</v>
      </c>
      <c r="CQ8">
        <f t="shared" si="15"/>
        <v>48</v>
      </c>
      <c r="CR8">
        <f t="shared" si="16"/>
        <v>47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285</v>
      </c>
      <c r="C9" s="16">
        <v>200</v>
      </c>
      <c r="D9" s="16">
        <v>234</v>
      </c>
      <c r="E9" s="16">
        <v>299</v>
      </c>
      <c r="F9" s="16">
        <v>376</v>
      </c>
      <c r="G9" s="16">
        <v>274</v>
      </c>
      <c r="H9" s="16">
        <v>193</v>
      </c>
      <c r="I9" s="16">
        <v>306</v>
      </c>
      <c r="J9" s="16">
        <v>197</v>
      </c>
      <c r="K9" s="16">
        <v>34</v>
      </c>
      <c r="L9" s="16">
        <v>207</v>
      </c>
      <c r="M9" s="16">
        <v>200</v>
      </c>
      <c r="N9" s="16">
        <v>167</v>
      </c>
      <c r="O9" s="16">
        <v>249</v>
      </c>
      <c r="P9" s="16">
        <v>187</v>
      </c>
      <c r="Q9" s="16">
        <v>170</v>
      </c>
      <c r="R9" s="16">
        <v>186</v>
      </c>
      <c r="S9" s="16"/>
      <c r="T9" s="16"/>
      <c r="U9" s="17"/>
      <c r="V9" s="17"/>
      <c r="W9" s="17">
        <v>200</v>
      </c>
      <c r="X9" s="17">
        <v>99</v>
      </c>
      <c r="Y9" s="17">
        <v>238</v>
      </c>
      <c r="Z9" s="17">
        <v>262</v>
      </c>
      <c r="AA9" s="17">
        <v>280</v>
      </c>
      <c r="AB9" s="17">
        <v>168</v>
      </c>
      <c r="AC9" s="17">
        <v>159</v>
      </c>
      <c r="AD9" s="112">
        <v>143</v>
      </c>
      <c r="AE9" s="10">
        <v>99</v>
      </c>
      <c r="AF9" s="10">
        <v>119</v>
      </c>
      <c r="AG9" s="10">
        <f>(1+2+3)+(1+2+1+2+1+2+1+2+3+2+1+2+2+1+2+2)+(4+1+1+1+2+1+2+2+2+1+2+1+2+2+1+2+4+5+2)+(6+2+1+1+1+2+2+2+1+1+1+2+1+2+11+2+2+4+2)+(1+1+2+4+1+1+2+2+2+4+1+2+4+1+2+2)+(2+6)</f>
        <v>157</v>
      </c>
      <c r="AH9" s="10">
        <f>(2+1+2)+(2+1+3+1+3+1+4+1+1+3+2+2+2+4+2+1+2)+(1+1+3+2+1+2+1+1+1+1+1+1+1+2+2+3+1+1+1+2)+(1+1+5+2+2+7+7+3+2+1+2+1+2+1+2)</f>
        <v>108</v>
      </c>
      <c r="AI9" s="10">
        <f>(1+2+1+1+1+2+2+1+3+1+1+1+2+4+1+2+3)+(1+2+2+1+2+2+2+2+2+5+2+4+2+1+2+3+1+2+1+3)+(1+3+2+6+7+2+1+1+1+1+1+2)</f>
        <v>99</v>
      </c>
      <c r="AJ9" s="182">
        <f>(2+2+3+2+1+3)</f>
        <v>13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239.8</v>
      </c>
      <c r="BK9">
        <f t="shared" si="0"/>
        <v>232</v>
      </c>
      <c r="BL9">
        <f t="shared" si="2"/>
        <v>232</v>
      </c>
      <c r="BM9">
        <f t="shared" si="0"/>
        <v>225.3</v>
      </c>
      <c r="BN9">
        <f t="shared" si="0"/>
        <v>220.3</v>
      </c>
      <c r="BO9">
        <f t="shared" si="0"/>
        <v>201.4</v>
      </c>
      <c r="BP9">
        <f t="shared" si="0"/>
        <v>191</v>
      </c>
      <c r="BQ9">
        <f t="shared" si="0"/>
        <v>190.3</v>
      </c>
      <c r="BR9">
        <f t="shared" si="3"/>
        <v>177.44444444444446</v>
      </c>
      <c r="BS9">
        <f t="shared" si="3"/>
        <v>175</v>
      </c>
      <c r="BT9">
        <f t="shared" si="0"/>
        <v>195.14285714285714</v>
      </c>
      <c r="BU9">
        <f t="shared" si="0"/>
        <v>193.16666666666666</v>
      </c>
      <c r="BV9">
        <f t="shared" si="0"/>
        <v>193.16666666666666</v>
      </c>
      <c r="BW9">
        <f t="shared" si="0"/>
        <v>181.83333333333334</v>
      </c>
      <c r="BX9">
        <f t="shared" si="0"/>
        <v>180</v>
      </c>
      <c r="BY9">
        <f t="shared" si="0"/>
        <v>192.5</v>
      </c>
      <c r="BZ9">
        <f t="shared" si="0"/>
        <v>210.83333333333334</v>
      </c>
      <c r="CA9">
        <f t="shared" si="0"/>
        <v>207.83333333333334</v>
      </c>
      <c r="CB9">
        <f t="shared" si="0"/>
        <v>200.85714285714286</v>
      </c>
      <c r="CC9">
        <f t="shared" si="0"/>
        <v>193.625</v>
      </c>
      <c r="CD9">
        <f t="shared" si="0"/>
        <v>183.11111111111111</v>
      </c>
      <c r="CE9">
        <f t="shared" si="0"/>
        <v>176.7</v>
      </c>
      <c r="CF9">
        <f t="shared" si="4"/>
        <v>172.4</v>
      </c>
      <c r="CG9">
        <f t="shared" si="5"/>
        <v>173.3</v>
      </c>
      <c r="CH9">
        <f t="shared" si="6"/>
        <v>159.4</v>
      </c>
      <c r="CI9">
        <f t="shared" si="7"/>
        <v>134.5</v>
      </c>
      <c r="CJ9">
        <f t="shared" si="8"/>
        <v>118.33333333333333</v>
      </c>
      <c r="CK9">
        <f t="shared" si="9"/>
        <v>112.125</v>
      </c>
      <c r="CL9">
        <f t="shared" si="10"/>
        <v>105.42857142857143</v>
      </c>
      <c r="CM9">
        <f t="shared" si="11"/>
        <v>99.166666666666671</v>
      </c>
      <c r="CN9">
        <f t="shared" si="12"/>
        <v>99.2</v>
      </c>
      <c r="CO9">
        <f t="shared" si="13"/>
        <v>94.25</v>
      </c>
      <c r="CP9">
        <f t="shared" si="14"/>
        <v>73.333333333333329</v>
      </c>
      <c r="CQ9">
        <f t="shared" si="15"/>
        <v>56</v>
      </c>
      <c r="CR9">
        <f t="shared" si="16"/>
        <v>13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223</v>
      </c>
      <c r="C10" s="14">
        <v>132</v>
      </c>
      <c r="D10" s="14">
        <v>190</v>
      </c>
      <c r="E10" s="14">
        <v>182</v>
      </c>
      <c r="F10" s="14">
        <v>226</v>
      </c>
      <c r="G10" s="14">
        <v>191</v>
      </c>
      <c r="H10" s="14">
        <v>324</v>
      </c>
      <c r="I10" s="14">
        <v>227</v>
      </c>
      <c r="J10" s="14">
        <v>201</v>
      </c>
      <c r="K10" s="14">
        <v>40</v>
      </c>
      <c r="L10" s="14">
        <v>194</v>
      </c>
      <c r="M10" s="14">
        <v>279</v>
      </c>
      <c r="N10" s="14">
        <v>129</v>
      </c>
      <c r="O10" s="14">
        <v>182</v>
      </c>
      <c r="P10" s="14">
        <v>179</v>
      </c>
      <c r="Q10" s="14">
        <v>186</v>
      </c>
      <c r="R10" s="14">
        <v>161</v>
      </c>
      <c r="S10" s="14"/>
      <c r="T10" s="14"/>
      <c r="U10" s="15"/>
      <c r="V10" s="15"/>
      <c r="W10" s="15">
        <v>177</v>
      </c>
      <c r="X10" s="15">
        <v>256</v>
      </c>
      <c r="Y10" s="15">
        <v>240</v>
      </c>
      <c r="Z10" s="15">
        <v>237</v>
      </c>
      <c r="AA10" s="15">
        <v>311</v>
      </c>
      <c r="AB10" s="15">
        <v>283</v>
      </c>
      <c r="AC10" s="15">
        <v>252</v>
      </c>
      <c r="AD10" s="111">
        <v>231</v>
      </c>
      <c r="AE10" s="124">
        <v>125</v>
      </c>
      <c r="AF10" s="124">
        <v>183</v>
      </c>
      <c r="AG10" s="124">
        <f>(1+1)+(2+1+3+3+2+1+2+1+3+1+3+3+2+7+1)+(2+8+1+1+11+1+3+2+1+3+2+5+1+2+5+3+1+4)+(2+2+1+6+2+1+1+4+2+2+2+2+2+1+2+3+2+2+2)+(2+11+1+3+2+1+1+2+2+1+2+1+2)</f>
        <v>165</v>
      </c>
      <c r="AH10" s="124">
        <f>(1+1+1+1)+(2+2+1+2+3+2+2+1+3+1+2+1+1+2+2+4+2+2)+(2+2+1+1+2+2+4+4+3+2+2+2+4+1+1+1+1+2+2+2)+(2+15+1+2+4+1+2+1+2+2+2+2+1+2)</f>
        <v>119</v>
      </c>
      <c r="AI10" s="124">
        <f>(1+3+2+2+5+2+1+1+2)+(2+2+3+1)+(1+2+1+2+3+2+3+1+2+2+2+3+2+2+2+1+1+1+4+4+1+1)</f>
        <v>70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193.6</v>
      </c>
      <c r="BK10">
        <f t="shared" si="0"/>
        <v>190.7</v>
      </c>
      <c r="BL10">
        <f t="shared" si="2"/>
        <v>205.4</v>
      </c>
      <c r="BM10">
        <f t="shared" si="0"/>
        <v>199.3</v>
      </c>
      <c r="BN10">
        <f t="shared" si="0"/>
        <v>199.3</v>
      </c>
      <c r="BO10">
        <f t="shared" si="0"/>
        <v>194.6</v>
      </c>
      <c r="BP10">
        <f t="shared" si="0"/>
        <v>194.1</v>
      </c>
      <c r="BQ10">
        <f t="shared" si="0"/>
        <v>177.8</v>
      </c>
      <c r="BR10">
        <f t="shared" si="3"/>
        <v>172.33333333333334</v>
      </c>
      <c r="BS10">
        <f t="shared" si="3"/>
        <v>168.75</v>
      </c>
      <c r="BT10">
        <f t="shared" si="0"/>
        <v>187.14285714285714</v>
      </c>
      <c r="BU10">
        <f t="shared" si="0"/>
        <v>186</v>
      </c>
      <c r="BV10">
        <f t="shared" si="0"/>
        <v>169</v>
      </c>
      <c r="BW10">
        <f t="shared" si="0"/>
        <v>190.16666666666666</v>
      </c>
      <c r="BX10">
        <f t="shared" si="0"/>
        <v>199.83333333333334</v>
      </c>
      <c r="BY10">
        <f t="shared" si="0"/>
        <v>209.5</v>
      </c>
      <c r="BZ10">
        <f t="shared" si="0"/>
        <v>230.33333333333334</v>
      </c>
      <c r="CA10">
        <f t="shared" si="0"/>
        <v>250.66666666666666</v>
      </c>
      <c r="CB10">
        <f t="shared" si="0"/>
        <v>250.85714285714286</v>
      </c>
      <c r="CC10">
        <f t="shared" si="0"/>
        <v>248.375</v>
      </c>
      <c r="CD10">
        <f t="shared" si="0"/>
        <v>234.66666666666666</v>
      </c>
      <c r="CE10">
        <f t="shared" si="0"/>
        <v>229.5</v>
      </c>
      <c r="CF10">
        <f t="shared" si="4"/>
        <v>228.3</v>
      </c>
      <c r="CG10">
        <f t="shared" si="5"/>
        <v>214.6</v>
      </c>
      <c r="CH10">
        <f t="shared" si="6"/>
        <v>197.6</v>
      </c>
      <c r="CI10">
        <f t="shared" si="7"/>
        <v>193.22222222222223</v>
      </c>
      <c r="CJ10">
        <f t="shared" si="8"/>
        <v>178.5</v>
      </c>
      <c r="CK10">
        <f t="shared" si="9"/>
        <v>163.57142857142858</v>
      </c>
      <c r="CL10">
        <f t="shared" si="10"/>
        <v>148.83333333333334</v>
      </c>
      <c r="CM10">
        <f t="shared" si="11"/>
        <v>132.4</v>
      </c>
      <c r="CN10">
        <f t="shared" si="12"/>
        <v>134.25</v>
      </c>
      <c r="CO10">
        <f t="shared" si="13"/>
        <v>118</v>
      </c>
      <c r="CP10">
        <f t="shared" si="14"/>
        <v>94.5</v>
      </c>
      <c r="CQ10">
        <f t="shared" si="15"/>
        <v>70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144</v>
      </c>
      <c r="C11" s="16">
        <v>260</v>
      </c>
      <c r="D11" s="16">
        <v>390</v>
      </c>
      <c r="E11" s="16">
        <v>343</v>
      </c>
      <c r="F11" s="16">
        <v>473</v>
      </c>
      <c r="G11" s="16">
        <v>413</v>
      </c>
      <c r="H11" s="16">
        <v>411</v>
      </c>
      <c r="I11" s="16">
        <v>432</v>
      </c>
      <c r="J11" s="16">
        <v>321</v>
      </c>
      <c r="K11" s="16">
        <v>34</v>
      </c>
      <c r="L11" s="16">
        <v>505</v>
      </c>
      <c r="M11" s="16">
        <v>321</v>
      </c>
      <c r="N11" s="16">
        <v>257</v>
      </c>
      <c r="O11" s="16">
        <v>271</v>
      </c>
      <c r="P11" s="16">
        <v>313</v>
      </c>
      <c r="Q11" s="16">
        <v>446</v>
      </c>
      <c r="R11" s="16">
        <v>325</v>
      </c>
      <c r="S11" s="16"/>
      <c r="T11" s="16"/>
      <c r="U11" s="17"/>
      <c r="V11" s="17"/>
      <c r="W11" s="17">
        <v>293</v>
      </c>
      <c r="X11" s="17">
        <v>506</v>
      </c>
      <c r="Y11" s="17">
        <v>290</v>
      </c>
      <c r="Z11" s="17">
        <v>302</v>
      </c>
      <c r="AA11" s="17">
        <v>267</v>
      </c>
      <c r="AB11" s="17">
        <v>389</v>
      </c>
      <c r="AC11" s="17">
        <v>260</v>
      </c>
      <c r="AD11" s="112">
        <v>324</v>
      </c>
      <c r="AE11" s="10">
        <v>176</v>
      </c>
      <c r="AF11" s="10">
        <v>210</v>
      </c>
      <c r="AG11" s="10">
        <f>(2)+(4+2+2+2+1)+(3+2+2+2+2+2+3+8+5+2+1+2+1+2+3+4+1+2+2+2)+(2+2+8+2+1+2+1+2+3+1+1+1+2+2+1+1+1)+(1+1+1+1+1+2+2+1+4+12+2+1+6+1+1+1+2+1+1)+(2+5+2+3+9+3+4+2+11+2+1+1+1+11)+(2+1+3+1+1+1+2+2+4+2+1+2+3)</f>
        <v>221</v>
      </c>
      <c r="AH11" s="10">
        <f>(2+2+2+1+1+4)+(3+2+2+1+1+1+2+1+2+2+2+3+1+5+3+5+2+2+2+6)+(4+1+2+2+2+2+1+1+12+5+1+1+10+4+4+2+1+1)+(2+2+1+2+2+1+1+2+2+1+2+2+2+4+3+1+2+1+1+9)+(2+3+1+2+2+2+2+2+1+2+2+2+2+2)</f>
        <v>186</v>
      </c>
      <c r="AI11" s="10">
        <f>(2)+(3)+(3)+(2)+(2)</f>
        <v>12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322.10000000000002</v>
      </c>
      <c r="BK11">
        <f t="shared" si="0"/>
        <v>358.2</v>
      </c>
      <c r="BL11">
        <f t="shared" si="2"/>
        <v>364.3</v>
      </c>
      <c r="BM11">
        <f t="shared" si="0"/>
        <v>351</v>
      </c>
      <c r="BN11">
        <f t="shared" si="0"/>
        <v>343.8</v>
      </c>
      <c r="BO11">
        <f t="shared" si="0"/>
        <v>327.8</v>
      </c>
      <c r="BP11">
        <f t="shared" si="0"/>
        <v>331.1</v>
      </c>
      <c r="BQ11">
        <f t="shared" si="0"/>
        <v>322.5</v>
      </c>
      <c r="BR11">
        <f t="shared" si="3"/>
        <v>310.33333333333331</v>
      </c>
      <c r="BS11">
        <f t="shared" si="3"/>
        <v>309</v>
      </c>
      <c r="BT11">
        <f t="shared" si="0"/>
        <v>348.28571428571428</v>
      </c>
      <c r="BU11">
        <f t="shared" si="0"/>
        <v>322.16666666666669</v>
      </c>
      <c r="BV11">
        <f t="shared" si="0"/>
        <v>317.5</v>
      </c>
      <c r="BW11">
        <f t="shared" si="0"/>
        <v>359</v>
      </c>
      <c r="BX11">
        <f t="shared" si="0"/>
        <v>362.16666666666669</v>
      </c>
      <c r="BY11">
        <f t="shared" si="0"/>
        <v>360.33333333333331</v>
      </c>
      <c r="BZ11">
        <f t="shared" si="0"/>
        <v>330.5</v>
      </c>
      <c r="CA11">
        <f t="shared" si="0"/>
        <v>341.16666666666669</v>
      </c>
      <c r="CB11">
        <f t="shared" si="0"/>
        <v>329.57142857142856</v>
      </c>
      <c r="CC11">
        <f t="shared" si="0"/>
        <v>328.875</v>
      </c>
      <c r="CD11">
        <f t="shared" si="0"/>
        <v>311.88888888888891</v>
      </c>
      <c r="CE11">
        <f t="shared" si="0"/>
        <v>301.7</v>
      </c>
      <c r="CF11">
        <f t="shared" si="4"/>
        <v>294.5</v>
      </c>
      <c r="CG11">
        <f t="shared" si="5"/>
        <v>262.5</v>
      </c>
      <c r="CH11">
        <f t="shared" si="6"/>
        <v>234.7</v>
      </c>
      <c r="CI11">
        <f t="shared" si="7"/>
        <v>227.22222222222223</v>
      </c>
      <c r="CJ11">
        <f t="shared" si="8"/>
        <v>222.25</v>
      </c>
      <c r="CK11">
        <f t="shared" si="9"/>
        <v>198.42857142857142</v>
      </c>
      <c r="CL11">
        <f t="shared" si="10"/>
        <v>188.16666666666666</v>
      </c>
      <c r="CM11">
        <f t="shared" si="11"/>
        <v>161</v>
      </c>
      <c r="CN11">
        <f t="shared" si="12"/>
        <v>157.25</v>
      </c>
      <c r="CO11">
        <f t="shared" si="13"/>
        <v>139.66666666666666</v>
      </c>
      <c r="CP11">
        <f t="shared" si="14"/>
        <v>99</v>
      </c>
      <c r="CQ11">
        <f t="shared" si="15"/>
        <v>12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306</v>
      </c>
      <c r="C12" s="14">
        <v>320</v>
      </c>
      <c r="D12" s="14">
        <v>395</v>
      </c>
      <c r="E12" s="14">
        <v>379</v>
      </c>
      <c r="F12" s="14">
        <v>481</v>
      </c>
      <c r="G12" s="14">
        <v>431</v>
      </c>
      <c r="H12" s="14">
        <v>517</v>
      </c>
      <c r="I12" s="14">
        <v>445</v>
      </c>
      <c r="J12" s="14">
        <v>372</v>
      </c>
      <c r="K12" s="14">
        <v>243</v>
      </c>
      <c r="L12" s="14">
        <v>392</v>
      </c>
      <c r="M12" s="14">
        <v>273</v>
      </c>
      <c r="N12" s="14">
        <v>236</v>
      </c>
      <c r="O12" s="14">
        <v>326</v>
      </c>
      <c r="P12" s="14">
        <v>228</v>
      </c>
      <c r="Q12" s="14">
        <v>322</v>
      </c>
      <c r="R12" s="14">
        <v>242</v>
      </c>
      <c r="S12" s="14"/>
      <c r="T12" s="14"/>
      <c r="U12" s="15"/>
      <c r="V12" s="15"/>
      <c r="W12" s="15">
        <v>315</v>
      </c>
      <c r="X12" s="15">
        <v>168</v>
      </c>
      <c r="Y12" s="15">
        <v>318</v>
      </c>
      <c r="Z12" s="15">
        <v>363</v>
      </c>
      <c r="AA12" s="15">
        <v>253</v>
      </c>
      <c r="AB12" s="15">
        <v>341</v>
      </c>
      <c r="AC12" s="15">
        <v>245</v>
      </c>
      <c r="AD12" s="111">
        <v>322</v>
      </c>
      <c r="AE12" s="124">
        <v>234</v>
      </c>
      <c r="AF12" s="124">
        <v>133</v>
      </c>
      <c r="AG12" s="124">
        <f>(1+2+2+6+2+7)+(2+1+2+2+2+2+2+2+1+10+2+10+2+2+2+1+1+1+4+2)+(6+2+1+11+1+2+5+2+2+3+2+2+2+2+1+2+1+4+1+1)+(2+1+2+2+2+1+1+1+2+3+2+3+2+3+2+2+4+2+1)+(1+15+1+1+2+2)</f>
        <v>186</v>
      </c>
      <c r="AH12" s="124">
        <f>(2+2+1+6+6+1)+(2+5+3+2+1+2+4+1+1+4+2+3+2+3+2+1+4+1+1)+(2+2+1+3+3+1+1+6+4+1+3+2+2+2+5+1+4+1+2+2)+(1+1+1+5+3+3+2+2+1+1+2+1+3+2+3+1+2+1+2+2)+(2+1+1)</f>
        <v>153</v>
      </c>
      <c r="AI12" s="124">
        <f>(7)+(1+1)</f>
        <v>9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388.9</v>
      </c>
      <c r="BK12">
        <f t="shared" si="0"/>
        <v>397.5</v>
      </c>
      <c r="BL12">
        <f t="shared" si="2"/>
        <v>392.8</v>
      </c>
      <c r="BM12">
        <f t="shared" si="0"/>
        <v>376.9</v>
      </c>
      <c r="BN12">
        <f t="shared" si="0"/>
        <v>371.6</v>
      </c>
      <c r="BO12">
        <f t="shared" si="0"/>
        <v>346.3</v>
      </c>
      <c r="BP12">
        <f t="shared" si="0"/>
        <v>335.4</v>
      </c>
      <c r="BQ12">
        <f t="shared" si="0"/>
        <v>307.89999999999998</v>
      </c>
      <c r="BR12">
        <f t="shared" si="3"/>
        <v>292.66666666666669</v>
      </c>
      <c r="BS12">
        <f t="shared" si="3"/>
        <v>282.75</v>
      </c>
      <c r="BT12">
        <f t="shared" si="0"/>
        <v>288.42857142857144</v>
      </c>
      <c r="BU12">
        <f t="shared" si="0"/>
        <v>271.16666666666669</v>
      </c>
      <c r="BV12">
        <f t="shared" si="0"/>
        <v>278.16666666666669</v>
      </c>
      <c r="BW12">
        <f t="shared" si="0"/>
        <v>266.83333333333331</v>
      </c>
      <c r="BX12">
        <f t="shared" si="0"/>
        <v>265.5</v>
      </c>
      <c r="BY12">
        <f t="shared" si="0"/>
        <v>288</v>
      </c>
      <c r="BZ12">
        <f t="shared" si="0"/>
        <v>276.5</v>
      </c>
      <c r="CA12">
        <f t="shared" si="0"/>
        <v>293</v>
      </c>
      <c r="CB12">
        <f t="shared" si="0"/>
        <v>286.14285714285717</v>
      </c>
      <c r="CC12">
        <f t="shared" si="0"/>
        <v>290.625</v>
      </c>
      <c r="CD12">
        <f t="shared" si="0"/>
        <v>284.33333333333331</v>
      </c>
      <c r="CE12">
        <f t="shared" si="0"/>
        <v>269.2</v>
      </c>
      <c r="CF12">
        <f t="shared" si="4"/>
        <v>256.3</v>
      </c>
      <c r="CG12">
        <f t="shared" si="5"/>
        <v>254.8</v>
      </c>
      <c r="CH12">
        <f t="shared" si="6"/>
        <v>223.9</v>
      </c>
      <c r="CI12">
        <f t="shared" si="7"/>
        <v>208.44444444444446</v>
      </c>
      <c r="CJ12">
        <f t="shared" si="8"/>
        <v>202.875</v>
      </c>
      <c r="CK12">
        <f t="shared" si="9"/>
        <v>183.14285714285714</v>
      </c>
      <c r="CL12">
        <f t="shared" si="10"/>
        <v>172.83333333333334</v>
      </c>
      <c r="CM12">
        <f t="shared" si="11"/>
        <v>143</v>
      </c>
      <c r="CN12">
        <f t="shared" si="12"/>
        <v>120.25</v>
      </c>
      <c r="CO12">
        <f t="shared" si="13"/>
        <v>116</v>
      </c>
      <c r="CP12">
        <f t="shared" si="14"/>
        <v>81</v>
      </c>
      <c r="CQ12">
        <f t="shared" si="15"/>
        <v>9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282</v>
      </c>
      <c r="C13" s="16">
        <v>259</v>
      </c>
      <c r="D13" s="16">
        <v>182</v>
      </c>
      <c r="E13" s="16">
        <v>284</v>
      </c>
      <c r="F13" s="16">
        <v>349</v>
      </c>
      <c r="G13" s="16">
        <v>222</v>
      </c>
      <c r="H13" s="16">
        <v>130</v>
      </c>
      <c r="I13" s="16">
        <v>376</v>
      </c>
      <c r="J13" s="16">
        <v>187</v>
      </c>
      <c r="K13" s="16">
        <v>490</v>
      </c>
      <c r="L13" s="16">
        <v>332</v>
      </c>
      <c r="M13" s="16">
        <v>203</v>
      </c>
      <c r="N13" s="16">
        <v>192</v>
      </c>
      <c r="O13" s="16">
        <v>252</v>
      </c>
      <c r="P13" s="16">
        <v>251</v>
      </c>
      <c r="Q13" s="16">
        <v>213</v>
      </c>
      <c r="R13" s="16">
        <v>262</v>
      </c>
      <c r="S13" s="16"/>
      <c r="T13" s="16"/>
      <c r="U13" s="17"/>
      <c r="V13" s="17"/>
      <c r="W13" s="17">
        <v>221</v>
      </c>
      <c r="X13" s="17">
        <v>268</v>
      </c>
      <c r="Y13" s="17">
        <v>163</v>
      </c>
      <c r="Z13" s="17">
        <v>301</v>
      </c>
      <c r="AA13" s="17">
        <v>346</v>
      </c>
      <c r="AB13" s="17">
        <v>237</v>
      </c>
      <c r="AC13" s="17">
        <v>241</v>
      </c>
      <c r="AD13" s="112">
        <v>182</v>
      </c>
      <c r="AE13" s="10">
        <v>240</v>
      </c>
      <c r="AF13" s="10">
        <v>157</v>
      </c>
      <c r="AG13" s="10">
        <f>(2+1+2+2+2+2+1+2+2+1+2+2)+(2+1+2+2+2+2+2+2+2+1+2+2+2+1+1+1+2+1+1)+(2+2+1+1+1+2+2+1+1+1+2+1+2+3+1+2+1+2+2+2)+(2+2+3+2+2+1+2+1+4+3+1+2+4+2+1+5+3+2)+(2+2+1+1+2+1+3+3)</f>
        <v>141</v>
      </c>
      <c r="AH13" s="10">
        <f>(3)+(2+6+1+2+1+1+1+4+3+2+2+3+3+2+1+1+2)+(1+4+4+3+3+1+1+1+2+2+3+1+2+3+10+2+1+2)+(1+1+3+1+2+1+1+5+1+1+2+3+1+2+2+1+1+1)+(2+6+11+2+2)</f>
        <v>139</v>
      </c>
      <c r="AI13" s="182">
        <f>(1+1+2+1+2)+(1+1+2+2+2+3+2+2)+(1+1+2+4+2)+(1+2)</f>
        <v>35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276.10000000000002</v>
      </c>
      <c r="BK13">
        <f t="shared" si="0"/>
        <v>281.10000000000002</v>
      </c>
      <c r="BL13">
        <f t="shared" si="2"/>
        <v>275.5</v>
      </c>
      <c r="BM13">
        <f t="shared" si="0"/>
        <v>276.5</v>
      </c>
      <c r="BN13">
        <f t="shared" si="0"/>
        <v>273.3</v>
      </c>
      <c r="BO13">
        <f t="shared" si="0"/>
        <v>263.5</v>
      </c>
      <c r="BP13">
        <f t="shared" si="0"/>
        <v>262.60000000000002</v>
      </c>
      <c r="BQ13">
        <f t="shared" si="0"/>
        <v>275.8</v>
      </c>
      <c r="BR13">
        <f t="shared" si="3"/>
        <v>264.66666666666669</v>
      </c>
      <c r="BS13">
        <f t="shared" si="3"/>
        <v>274.375</v>
      </c>
      <c r="BT13">
        <f t="shared" si="0"/>
        <v>243.57142857142858</v>
      </c>
      <c r="BU13">
        <f t="shared" si="0"/>
        <v>228.83333333333334</v>
      </c>
      <c r="BV13">
        <f t="shared" si="0"/>
        <v>231.83333333333334</v>
      </c>
      <c r="BW13">
        <f t="shared" si="0"/>
        <v>244.5</v>
      </c>
      <c r="BX13">
        <f t="shared" si="0"/>
        <v>229.66666666666666</v>
      </c>
      <c r="BY13">
        <f t="shared" si="0"/>
        <v>238</v>
      </c>
      <c r="BZ13">
        <f t="shared" si="0"/>
        <v>260.16666666666669</v>
      </c>
      <c r="CA13">
        <f t="shared" si="0"/>
        <v>256</v>
      </c>
      <c r="CB13">
        <f t="shared" si="0"/>
        <v>253.85714285714286</v>
      </c>
      <c r="CC13">
        <f t="shared" si="0"/>
        <v>244.875</v>
      </c>
      <c r="CD13">
        <f t="shared" si="0"/>
        <v>244.33333333333334</v>
      </c>
      <c r="CE13">
        <f t="shared" si="0"/>
        <v>235.6</v>
      </c>
      <c r="CF13">
        <f t="shared" si="4"/>
        <v>227.6</v>
      </c>
      <c r="CG13">
        <f t="shared" si="5"/>
        <v>214.7</v>
      </c>
      <c r="CH13">
        <f t="shared" si="6"/>
        <v>201.9</v>
      </c>
      <c r="CI13">
        <f t="shared" si="7"/>
        <v>190.88888888888889</v>
      </c>
      <c r="CJ13">
        <f t="shared" si="8"/>
        <v>171.5</v>
      </c>
      <c r="CK13">
        <f t="shared" si="9"/>
        <v>162.14285714285714</v>
      </c>
      <c r="CL13">
        <f t="shared" si="10"/>
        <v>149</v>
      </c>
      <c r="CM13">
        <f t="shared" si="11"/>
        <v>142.4</v>
      </c>
      <c r="CN13">
        <f t="shared" si="12"/>
        <v>118</v>
      </c>
      <c r="CO13">
        <f t="shared" si="13"/>
        <v>105</v>
      </c>
      <c r="CP13">
        <f t="shared" si="14"/>
        <v>87</v>
      </c>
      <c r="CQ13">
        <f t="shared" si="15"/>
        <v>35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243</v>
      </c>
      <c r="C14" s="14">
        <v>293</v>
      </c>
      <c r="D14" s="14">
        <v>299</v>
      </c>
      <c r="E14" s="14">
        <v>387</v>
      </c>
      <c r="F14" s="14">
        <v>217</v>
      </c>
      <c r="G14" s="14">
        <v>361</v>
      </c>
      <c r="H14" s="14">
        <v>427</v>
      </c>
      <c r="I14" s="14">
        <v>279</v>
      </c>
      <c r="J14" s="14">
        <v>171</v>
      </c>
      <c r="K14" s="14">
        <v>336</v>
      </c>
      <c r="L14" s="14">
        <v>297</v>
      </c>
      <c r="M14" s="14">
        <v>183</v>
      </c>
      <c r="N14" s="14">
        <v>210</v>
      </c>
      <c r="O14" s="14">
        <v>259</v>
      </c>
      <c r="P14" s="14">
        <v>121</v>
      </c>
      <c r="Q14" s="14">
        <v>276</v>
      </c>
      <c r="R14" s="14">
        <v>163</v>
      </c>
      <c r="S14" s="14"/>
      <c r="T14" s="14"/>
      <c r="U14" s="15"/>
      <c r="V14" s="15"/>
      <c r="W14" s="15">
        <v>114</v>
      </c>
      <c r="X14" s="15">
        <v>166</v>
      </c>
      <c r="Y14" s="15">
        <v>178</v>
      </c>
      <c r="Z14" s="15">
        <v>264</v>
      </c>
      <c r="AA14" s="15">
        <v>264</v>
      </c>
      <c r="AB14" s="15">
        <v>272</v>
      </c>
      <c r="AC14" s="15">
        <v>158</v>
      </c>
      <c r="AD14" s="111">
        <v>154</v>
      </c>
      <c r="AE14" s="124">
        <v>238</v>
      </c>
      <c r="AF14" s="124">
        <v>166</v>
      </c>
      <c r="AG14" s="124">
        <f>(2)+(1+3+26+2+2+9+2+2+1+2+2+1)+(1+2+4+2+2+1+2+1+2+1+1+1+2+1+2+2+1+2+2)+(3+2+2+2+2+2+1+2+3+1+5+2+1+1+1+2+1+2+1)+(2+1+1+2+2+2+1+5+4+4+2+2+1+1+1+2+2+7+1+2)+(1)</f>
        <v>169</v>
      </c>
      <c r="AH14" s="124">
        <f>(2+2+3+2+2+1+2+2+2+1+1+2+2+1+2)+(2+1+2+2+1+2+2+2+3+1+1+1+2+2+1+2+2)+(2+1+1+1+2+2+1+2+2+1+1+2+1+2+5+1+1+1+2)+(3+2+1+1+2+2+1+6+3+1+2+2)</f>
        <v>113</v>
      </c>
      <c r="AI14" s="124">
        <f>(2+2)+(2+1)+(2+3+1+4+2+2+4+2)+(2+1+1+4+4+2+1+2+2+2+1)+(1+1+5)+(3+3+3+1+1+2)+(2)+(1+2)+(1+2+1)+(2+5+2+2)+(1+1+5+1+1+5)+(1)+(1+1)+(1+2+2+2+2+2+2)+(3+2+2+1+3+1)+(3+1+1)+(1+1)+(1+2)+(3+2)+(2+5+2+2+6)+(4+1+4+4)+(1+1)+(1+3)</f>
        <v>182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301.3</v>
      </c>
      <c r="BK14">
        <f t="shared" si="0"/>
        <v>306.7</v>
      </c>
      <c r="BL14">
        <f t="shared" si="2"/>
        <v>295.7</v>
      </c>
      <c r="BM14">
        <f t="shared" si="0"/>
        <v>286.8</v>
      </c>
      <c r="BN14">
        <f t="shared" si="0"/>
        <v>274</v>
      </c>
      <c r="BO14">
        <f t="shared" si="0"/>
        <v>264.39999999999998</v>
      </c>
      <c r="BP14">
        <f t="shared" si="0"/>
        <v>255.9</v>
      </c>
      <c r="BQ14">
        <f t="shared" si="0"/>
        <v>229.5</v>
      </c>
      <c r="BR14">
        <f t="shared" si="3"/>
        <v>224</v>
      </c>
      <c r="BS14">
        <f t="shared" si="3"/>
        <v>230.625</v>
      </c>
      <c r="BT14">
        <f t="shared" si="0"/>
        <v>215.57142857142858</v>
      </c>
      <c r="BU14">
        <f t="shared" si="0"/>
        <v>202</v>
      </c>
      <c r="BV14">
        <f t="shared" si="0"/>
        <v>190.5</v>
      </c>
      <c r="BW14">
        <f t="shared" si="0"/>
        <v>183.16666666666666</v>
      </c>
      <c r="BX14">
        <f t="shared" si="0"/>
        <v>169.66666666666666</v>
      </c>
      <c r="BY14">
        <f t="shared" si="0"/>
        <v>193.5</v>
      </c>
      <c r="BZ14">
        <f t="shared" si="0"/>
        <v>191.5</v>
      </c>
      <c r="CA14">
        <f t="shared" si="0"/>
        <v>209.66666666666666</v>
      </c>
      <c r="CB14">
        <f t="shared" si="0"/>
        <v>202.28571428571428</v>
      </c>
      <c r="CC14">
        <f t="shared" si="0"/>
        <v>196.25</v>
      </c>
      <c r="CD14">
        <f t="shared" si="0"/>
        <v>200.88888888888889</v>
      </c>
      <c r="CE14">
        <f t="shared" si="0"/>
        <v>197.4</v>
      </c>
      <c r="CF14">
        <f t="shared" si="4"/>
        <v>202.9</v>
      </c>
      <c r="CG14">
        <f t="shared" si="5"/>
        <v>197.6</v>
      </c>
      <c r="CH14">
        <f t="shared" si="6"/>
        <v>198</v>
      </c>
      <c r="CI14">
        <f t="shared" si="7"/>
        <v>190.66666666666666</v>
      </c>
      <c r="CJ14">
        <f t="shared" si="8"/>
        <v>181.5</v>
      </c>
      <c r="CK14">
        <f t="shared" si="9"/>
        <v>168.57142857142858</v>
      </c>
      <c r="CL14">
        <f t="shared" si="10"/>
        <v>170.33333333333334</v>
      </c>
      <c r="CM14">
        <f t="shared" si="11"/>
        <v>173.6</v>
      </c>
      <c r="CN14">
        <f t="shared" si="12"/>
        <v>157.5</v>
      </c>
      <c r="CO14">
        <f t="shared" si="13"/>
        <v>154.66666666666666</v>
      </c>
      <c r="CP14">
        <f t="shared" si="14"/>
        <v>147.5</v>
      </c>
      <c r="CQ14">
        <f t="shared" si="15"/>
        <v>182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51</v>
      </c>
      <c r="C15" s="16">
        <v>58</v>
      </c>
      <c r="D15" s="16">
        <v>51</v>
      </c>
      <c r="E15" s="16">
        <v>106</v>
      </c>
      <c r="F15" s="16">
        <v>78</v>
      </c>
      <c r="G15" s="16">
        <v>68</v>
      </c>
      <c r="H15" s="16">
        <v>36</v>
      </c>
      <c r="I15" s="16">
        <v>99</v>
      </c>
      <c r="J15" s="16">
        <v>81</v>
      </c>
      <c r="K15" s="16">
        <v>67</v>
      </c>
      <c r="L15" s="16">
        <v>136</v>
      </c>
      <c r="M15" s="16">
        <v>77</v>
      </c>
      <c r="N15" s="16">
        <v>68</v>
      </c>
      <c r="O15" s="16">
        <v>79</v>
      </c>
      <c r="P15" s="16">
        <v>81</v>
      </c>
      <c r="Q15" s="16">
        <v>64</v>
      </c>
      <c r="R15" s="16">
        <v>74</v>
      </c>
      <c r="S15" s="16"/>
      <c r="T15" s="16"/>
      <c r="U15" s="17"/>
      <c r="V15" s="17"/>
      <c r="W15" s="17">
        <v>37</v>
      </c>
      <c r="X15" s="17">
        <v>61</v>
      </c>
      <c r="Y15" s="17">
        <v>63</v>
      </c>
      <c r="Z15" s="17">
        <v>121</v>
      </c>
      <c r="AA15" s="17">
        <v>107</v>
      </c>
      <c r="AB15" s="17">
        <v>75</v>
      </c>
      <c r="AC15" s="17">
        <v>31</v>
      </c>
      <c r="AD15" s="112">
        <v>40</v>
      </c>
      <c r="AE15" s="10">
        <v>81</v>
      </c>
      <c r="AF15" s="10">
        <v>44</v>
      </c>
      <c r="AG15" s="10">
        <f>(1+1+1+1+1+1+1+2+1+1+2+2+1+1+2+4+2)+(4+2+2+4+1+1+1+2+1+3+1+1+1+1)</f>
        <v>50</v>
      </c>
      <c r="AH15" s="10">
        <f>(3+2+1+3+2+2+6+2)+(3+3+2+2+4+1+4+4+1+1+1)</f>
        <v>47</v>
      </c>
      <c r="AI15" s="182">
        <f>(1+2)+(3+1+2+4+2+2)+(3+3)+(2)+(1)+(18+2+4+2+2+2+2+1)+(5+2)+(4+2+1)+(2+2)+(2+2)+(2+1)+(1+2+1)</f>
        <v>88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69.5</v>
      </c>
      <c r="BK15">
        <f t="shared" si="0"/>
        <v>78</v>
      </c>
      <c r="BL15">
        <f t="shared" si="2"/>
        <v>79.900000000000006</v>
      </c>
      <c r="BM15">
        <f t="shared" si="0"/>
        <v>81.599999999999994</v>
      </c>
      <c r="BN15">
        <f t="shared" si="0"/>
        <v>78.900000000000006</v>
      </c>
      <c r="BO15">
        <f t="shared" si="0"/>
        <v>79.2</v>
      </c>
      <c r="BP15">
        <f t="shared" si="0"/>
        <v>78.8</v>
      </c>
      <c r="BQ15">
        <f t="shared" si="0"/>
        <v>82.6</v>
      </c>
      <c r="BR15">
        <f t="shared" si="3"/>
        <v>80.777777777777771</v>
      </c>
      <c r="BS15">
        <f t="shared" si="3"/>
        <v>80.75</v>
      </c>
      <c r="BT15">
        <f t="shared" si="0"/>
        <v>82.714285714285708</v>
      </c>
      <c r="BU15">
        <f t="shared" si="0"/>
        <v>73.833333333333329</v>
      </c>
      <c r="BV15">
        <f t="shared" si="0"/>
        <v>67.166666666666671</v>
      </c>
      <c r="BW15">
        <f t="shared" si="0"/>
        <v>66</v>
      </c>
      <c r="BX15">
        <f t="shared" si="0"/>
        <v>63.333333333333336</v>
      </c>
      <c r="BY15">
        <f t="shared" si="0"/>
        <v>70</v>
      </c>
      <c r="BZ15">
        <f t="shared" si="0"/>
        <v>77.166666666666671</v>
      </c>
      <c r="CA15">
        <f t="shared" si="0"/>
        <v>77.333333333333329</v>
      </c>
      <c r="CB15">
        <f t="shared" si="0"/>
        <v>70.714285714285708</v>
      </c>
      <c r="CC15">
        <f t="shared" si="0"/>
        <v>66.875</v>
      </c>
      <c r="CD15">
        <f t="shared" si="0"/>
        <v>68.444444444444443</v>
      </c>
      <c r="CE15">
        <f t="shared" si="0"/>
        <v>66</v>
      </c>
      <c r="CF15">
        <f t="shared" si="4"/>
        <v>67.3</v>
      </c>
      <c r="CG15">
        <f t="shared" si="5"/>
        <v>65.900000000000006</v>
      </c>
      <c r="CH15">
        <f t="shared" si="6"/>
        <v>68.400000000000006</v>
      </c>
      <c r="CI15">
        <f t="shared" si="7"/>
        <v>62.555555555555557</v>
      </c>
      <c r="CJ15">
        <f t="shared" si="8"/>
        <v>57</v>
      </c>
      <c r="CK15">
        <f t="shared" si="9"/>
        <v>54.428571428571431</v>
      </c>
      <c r="CL15">
        <f t="shared" si="10"/>
        <v>58.333333333333336</v>
      </c>
      <c r="CM15">
        <f t="shared" si="11"/>
        <v>62</v>
      </c>
      <c r="CN15">
        <f t="shared" si="12"/>
        <v>57.25</v>
      </c>
      <c r="CO15">
        <f t="shared" si="13"/>
        <v>61.666666666666664</v>
      </c>
      <c r="CP15">
        <f t="shared" si="14"/>
        <v>67.5</v>
      </c>
      <c r="CQ15">
        <f t="shared" si="15"/>
        <v>88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15</v>
      </c>
      <c r="C16" s="14">
        <v>18</v>
      </c>
      <c r="D16" s="14">
        <v>14</v>
      </c>
      <c r="E16" s="14">
        <v>68</v>
      </c>
      <c r="F16" s="14">
        <v>9</v>
      </c>
      <c r="G16" s="14">
        <v>22</v>
      </c>
      <c r="H16" s="14">
        <v>24</v>
      </c>
      <c r="I16" s="14">
        <v>33</v>
      </c>
      <c r="J16" s="14">
        <v>26</v>
      </c>
      <c r="K16" s="14">
        <v>27</v>
      </c>
      <c r="L16" s="14">
        <v>51</v>
      </c>
      <c r="M16" s="14">
        <v>24</v>
      </c>
      <c r="N16" s="14">
        <v>60</v>
      </c>
      <c r="O16" s="14">
        <v>24</v>
      </c>
      <c r="P16" s="14">
        <v>27</v>
      </c>
      <c r="Q16" s="14">
        <v>51</v>
      </c>
      <c r="R16" s="14">
        <v>20</v>
      </c>
      <c r="S16" s="14"/>
      <c r="T16" s="14"/>
      <c r="U16" s="15"/>
      <c r="V16" s="15"/>
      <c r="W16" s="15">
        <v>25</v>
      </c>
      <c r="X16" s="15">
        <v>11</v>
      </c>
      <c r="Y16" s="15">
        <v>49</v>
      </c>
      <c r="Z16" s="15">
        <v>46</v>
      </c>
      <c r="AA16" s="15">
        <v>42</v>
      </c>
      <c r="AB16" s="15">
        <v>32</v>
      </c>
      <c r="AC16" s="15">
        <v>15</v>
      </c>
      <c r="AD16" s="111">
        <v>22</v>
      </c>
      <c r="AE16" s="124">
        <v>20</v>
      </c>
      <c r="AF16" s="124">
        <v>51</v>
      </c>
      <c r="AG16" s="124">
        <f>(2+1)+(2+2+1+1+1+4+2+2+1+1+3+5+2)</f>
        <v>30</v>
      </c>
      <c r="AH16" s="124">
        <f>(1+2+1+1+2+2+2+2+1)+(1+2+5+1+2)</f>
        <v>25</v>
      </c>
      <c r="AI16" s="124">
        <f>(2+1+1)+(1+1+1)+(7+3+1)+(1+4)+(2)</f>
        <v>25</v>
      </c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25.6</v>
      </c>
      <c r="BK16">
        <f t="shared" si="0"/>
        <v>29.2</v>
      </c>
      <c r="BL16">
        <f t="shared" si="2"/>
        <v>29.8</v>
      </c>
      <c r="BM16">
        <f t="shared" si="0"/>
        <v>34.4</v>
      </c>
      <c r="BN16">
        <f t="shared" si="0"/>
        <v>30</v>
      </c>
      <c r="BO16">
        <f t="shared" si="0"/>
        <v>31.8</v>
      </c>
      <c r="BP16">
        <f t="shared" si="0"/>
        <v>34.700000000000003</v>
      </c>
      <c r="BQ16">
        <f t="shared" si="0"/>
        <v>34.299999999999997</v>
      </c>
      <c r="BR16">
        <f t="shared" si="3"/>
        <v>34.444444444444443</v>
      </c>
      <c r="BS16">
        <f t="shared" si="3"/>
        <v>35.5</v>
      </c>
      <c r="BT16">
        <f t="shared" si="0"/>
        <v>36.714285714285715</v>
      </c>
      <c r="BU16">
        <f t="shared" si="0"/>
        <v>34.333333333333336</v>
      </c>
      <c r="BV16">
        <f t="shared" si="0"/>
        <v>34.5</v>
      </c>
      <c r="BW16">
        <f t="shared" si="0"/>
        <v>26.333333333333332</v>
      </c>
      <c r="BX16">
        <f t="shared" si="0"/>
        <v>30.5</v>
      </c>
      <c r="BY16">
        <f t="shared" si="0"/>
        <v>33.666666666666664</v>
      </c>
      <c r="BZ16">
        <f t="shared" si="0"/>
        <v>32.166666666666664</v>
      </c>
      <c r="CA16">
        <f t="shared" si="0"/>
        <v>34.166666666666664</v>
      </c>
      <c r="CB16">
        <f t="shared" si="0"/>
        <v>31.428571428571427</v>
      </c>
      <c r="CC16">
        <f t="shared" si="0"/>
        <v>30.25</v>
      </c>
      <c r="CD16">
        <f t="shared" si="0"/>
        <v>29.111111111111111</v>
      </c>
      <c r="CE16">
        <f t="shared" si="0"/>
        <v>31.3</v>
      </c>
      <c r="CF16">
        <f t="shared" si="4"/>
        <v>31.8</v>
      </c>
      <c r="CG16">
        <f t="shared" si="5"/>
        <v>33.200000000000003</v>
      </c>
      <c r="CH16">
        <f t="shared" si="6"/>
        <v>30.8</v>
      </c>
      <c r="CI16">
        <f t="shared" si="7"/>
        <v>29.111111111111111</v>
      </c>
      <c r="CJ16">
        <f t="shared" si="8"/>
        <v>27.5</v>
      </c>
      <c r="CK16">
        <f t="shared" si="9"/>
        <v>26.857142857142858</v>
      </c>
      <c r="CL16">
        <f t="shared" si="10"/>
        <v>28.833333333333332</v>
      </c>
      <c r="CM16">
        <f t="shared" si="11"/>
        <v>30.2</v>
      </c>
      <c r="CN16">
        <f t="shared" si="12"/>
        <v>32.75</v>
      </c>
      <c r="CO16">
        <f t="shared" si="13"/>
        <v>26.666666666666668</v>
      </c>
      <c r="CP16">
        <f t="shared" si="14"/>
        <v>25</v>
      </c>
      <c r="CQ16">
        <f t="shared" si="15"/>
        <v>25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1789</v>
      </c>
      <c r="C18" s="22">
        <f t="shared" ref="C18:AZ18" si="29">SUM(C5:C16)</f>
        <v>1722</v>
      </c>
      <c r="D18" s="22">
        <f t="shared" si="29"/>
        <v>1899</v>
      </c>
      <c r="E18" s="22">
        <f t="shared" si="29"/>
        <v>2145</v>
      </c>
      <c r="F18" s="22">
        <f t="shared" si="29"/>
        <v>2471</v>
      </c>
      <c r="G18" s="22">
        <f t="shared" si="29"/>
        <v>2136</v>
      </c>
      <c r="H18" s="22">
        <f t="shared" si="29"/>
        <v>2191</v>
      </c>
      <c r="I18" s="22">
        <f t="shared" si="29"/>
        <v>2452</v>
      </c>
      <c r="J18" s="22">
        <f t="shared" si="29"/>
        <v>1738</v>
      </c>
      <c r="K18" s="22">
        <f t="shared" si="29"/>
        <v>1393</v>
      </c>
      <c r="L18" s="22">
        <f t="shared" si="29"/>
        <v>2237</v>
      </c>
      <c r="M18" s="22">
        <f t="shared" si="29"/>
        <v>1782</v>
      </c>
      <c r="N18" s="22">
        <f t="shared" si="29"/>
        <v>1473</v>
      </c>
      <c r="O18" s="22">
        <f t="shared" si="29"/>
        <v>1789</v>
      </c>
      <c r="P18" s="22">
        <f t="shared" si="29"/>
        <v>1499</v>
      </c>
      <c r="Q18" s="22">
        <f t="shared" si="29"/>
        <v>1909</v>
      </c>
      <c r="R18" s="22">
        <f t="shared" si="29"/>
        <v>1529</v>
      </c>
      <c r="S18" s="22">
        <f t="shared" si="29"/>
        <v>0</v>
      </c>
      <c r="T18" s="22">
        <f t="shared" si="29"/>
        <v>0</v>
      </c>
      <c r="U18" s="22">
        <f t="shared" si="29"/>
        <v>0</v>
      </c>
      <c r="V18" s="22">
        <f t="shared" si="29"/>
        <v>0</v>
      </c>
      <c r="W18" s="22">
        <f t="shared" si="29"/>
        <v>1617</v>
      </c>
      <c r="X18" s="22">
        <f t="shared" si="29"/>
        <v>1656</v>
      </c>
      <c r="Y18" s="22">
        <f t="shared" si="29"/>
        <v>1682</v>
      </c>
      <c r="Z18" s="22">
        <f t="shared" si="29"/>
        <v>2079</v>
      </c>
      <c r="AA18" s="22">
        <f t="shared" si="29"/>
        <v>2208</v>
      </c>
      <c r="AB18" s="22">
        <f t="shared" si="29"/>
        <v>2095</v>
      </c>
      <c r="AC18" s="22">
        <f t="shared" si="29"/>
        <v>1476</v>
      </c>
      <c r="AD18" s="22">
        <f t="shared" si="29"/>
        <v>1530</v>
      </c>
      <c r="AE18" s="22">
        <f t="shared" si="29"/>
        <v>1337</v>
      </c>
      <c r="AF18" s="22">
        <f t="shared" si="29"/>
        <v>1193</v>
      </c>
      <c r="AG18" s="22">
        <f t="shared" si="29"/>
        <v>1260</v>
      </c>
      <c r="AH18" s="22">
        <f t="shared" si="29"/>
        <v>1022</v>
      </c>
      <c r="AI18" s="22">
        <f t="shared" si="29"/>
        <v>648</v>
      </c>
      <c r="AJ18" s="22">
        <f t="shared" si="29"/>
        <v>146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1047.2</v>
      </c>
      <c r="BZ18" s="25">
        <f>AVERAGE(R18:AA18)</f>
        <v>1077.0999999999999</v>
      </c>
      <c r="CA18" s="25">
        <f>AVERAGE(S18:AB18)</f>
        <v>1133.7</v>
      </c>
      <c r="CB18" s="25">
        <f>AVERAGE(T18:AC18)</f>
        <v>1281.3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D21" s="1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transitionEvaluation="1" codeName="Sheet27">
    <tabColor theme="9" tint="0.39997558519241921"/>
  </sheetPr>
  <dimension ref="A1:DD192"/>
  <sheetViews>
    <sheetView defaultGridColor="0" colorId="22" zoomScaleNormal="100" workbookViewId="0">
      <pane xSplit="1" topLeftCell="W1" activePane="topRight" state="frozen"/>
      <selection activeCell="B1" sqref="B1:U1048576"/>
      <selection pane="topRight" activeCell="AJ15" sqref="AJ15"/>
    </sheetView>
  </sheetViews>
  <sheetFormatPr baseColWidth="10" defaultColWidth="9.42578125" defaultRowHeight="20" customHeight="1" x14ac:dyDescent="0.2"/>
  <cols>
    <col min="1" max="1" width="11.28515625" style="5" customWidth="1"/>
    <col min="2" max="22" width="5.7109375" style="5" hidden="1" customWidth="1"/>
    <col min="23" max="28" width="5.7109375" style="5" customWidth="1"/>
    <col min="29" max="29" width="6.42578125" style="5" customWidth="1"/>
    <col min="30" max="30" width="9.42578125" style="5" customWidth="1"/>
    <col min="31" max="52" width="9.42578125" customWidth="1"/>
    <col min="53" max="74" width="9.42578125" style="5" customWidth="1"/>
    <col min="75" max="75" width="4.7109375" style="5" customWidth="1"/>
    <col min="76" max="76" width="8.140625" style="5" customWidth="1"/>
    <col min="77" max="77" width="20.140625" style="5" customWidth="1"/>
    <col min="78" max="78" width="9.42578125" style="5" customWidth="1"/>
    <col min="79" max="79" width="16.42578125" style="5" customWidth="1"/>
    <col min="80" max="80" width="16.85546875" style="5" customWidth="1"/>
    <col min="81" max="81" width="17.570312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13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111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/>
      <c r="G5" s="16">
        <v>10</v>
      </c>
      <c r="H5" s="16">
        <v>26</v>
      </c>
      <c r="I5" s="16">
        <v>87</v>
      </c>
      <c r="J5" s="16">
        <v>71</v>
      </c>
      <c r="K5" s="16">
        <v>53</v>
      </c>
      <c r="L5" s="16">
        <v>53</v>
      </c>
      <c r="M5" s="16">
        <v>114</v>
      </c>
      <c r="N5" s="16">
        <v>51</v>
      </c>
      <c r="O5" s="16">
        <v>99</v>
      </c>
      <c r="P5" s="16">
        <v>53</v>
      </c>
      <c r="Q5" s="16">
        <v>42</v>
      </c>
      <c r="R5" s="16">
        <v>46</v>
      </c>
      <c r="S5" s="16"/>
      <c r="T5" s="16"/>
      <c r="U5" s="17">
        <v>0</v>
      </c>
      <c r="V5" s="17"/>
      <c r="W5" s="17">
        <v>0</v>
      </c>
      <c r="X5" s="17">
        <v>85</v>
      </c>
      <c r="Y5" s="17">
        <v>34</v>
      </c>
      <c r="Z5" s="17">
        <v>72</v>
      </c>
      <c r="AA5" s="17">
        <v>39.5</v>
      </c>
      <c r="AB5" s="17">
        <v>69</v>
      </c>
      <c r="AC5" s="17">
        <v>72</v>
      </c>
      <c r="AD5" s="17">
        <v>50</v>
      </c>
      <c r="AE5" s="10">
        <v>71</v>
      </c>
      <c r="AF5" s="10">
        <v>112</v>
      </c>
      <c r="AG5" s="10">
        <f>36+11</f>
        <v>47</v>
      </c>
      <c r="AH5" s="10">
        <f>17+32+34+1</f>
        <v>84</v>
      </c>
      <c r="AI5" s="10">
        <v>59</v>
      </c>
      <c r="AJ5" s="10">
        <f>SUM(2+1+2+2+2+1+2+2+1+1+2+1+2+1+1+3+1+2+2+4)</f>
        <v>35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49.4</v>
      </c>
      <c r="BK5">
        <f t="shared" ref="BK5:DD16" si="0">AVERAGE(C5:L5)</f>
        <v>50</v>
      </c>
      <c r="BL5">
        <f>AVERAGE(D5:M5)</f>
        <v>59.142857142857146</v>
      </c>
      <c r="BM5">
        <f t="shared" si="0"/>
        <v>58.125</v>
      </c>
      <c r="BN5">
        <f t="shared" si="0"/>
        <v>62.666666666666664</v>
      </c>
      <c r="BO5">
        <f t="shared" si="0"/>
        <v>61.7</v>
      </c>
      <c r="BP5">
        <f t="shared" si="0"/>
        <v>64.900000000000006</v>
      </c>
      <c r="BQ5">
        <f t="shared" si="0"/>
        <v>66.900000000000006</v>
      </c>
      <c r="BR5">
        <f t="shared" si="0"/>
        <v>64.666666666666671</v>
      </c>
      <c r="BS5">
        <f t="shared" si="0"/>
        <v>63.875</v>
      </c>
      <c r="BT5">
        <f t="shared" si="0"/>
        <v>57.25</v>
      </c>
      <c r="BU5">
        <f t="shared" si="0"/>
        <v>57.857142857142854</v>
      </c>
      <c r="BV5">
        <f t="shared" si="0"/>
        <v>41.571428571428569</v>
      </c>
      <c r="BW5">
        <f t="shared" si="0"/>
        <v>46.428571428571431</v>
      </c>
      <c r="BX5">
        <f t="shared" si="0"/>
        <v>37.142857142857146</v>
      </c>
      <c r="BY5">
        <f t="shared" si="0"/>
        <v>39.857142857142854</v>
      </c>
      <c r="BZ5">
        <f t="shared" si="0"/>
        <v>39.5</v>
      </c>
      <c r="CA5">
        <f t="shared" si="0"/>
        <v>42.785714285714285</v>
      </c>
      <c r="CB5">
        <f t="shared" si="0"/>
        <v>46.4375</v>
      </c>
      <c r="CC5">
        <f t="shared" si="0"/>
        <v>46.833333333333336</v>
      </c>
      <c r="CD5">
        <f t="shared" si="0"/>
        <v>54.722222222222221</v>
      </c>
      <c r="CE5">
        <f t="shared" si="0"/>
        <v>60.45</v>
      </c>
      <c r="CF5">
        <f t="shared" si="0"/>
        <v>65.150000000000006</v>
      </c>
      <c r="CG5">
        <f t="shared" si="0"/>
        <v>65.05</v>
      </c>
      <c r="CH5">
        <f t="shared" si="0"/>
        <v>67.55</v>
      </c>
      <c r="CI5">
        <f t="shared" si="0"/>
        <v>63.85</v>
      </c>
      <c r="CJ5">
        <f t="shared" si="0"/>
        <v>66.555555555555557</v>
      </c>
      <c r="CK5">
        <f t="shared" si="0"/>
        <v>66.25</v>
      </c>
      <c r="CL5">
        <f t="shared" si="0"/>
        <v>65.428571428571431</v>
      </c>
      <c r="CM5">
        <f t="shared" si="0"/>
        <v>68</v>
      </c>
      <c r="CN5">
        <f t="shared" si="0"/>
        <v>67.400000000000006</v>
      </c>
      <c r="CO5">
        <f t="shared" si="0"/>
        <v>56.25</v>
      </c>
      <c r="CP5">
        <f t="shared" si="0"/>
        <v>59.333333333333336</v>
      </c>
      <c r="CQ5">
        <f t="shared" si="0"/>
        <v>47</v>
      </c>
      <c r="CR5">
        <f t="shared" si="0"/>
        <v>35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/>
      <c r="G6" s="14">
        <v>10</v>
      </c>
      <c r="H6" s="14">
        <v>45</v>
      </c>
      <c r="I6" s="14">
        <v>89</v>
      </c>
      <c r="J6" s="14">
        <v>62</v>
      </c>
      <c r="K6" s="14">
        <v>60</v>
      </c>
      <c r="L6" s="14">
        <v>23</v>
      </c>
      <c r="M6" s="14">
        <v>100</v>
      </c>
      <c r="N6" s="14">
        <v>50</v>
      </c>
      <c r="O6" s="14">
        <v>85</v>
      </c>
      <c r="P6" s="14">
        <v>60</v>
      </c>
      <c r="Q6" s="14">
        <v>71</v>
      </c>
      <c r="R6" s="14">
        <v>45</v>
      </c>
      <c r="S6" s="14"/>
      <c r="T6" s="14"/>
      <c r="U6" s="15">
        <v>0</v>
      </c>
      <c r="V6" s="15"/>
      <c r="W6" s="15">
        <v>66</v>
      </c>
      <c r="X6" s="15">
        <v>54</v>
      </c>
      <c r="Y6" s="15">
        <v>50</v>
      </c>
      <c r="Z6" s="15">
        <v>25</v>
      </c>
      <c r="AA6" s="15">
        <v>40</v>
      </c>
      <c r="AB6" s="15">
        <v>62</v>
      </c>
      <c r="AC6" s="15">
        <v>52</v>
      </c>
      <c r="AD6" s="15">
        <v>70</v>
      </c>
      <c r="AE6" s="124">
        <v>70</v>
      </c>
      <c r="AF6" s="124">
        <v>71</v>
      </c>
      <c r="AG6" s="124">
        <f>32+22</f>
        <v>54</v>
      </c>
      <c r="AH6" s="124">
        <f>36+43+19</f>
        <v>98</v>
      </c>
      <c r="AI6" s="124">
        <v>92</v>
      </c>
      <c r="AJ6" s="124">
        <f>SUM(2+3+1+1+2+5+2+2+3+2+1+1+2)</f>
        <v>27</v>
      </c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53.2</v>
      </c>
      <c r="BK6">
        <f t="shared" si="0"/>
        <v>48.166666666666664</v>
      </c>
      <c r="BL6">
        <f t="shared" ref="BL6:BL16" si="2">AVERAGE(D6:M6)</f>
        <v>55.571428571428569</v>
      </c>
      <c r="BM6">
        <f t="shared" si="0"/>
        <v>54.875</v>
      </c>
      <c r="BN6">
        <f t="shared" si="0"/>
        <v>58.222222222222221</v>
      </c>
      <c r="BO6">
        <f t="shared" si="0"/>
        <v>58.4</v>
      </c>
      <c r="BP6">
        <f t="shared" si="0"/>
        <v>64.5</v>
      </c>
      <c r="BQ6">
        <f t="shared" si="0"/>
        <v>64.5</v>
      </c>
      <c r="BR6">
        <f t="shared" ref="BR6:BS16" si="3">AVERAGE(J6:S6)</f>
        <v>61.777777777777779</v>
      </c>
      <c r="BS6">
        <f t="shared" si="3"/>
        <v>61.75</v>
      </c>
      <c r="BT6">
        <f t="shared" si="0"/>
        <v>54.25</v>
      </c>
      <c r="BU6">
        <f t="shared" si="0"/>
        <v>58.714285714285715</v>
      </c>
      <c r="BV6">
        <f t="shared" si="0"/>
        <v>53.857142857142854</v>
      </c>
      <c r="BW6">
        <f t="shared" si="0"/>
        <v>54.428571428571431</v>
      </c>
      <c r="BX6">
        <f t="shared" si="0"/>
        <v>49.428571428571431</v>
      </c>
      <c r="BY6">
        <f t="shared" si="0"/>
        <v>44.428571428571431</v>
      </c>
      <c r="BZ6">
        <f t="shared" si="0"/>
        <v>40</v>
      </c>
      <c r="CA6">
        <f t="shared" si="0"/>
        <v>42.428571428571431</v>
      </c>
      <c r="CB6">
        <f t="shared" si="0"/>
        <v>43.625</v>
      </c>
      <c r="CC6">
        <f t="shared" si="0"/>
        <v>46.555555555555557</v>
      </c>
      <c r="CD6">
        <f t="shared" si="0"/>
        <v>54.333333333333336</v>
      </c>
      <c r="CE6">
        <f t="shared" si="0"/>
        <v>56</v>
      </c>
      <c r="CF6">
        <f t="shared" ref="CF6:CF16" si="4">AVERAGE(X6:AG6)</f>
        <v>54.8</v>
      </c>
      <c r="CG6">
        <f t="shared" ref="CG6:CG16" si="5">AVERAGE(Y6:AH6)</f>
        <v>59.2</v>
      </c>
      <c r="CH6">
        <f t="shared" ref="CH6:CH16" si="6">AVERAGE(Z6:AI6)</f>
        <v>63.4</v>
      </c>
      <c r="CI6">
        <f t="shared" ref="CI6:CI16" si="7">AVERAGE(AA6:AJ6)</f>
        <v>63.6</v>
      </c>
      <c r="CJ6">
        <f t="shared" ref="CJ6:CJ16" si="8">AVERAGE(AB6:AK6)</f>
        <v>66.222222222222229</v>
      </c>
      <c r="CK6">
        <f t="shared" ref="CK6:CK16" si="9">AVERAGE(AC6:AL6)</f>
        <v>66.75</v>
      </c>
      <c r="CL6">
        <f t="shared" ref="CL6:CL16" si="10">AVERAGE(AD6:AM6)</f>
        <v>68.857142857142861</v>
      </c>
      <c r="CM6">
        <f t="shared" ref="CM6:CM16" si="11">AVERAGE(AE6:AN6)</f>
        <v>68.666666666666671</v>
      </c>
      <c r="CN6">
        <f t="shared" ref="CN6:CN16" si="12">AVERAGE(AF6:AO6)</f>
        <v>68.400000000000006</v>
      </c>
      <c r="CO6">
        <f t="shared" ref="CO6:CO16" si="13">AVERAGE(AG6:AP6)</f>
        <v>67.75</v>
      </c>
      <c r="CP6">
        <f t="shared" ref="CP6:CP16" si="14">AVERAGE(AH6:AQ6)</f>
        <v>72.333333333333329</v>
      </c>
      <c r="CQ6">
        <f t="shared" ref="CQ6:CQ16" si="15">AVERAGE(AI6:AR6)</f>
        <v>59.5</v>
      </c>
      <c r="CR6">
        <f t="shared" ref="CR6:CR16" si="16">AVERAGE(AJ6:AS6)</f>
        <v>27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/>
      <c r="G7" s="16">
        <v>10</v>
      </c>
      <c r="H7" s="16">
        <v>67</v>
      </c>
      <c r="I7" s="16">
        <v>93</v>
      </c>
      <c r="J7" s="16">
        <v>73</v>
      </c>
      <c r="K7" s="16">
        <v>107</v>
      </c>
      <c r="L7" s="16">
        <v>52</v>
      </c>
      <c r="M7" s="16">
        <v>108</v>
      </c>
      <c r="N7" s="16">
        <v>46</v>
      </c>
      <c r="O7" s="16">
        <v>43</v>
      </c>
      <c r="P7" s="16">
        <v>65</v>
      </c>
      <c r="Q7" s="16">
        <v>73</v>
      </c>
      <c r="R7" s="16">
        <v>59</v>
      </c>
      <c r="S7" s="16"/>
      <c r="T7" s="16"/>
      <c r="U7" s="17">
        <v>0</v>
      </c>
      <c r="V7" s="17"/>
      <c r="W7" s="17">
        <v>120</v>
      </c>
      <c r="X7" s="17">
        <v>129</v>
      </c>
      <c r="Y7" s="17">
        <v>64</v>
      </c>
      <c r="Z7" s="17">
        <v>69</v>
      </c>
      <c r="AA7" s="17">
        <v>73.5</v>
      </c>
      <c r="AB7" s="17">
        <v>41</v>
      </c>
      <c r="AC7" s="17">
        <v>94</v>
      </c>
      <c r="AD7" s="17">
        <v>73</v>
      </c>
      <c r="AE7" s="10">
        <v>137</v>
      </c>
      <c r="AF7" s="10">
        <v>112</v>
      </c>
      <c r="AG7" s="10">
        <f>28+44+8</f>
        <v>80</v>
      </c>
      <c r="AH7" s="10">
        <f>11+40</f>
        <v>51</v>
      </c>
      <c r="AI7" s="10">
        <v>103</v>
      </c>
      <c r="AJ7" s="10">
        <f>SUM(2+2+2+1+1+1+2+2+2+2+1+1+3+1+1+2+2+1+1+1+1+1+1+1+2+1+2+2+1+2+2+2+1+4+2+2+2+1+1+1+1+2+2+2+2+1+2+1+2+1+1+3)</f>
        <v>83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70</v>
      </c>
      <c r="BK7">
        <f t="shared" si="0"/>
        <v>67</v>
      </c>
      <c r="BL7">
        <f t="shared" si="2"/>
        <v>72.857142857142861</v>
      </c>
      <c r="BM7">
        <f t="shared" si="0"/>
        <v>69.5</v>
      </c>
      <c r="BN7">
        <f t="shared" si="0"/>
        <v>66.555555555555557</v>
      </c>
      <c r="BO7">
        <f t="shared" si="0"/>
        <v>66.400000000000006</v>
      </c>
      <c r="BP7">
        <f t="shared" si="0"/>
        <v>72.7</v>
      </c>
      <c r="BQ7">
        <f t="shared" si="0"/>
        <v>71.900000000000006</v>
      </c>
      <c r="BR7">
        <f t="shared" si="3"/>
        <v>69.555555555555557</v>
      </c>
      <c r="BS7">
        <f t="shared" si="3"/>
        <v>69.125</v>
      </c>
      <c r="BT7">
        <f t="shared" si="0"/>
        <v>55.75</v>
      </c>
      <c r="BU7">
        <f t="shared" si="0"/>
        <v>56.285714285714285</v>
      </c>
      <c r="BV7">
        <f t="shared" si="0"/>
        <v>58</v>
      </c>
      <c r="BW7">
        <f t="shared" si="0"/>
        <v>69.857142857142861</v>
      </c>
      <c r="BX7">
        <f>AVERAGE(P7:Y7)</f>
        <v>72.857142857142861</v>
      </c>
      <c r="BY7">
        <f t="shared" si="0"/>
        <v>73.428571428571431</v>
      </c>
      <c r="BZ7">
        <f t="shared" si="0"/>
        <v>73.5</v>
      </c>
      <c r="CA7">
        <f t="shared" si="0"/>
        <v>70.928571428571431</v>
      </c>
      <c r="CB7">
        <f t="shared" si="0"/>
        <v>73.8125</v>
      </c>
      <c r="CC7">
        <f t="shared" si="0"/>
        <v>73.722222222222229</v>
      </c>
      <c r="CD7">
        <f t="shared" si="0"/>
        <v>88.944444444444443</v>
      </c>
      <c r="CE7">
        <f>AVERAGE(W7:AF7)</f>
        <v>91.25</v>
      </c>
      <c r="CF7">
        <f t="shared" si="4"/>
        <v>87.25</v>
      </c>
      <c r="CG7">
        <f t="shared" si="5"/>
        <v>79.45</v>
      </c>
      <c r="CH7">
        <f t="shared" si="6"/>
        <v>83.35</v>
      </c>
      <c r="CI7">
        <f t="shared" si="7"/>
        <v>84.75</v>
      </c>
      <c r="CJ7">
        <f t="shared" si="8"/>
        <v>86</v>
      </c>
      <c r="CK7">
        <f t="shared" si="9"/>
        <v>91.625</v>
      </c>
      <c r="CL7">
        <f t="shared" si="10"/>
        <v>91.285714285714292</v>
      </c>
      <c r="CM7">
        <f t="shared" si="11"/>
        <v>94.333333333333329</v>
      </c>
      <c r="CN7">
        <f t="shared" si="12"/>
        <v>85.8</v>
      </c>
      <c r="CO7">
        <f t="shared" si="13"/>
        <v>79.25</v>
      </c>
      <c r="CP7">
        <f t="shared" si="14"/>
        <v>79</v>
      </c>
      <c r="CQ7">
        <f t="shared" si="15"/>
        <v>93</v>
      </c>
      <c r="CR7">
        <f t="shared" si="16"/>
        <v>83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/>
      <c r="G8" s="14">
        <v>50</v>
      </c>
      <c r="H8" s="14">
        <v>153</v>
      </c>
      <c r="I8" s="14">
        <v>168</v>
      </c>
      <c r="J8" s="14">
        <v>157</v>
      </c>
      <c r="K8" s="14">
        <v>70</v>
      </c>
      <c r="L8" s="14">
        <v>139</v>
      </c>
      <c r="M8" s="14">
        <v>128</v>
      </c>
      <c r="N8" s="14">
        <v>130</v>
      </c>
      <c r="O8" s="14">
        <v>144</v>
      </c>
      <c r="P8" s="14">
        <v>72</v>
      </c>
      <c r="Q8" s="14">
        <v>160</v>
      </c>
      <c r="R8" s="14">
        <v>94</v>
      </c>
      <c r="S8" s="14"/>
      <c r="T8" s="14"/>
      <c r="U8" s="15">
        <v>37</v>
      </c>
      <c r="V8" s="15"/>
      <c r="W8" s="15">
        <v>215</v>
      </c>
      <c r="X8" s="15">
        <v>111</v>
      </c>
      <c r="Y8" s="15">
        <v>207</v>
      </c>
      <c r="Z8" s="15">
        <v>156</v>
      </c>
      <c r="AA8" s="15">
        <v>136.66666666666666</v>
      </c>
      <c r="AB8" s="15">
        <v>168</v>
      </c>
      <c r="AC8" s="15">
        <v>63</v>
      </c>
      <c r="AD8" s="15">
        <v>197</v>
      </c>
      <c r="AE8" s="124">
        <v>163</v>
      </c>
      <c r="AF8" s="124">
        <v>135</v>
      </c>
      <c r="AG8" s="124">
        <f>26+41+39+22</f>
        <v>128</v>
      </c>
      <c r="AH8" s="124">
        <f>4+33+31+37+15</f>
        <v>120</v>
      </c>
      <c r="AI8" s="124">
        <v>97</v>
      </c>
      <c r="AJ8" s="124">
        <f>SUM(1+1+2+2+4+2+2+1+1+2+1+1+2+1+2+1+3+2+2+1+1+2+1+2+2+2+1+2+3+3+2+1+2+2+4+2+2+2+2+15+2)</f>
        <v>89</v>
      </c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119.6</v>
      </c>
      <c r="BK8">
        <f t="shared" si="0"/>
        <v>122.83333333333333</v>
      </c>
      <c r="BL8">
        <f t="shared" si="2"/>
        <v>123.57142857142857</v>
      </c>
      <c r="BM8">
        <f t="shared" si="0"/>
        <v>124.375</v>
      </c>
      <c r="BN8">
        <f t="shared" si="0"/>
        <v>126.55555555555556</v>
      </c>
      <c r="BO8">
        <f t="shared" si="0"/>
        <v>121.1</v>
      </c>
      <c r="BP8">
        <f t="shared" si="0"/>
        <v>132.1</v>
      </c>
      <c r="BQ8">
        <f t="shared" si="0"/>
        <v>126.2</v>
      </c>
      <c r="BR8">
        <f t="shared" si="3"/>
        <v>121.55555555555556</v>
      </c>
      <c r="BS8">
        <f t="shared" si="3"/>
        <v>117.125</v>
      </c>
      <c r="BT8">
        <f>AVERAGE(L8:U8)</f>
        <v>113</v>
      </c>
      <c r="BU8">
        <f t="shared" si="0"/>
        <v>109.28571428571429</v>
      </c>
      <c r="BV8">
        <f t="shared" si="0"/>
        <v>121.71428571428571</v>
      </c>
      <c r="BW8">
        <f t="shared" si="0"/>
        <v>119</v>
      </c>
      <c r="BX8">
        <f t="shared" si="0"/>
        <v>128</v>
      </c>
      <c r="BY8">
        <f t="shared" si="0"/>
        <v>140</v>
      </c>
      <c r="BZ8">
        <f t="shared" si="0"/>
        <v>136.66666666666666</v>
      </c>
      <c r="CA8">
        <f t="shared" si="0"/>
        <v>147.23809523809521</v>
      </c>
      <c r="CB8">
        <f t="shared" si="0"/>
        <v>136.70833333333331</v>
      </c>
      <c r="CC8">
        <f t="shared" si="0"/>
        <v>143.40740740740739</v>
      </c>
      <c r="CD8">
        <f t="shared" si="0"/>
        <v>157.40740740740739</v>
      </c>
      <c r="CE8">
        <f t="shared" si="0"/>
        <v>155.16666666666666</v>
      </c>
      <c r="CF8">
        <f t="shared" si="4"/>
        <v>146.46666666666664</v>
      </c>
      <c r="CG8">
        <f t="shared" si="5"/>
        <v>147.36666666666665</v>
      </c>
      <c r="CH8">
        <f t="shared" si="6"/>
        <v>136.36666666666665</v>
      </c>
      <c r="CI8">
        <f t="shared" si="7"/>
        <v>129.66666666666666</v>
      </c>
      <c r="CJ8">
        <f t="shared" si="8"/>
        <v>128.88888888888889</v>
      </c>
      <c r="CK8">
        <f t="shared" si="9"/>
        <v>124</v>
      </c>
      <c r="CL8">
        <f t="shared" si="10"/>
        <v>132.71428571428572</v>
      </c>
      <c r="CM8">
        <f t="shared" si="11"/>
        <v>122</v>
      </c>
      <c r="CN8">
        <f t="shared" si="12"/>
        <v>113.8</v>
      </c>
      <c r="CO8">
        <f t="shared" si="13"/>
        <v>108.5</v>
      </c>
      <c r="CP8">
        <f t="shared" si="14"/>
        <v>102</v>
      </c>
      <c r="CQ8">
        <f t="shared" si="15"/>
        <v>93</v>
      </c>
      <c r="CR8">
        <f t="shared" si="16"/>
        <v>89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/>
      <c r="F9" s="16"/>
      <c r="G9" s="16">
        <v>50</v>
      </c>
      <c r="H9" s="16">
        <v>240</v>
      </c>
      <c r="I9" s="16">
        <v>255</v>
      </c>
      <c r="J9" s="16">
        <v>187</v>
      </c>
      <c r="K9" s="16">
        <v>101</v>
      </c>
      <c r="L9" s="16">
        <v>206</v>
      </c>
      <c r="M9" s="16">
        <v>175</v>
      </c>
      <c r="N9" s="16">
        <v>187</v>
      </c>
      <c r="O9" s="16">
        <v>194</v>
      </c>
      <c r="P9" s="16">
        <v>219</v>
      </c>
      <c r="Q9" s="16">
        <v>122</v>
      </c>
      <c r="R9" s="16">
        <v>193</v>
      </c>
      <c r="S9" s="16"/>
      <c r="T9" s="16"/>
      <c r="U9" s="17">
        <v>218</v>
      </c>
      <c r="V9" s="17"/>
      <c r="W9" s="17">
        <v>181</v>
      </c>
      <c r="X9" s="17">
        <v>187</v>
      </c>
      <c r="Y9" s="17">
        <v>237</v>
      </c>
      <c r="Z9" s="17">
        <v>228</v>
      </c>
      <c r="AA9" s="17">
        <v>207.33333333333334</v>
      </c>
      <c r="AB9" s="17">
        <v>307</v>
      </c>
      <c r="AC9" s="17">
        <v>93</v>
      </c>
      <c r="AD9" s="17">
        <v>219</v>
      </c>
      <c r="AE9" s="10">
        <v>348</v>
      </c>
      <c r="AF9" s="10">
        <v>191</v>
      </c>
      <c r="AG9" s="10">
        <f>17+46+29+30+44+7</f>
        <v>173</v>
      </c>
      <c r="AH9" s="10">
        <v>186</v>
      </c>
      <c r="AI9" s="10">
        <v>161</v>
      </c>
      <c r="AJ9" s="10">
        <f>SUM(2+1+3+2+1+1+1+1+4+2+2+1+2+3+2+2+1+2+3+3+2+2+3+5+2+2+2+1+1+2+2+8+1)</f>
        <v>72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166.6</v>
      </c>
      <c r="BK9">
        <f t="shared" si="0"/>
        <v>173.16666666666666</v>
      </c>
      <c r="BL9">
        <f t="shared" si="2"/>
        <v>173.42857142857142</v>
      </c>
      <c r="BM9">
        <f t="shared" si="0"/>
        <v>175.125</v>
      </c>
      <c r="BN9">
        <f t="shared" si="0"/>
        <v>177.22222222222223</v>
      </c>
      <c r="BO9">
        <f t="shared" si="0"/>
        <v>181.4</v>
      </c>
      <c r="BP9">
        <f t="shared" si="0"/>
        <v>188.6</v>
      </c>
      <c r="BQ9">
        <f t="shared" si="0"/>
        <v>183.9</v>
      </c>
      <c r="BR9">
        <f t="shared" si="3"/>
        <v>176</v>
      </c>
      <c r="BS9">
        <f t="shared" si="3"/>
        <v>174.625</v>
      </c>
      <c r="BT9">
        <f t="shared" si="0"/>
        <v>189.25</v>
      </c>
      <c r="BU9">
        <f t="shared" si="0"/>
        <v>186.85714285714286</v>
      </c>
      <c r="BV9">
        <f t="shared" si="0"/>
        <v>187.71428571428572</v>
      </c>
      <c r="BW9">
        <f t="shared" si="0"/>
        <v>187.71428571428572</v>
      </c>
      <c r="BX9">
        <f t="shared" si="0"/>
        <v>193.85714285714286</v>
      </c>
      <c r="BY9">
        <f t="shared" si="0"/>
        <v>195.14285714285714</v>
      </c>
      <c r="BZ9">
        <f t="shared" si="0"/>
        <v>207.33333333333331</v>
      </c>
      <c r="CA9">
        <f t="shared" si="0"/>
        <v>223.61904761904762</v>
      </c>
      <c r="CB9">
        <f t="shared" si="0"/>
        <v>207.29166666666666</v>
      </c>
      <c r="CC9">
        <f t="shared" si="0"/>
        <v>208.59259259259258</v>
      </c>
      <c r="CD9">
        <f t="shared" si="0"/>
        <v>223.03703703703704</v>
      </c>
      <c r="CE9">
        <f t="shared" si="0"/>
        <v>219.83333333333331</v>
      </c>
      <c r="CF9">
        <f t="shared" si="4"/>
        <v>219.03333333333336</v>
      </c>
      <c r="CG9">
        <f t="shared" si="5"/>
        <v>218.93333333333334</v>
      </c>
      <c r="CH9">
        <f t="shared" si="6"/>
        <v>211.33333333333334</v>
      </c>
      <c r="CI9">
        <f t="shared" si="7"/>
        <v>195.73333333333335</v>
      </c>
      <c r="CJ9">
        <f t="shared" si="8"/>
        <v>194.44444444444446</v>
      </c>
      <c r="CK9">
        <f t="shared" si="9"/>
        <v>180.375</v>
      </c>
      <c r="CL9">
        <f t="shared" si="10"/>
        <v>192.85714285714286</v>
      </c>
      <c r="CM9">
        <f t="shared" si="11"/>
        <v>188.5</v>
      </c>
      <c r="CN9">
        <f t="shared" si="12"/>
        <v>156.6</v>
      </c>
      <c r="CO9">
        <f t="shared" si="13"/>
        <v>148</v>
      </c>
      <c r="CP9">
        <f t="shared" si="14"/>
        <v>139.66666666666666</v>
      </c>
      <c r="CQ9">
        <f t="shared" si="15"/>
        <v>116.5</v>
      </c>
      <c r="CR9">
        <f t="shared" si="16"/>
        <v>72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/>
      <c r="C10" s="14"/>
      <c r="D10" s="14"/>
      <c r="E10" s="14"/>
      <c r="F10" s="14"/>
      <c r="G10" s="14">
        <v>132</v>
      </c>
      <c r="H10" s="14">
        <v>197</v>
      </c>
      <c r="I10" s="14">
        <v>177</v>
      </c>
      <c r="J10" s="14">
        <v>72</v>
      </c>
      <c r="K10" s="14">
        <v>80</v>
      </c>
      <c r="L10" s="14">
        <v>109</v>
      </c>
      <c r="M10" s="14">
        <v>228</v>
      </c>
      <c r="N10" s="14">
        <v>112</v>
      </c>
      <c r="O10" s="14">
        <v>161</v>
      </c>
      <c r="P10" s="14">
        <v>112</v>
      </c>
      <c r="Q10" s="14">
        <v>149</v>
      </c>
      <c r="R10" s="14">
        <v>170</v>
      </c>
      <c r="S10" s="14"/>
      <c r="T10" s="14"/>
      <c r="U10" s="15">
        <v>25</v>
      </c>
      <c r="V10" s="15"/>
      <c r="W10" s="15">
        <v>200</v>
      </c>
      <c r="X10" s="15">
        <v>269</v>
      </c>
      <c r="Y10" s="15">
        <v>185</v>
      </c>
      <c r="Z10" s="15">
        <v>114</v>
      </c>
      <c r="AA10" s="15">
        <v>173</v>
      </c>
      <c r="AB10" s="15">
        <v>131</v>
      </c>
      <c r="AC10" s="15">
        <v>205</v>
      </c>
      <c r="AD10" s="15">
        <v>211</v>
      </c>
      <c r="AE10" s="124">
        <v>261</v>
      </c>
      <c r="AF10" s="124">
        <v>178</v>
      </c>
      <c r="AG10" s="124">
        <f>34+27+43+57+19</f>
        <v>180</v>
      </c>
      <c r="AH10" s="124">
        <v>112</v>
      </c>
      <c r="AI10" s="124">
        <v>160</v>
      </c>
      <c r="AJ10" s="124">
        <f>SUM(1+2+2+1+2+3+2+3+5+1+1+5+1+1+4+2+3+3+3+1+1+1+4+1+1+2+1+1+1+1+2+1+2+12+1+3+1+1+1+1+12+2+2+3+7+1+2+2+2+2+2+2+2+3+1+2+4+4+4+4+2+5+2+1+2)</f>
        <v>160</v>
      </c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131.6</v>
      </c>
      <c r="BK10">
        <f t="shared" si="0"/>
        <v>127.83333333333333</v>
      </c>
      <c r="BL10">
        <f t="shared" si="2"/>
        <v>142.14285714285714</v>
      </c>
      <c r="BM10">
        <f t="shared" si="0"/>
        <v>138.375</v>
      </c>
      <c r="BN10">
        <f t="shared" si="0"/>
        <v>140.88888888888889</v>
      </c>
      <c r="BO10">
        <f t="shared" si="0"/>
        <v>138</v>
      </c>
      <c r="BP10">
        <f t="shared" si="0"/>
        <v>139.69999999999999</v>
      </c>
      <c r="BQ10">
        <f t="shared" si="0"/>
        <v>137</v>
      </c>
      <c r="BR10">
        <f t="shared" si="3"/>
        <v>132.55555555555554</v>
      </c>
      <c r="BS10">
        <f t="shared" si="3"/>
        <v>140.125</v>
      </c>
      <c r="BT10">
        <f t="shared" si="0"/>
        <v>133.25</v>
      </c>
      <c r="BU10">
        <f t="shared" si="0"/>
        <v>136.71428571428572</v>
      </c>
      <c r="BV10">
        <f t="shared" si="0"/>
        <v>132.71428571428572</v>
      </c>
      <c r="BW10">
        <f t="shared" si="0"/>
        <v>155.14285714285714</v>
      </c>
      <c r="BX10">
        <f t="shared" si="0"/>
        <v>158.57142857142858</v>
      </c>
      <c r="BY10">
        <f t="shared" si="0"/>
        <v>158.85714285714286</v>
      </c>
      <c r="BZ10">
        <f t="shared" si="0"/>
        <v>162.28571428571428</v>
      </c>
      <c r="CA10">
        <f t="shared" si="0"/>
        <v>156.71428571428572</v>
      </c>
      <c r="CB10">
        <f t="shared" si="0"/>
        <v>162.75</v>
      </c>
      <c r="CC10">
        <f t="shared" si="0"/>
        <v>168.11111111111111</v>
      </c>
      <c r="CD10">
        <f t="shared" si="0"/>
        <v>194.33333333333334</v>
      </c>
      <c r="CE10">
        <f t="shared" si="0"/>
        <v>192.7</v>
      </c>
      <c r="CF10">
        <f t="shared" si="4"/>
        <v>190.7</v>
      </c>
      <c r="CG10">
        <f t="shared" si="5"/>
        <v>175</v>
      </c>
      <c r="CH10">
        <f t="shared" si="6"/>
        <v>172.5</v>
      </c>
      <c r="CI10">
        <f t="shared" si="7"/>
        <v>177.1</v>
      </c>
      <c r="CJ10">
        <f t="shared" si="8"/>
        <v>177.55555555555554</v>
      </c>
      <c r="CK10">
        <f t="shared" si="9"/>
        <v>183.375</v>
      </c>
      <c r="CL10">
        <f t="shared" si="10"/>
        <v>180.28571428571428</v>
      </c>
      <c r="CM10">
        <f t="shared" si="11"/>
        <v>175.16666666666666</v>
      </c>
      <c r="CN10">
        <f t="shared" si="12"/>
        <v>158</v>
      </c>
      <c r="CO10">
        <f t="shared" si="13"/>
        <v>153</v>
      </c>
      <c r="CP10">
        <f t="shared" si="14"/>
        <v>144</v>
      </c>
      <c r="CQ10">
        <f t="shared" si="15"/>
        <v>160</v>
      </c>
      <c r="CR10">
        <f t="shared" si="16"/>
        <v>160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>
        <v>269</v>
      </c>
      <c r="H11" s="16">
        <v>200</v>
      </c>
      <c r="I11" s="16">
        <v>301</v>
      </c>
      <c r="J11" s="16">
        <v>119</v>
      </c>
      <c r="K11" s="16">
        <v>179</v>
      </c>
      <c r="L11" s="16">
        <v>241</v>
      </c>
      <c r="M11" s="16">
        <v>289</v>
      </c>
      <c r="N11" s="16">
        <v>314</v>
      </c>
      <c r="O11" s="16">
        <v>207</v>
      </c>
      <c r="P11" s="16">
        <v>279</v>
      </c>
      <c r="Q11" s="16">
        <v>243</v>
      </c>
      <c r="R11" s="16">
        <v>263</v>
      </c>
      <c r="S11" s="16"/>
      <c r="T11" s="16"/>
      <c r="U11" s="17">
        <v>216</v>
      </c>
      <c r="V11" s="17"/>
      <c r="W11" s="17">
        <v>211</v>
      </c>
      <c r="X11" s="17">
        <v>196</v>
      </c>
      <c r="Y11" s="17">
        <v>268</v>
      </c>
      <c r="Z11" s="17">
        <v>214</v>
      </c>
      <c r="AA11" s="17">
        <v>321</v>
      </c>
      <c r="AB11" s="17">
        <v>340</v>
      </c>
      <c r="AC11" s="17">
        <v>197</v>
      </c>
      <c r="AD11" s="17">
        <v>229</v>
      </c>
      <c r="AE11" s="10">
        <v>275</v>
      </c>
      <c r="AF11" s="10">
        <v>246</v>
      </c>
      <c r="AG11" s="10">
        <f>8+35+12+35+34+32+35+44</f>
        <v>235</v>
      </c>
      <c r="AH11" s="10">
        <v>180</v>
      </c>
      <c r="AI11" s="10">
        <v>149</v>
      </c>
      <c r="AJ11" s="10">
        <f>SUM(7+1+2+2+2+1+22+2+1+2+2+2+3+2+2+2+4+2+2+2+2+3+2+7+4+1+1+7+1+1+2+1+1+2+2+2+1+3+2+12+2+1+2+1+2+2+2+2+1+1+1+1+1+1+1+5+2+2+2+1+2+2+2+5+2+2+72+1+15+2)</f>
        <v>260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213.6</v>
      </c>
      <c r="BK11">
        <f t="shared" si="0"/>
        <v>218.16666666666666</v>
      </c>
      <c r="BL11">
        <f t="shared" si="2"/>
        <v>228.28571428571428</v>
      </c>
      <c r="BM11">
        <f t="shared" si="0"/>
        <v>239</v>
      </c>
      <c r="BN11">
        <f t="shared" si="0"/>
        <v>235.44444444444446</v>
      </c>
      <c r="BO11">
        <f t="shared" si="0"/>
        <v>239.8</v>
      </c>
      <c r="BP11">
        <f t="shared" si="0"/>
        <v>237.2</v>
      </c>
      <c r="BQ11">
        <f t="shared" si="0"/>
        <v>243.5</v>
      </c>
      <c r="BR11">
        <f t="shared" si="3"/>
        <v>237.11111111111111</v>
      </c>
      <c r="BS11">
        <f t="shared" si="3"/>
        <v>251.875</v>
      </c>
      <c r="BT11">
        <f t="shared" si="0"/>
        <v>256.5</v>
      </c>
      <c r="BU11">
        <f t="shared" si="0"/>
        <v>258.71428571428572</v>
      </c>
      <c r="BV11">
        <f t="shared" si="0"/>
        <v>247.57142857142858</v>
      </c>
      <c r="BW11">
        <f t="shared" si="0"/>
        <v>230.71428571428572</v>
      </c>
      <c r="BX11">
        <f t="shared" si="0"/>
        <v>239.42857142857142</v>
      </c>
      <c r="BY11">
        <f t="shared" si="0"/>
        <v>230.14285714285714</v>
      </c>
      <c r="BZ11">
        <f t="shared" si="0"/>
        <v>241.28571428571428</v>
      </c>
      <c r="CA11">
        <f t="shared" si="0"/>
        <v>252.28571428571428</v>
      </c>
      <c r="CB11">
        <f t="shared" si="0"/>
        <v>245.375</v>
      </c>
      <c r="CC11">
        <f t="shared" si="0"/>
        <v>243.55555555555554</v>
      </c>
      <c r="CD11">
        <f t="shared" si="0"/>
        <v>250.11111111111111</v>
      </c>
      <c r="CE11">
        <f t="shared" si="0"/>
        <v>249.7</v>
      </c>
      <c r="CF11">
        <f t="shared" si="4"/>
        <v>252.1</v>
      </c>
      <c r="CG11">
        <f t="shared" si="5"/>
        <v>250.5</v>
      </c>
      <c r="CH11">
        <f t="shared" si="6"/>
        <v>238.6</v>
      </c>
      <c r="CI11">
        <f t="shared" si="7"/>
        <v>243.2</v>
      </c>
      <c r="CJ11">
        <f t="shared" si="8"/>
        <v>234.55555555555554</v>
      </c>
      <c r="CK11">
        <f t="shared" si="9"/>
        <v>221.375</v>
      </c>
      <c r="CL11">
        <f t="shared" si="10"/>
        <v>224.85714285714286</v>
      </c>
      <c r="CM11">
        <f t="shared" si="11"/>
        <v>224.16666666666666</v>
      </c>
      <c r="CN11">
        <f t="shared" si="12"/>
        <v>214</v>
      </c>
      <c r="CO11">
        <f t="shared" si="13"/>
        <v>206</v>
      </c>
      <c r="CP11">
        <f t="shared" si="14"/>
        <v>196.33333333333334</v>
      </c>
      <c r="CQ11">
        <f t="shared" si="15"/>
        <v>204.5</v>
      </c>
      <c r="CR11">
        <f t="shared" si="16"/>
        <v>260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/>
      <c r="C12" s="14"/>
      <c r="D12" s="14"/>
      <c r="E12" s="14"/>
      <c r="F12" s="14"/>
      <c r="G12" s="14">
        <v>193</v>
      </c>
      <c r="H12" s="14">
        <v>254</v>
      </c>
      <c r="I12" s="14">
        <v>268</v>
      </c>
      <c r="J12" s="14">
        <v>208</v>
      </c>
      <c r="K12" s="14">
        <v>235</v>
      </c>
      <c r="L12" s="14">
        <v>140</v>
      </c>
      <c r="M12" s="14">
        <v>186</v>
      </c>
      <c r="N12" s="14">
        <v>213</v>
      </c>
      <c r="O12" s="14">
        <v>216</v>
      </c>
      <c r="P12" s="14">
        <v>136</v>
      </c>
      <c r="Q12" s="14">
        <v>214</v>
      </c>
      <c r="R12" s="14">
        <v>226</v>
      </c>
      <c r="S12" s="14"/>
      <c r="T12" s="14"/>
      <c r="U12" s="15">
        <v>257</v>
      </c>
      <c r="V12" s="15"/>
      <c r="W12" s="15">
        <v>222</v>
      </c>
      <c r="X12" s="15">
        <v>275</v>
      </c>
      <c r="Y12" s="15">
        <v>250</v>
      </c>
      <c r="Z12" s="15">
        <v>266</v>
      </c>
      <c r="AA12" s="15">
        <v>238</v>
      </c>
      <c r="AB12" s="15">
        <v>267</v>
      </c>
      <c r="AC12" s="15">
        <v>245</v>
      </c>
      <c r="AD12" s="15">
        <v>282</v>
      </c>
      <c r="AE12" s="124">
        <v>333</v>
      </c>
      <c r="AF12" s="124">
        <v>157</v>
      </c>
      <c r="AG12" s="124">
        <f>2+6+14+22+5+36+36+33+23</f>
        <v>177</v>
      </c>
      <c r="AH12" s="124">
        <v>149</v>
      </c>
      <c r="AI12" s="124">
        <v>191</v>
      </c>
      <c r="AJ12" s="124">
        <f>SUM(2+1+2+1+2+2+1+1+2+1+2+1+4+1+4+2+2+2+1+2+2+2+2+2+2+2+1+3+2+2+4+2+1+1+2+2+2+3+1+4+2+1+4+1+1+2+1+4+1+3+2+2+2+1+1+2+7+2+2+1+1+3+1+2+3+2+1+2+2+2+2+2+1+1+1+2+1+2+2+4+3+3+2+1+5+2)</f>
        <v>173</v>
      </c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231.6</v>
      </c>
      <c r="BK12">
        <f t="shared" si="0"/>
        <v>216.33333333333334</v>
      </c>
      <c r="BL12">
        <f t="shared" si="2"/>
        <v>212</v>
      </c>
      <c r="BM12">
        <f t="shared" si="0"/>
        <v>212.125</v>
      </c>
      <c r="BN12">
        <f t="shared" si="0"/>
        <v>212.55555555555554</v>
      </c>
      <c r="BO12">
        <f t="shared" si="0"/>
        <v>204.9</v>
      </c>
      <c r="BP12">
        <f t="shared" si="0"/>
        <v>207</v>
      </c>
      <c r="BQ12">
        <f t="shared" si="0"/>
        <v>204.2</v>
      </c>
      <c r="BR12">
        <f t="shared" si="3"/>
        <v>197.11111111111111</v>
      </c>
      <c r="BS12">
        <f t="shared" si="3"/>
        <v>195.75</v>
      </c>
      <c r="BT12">
        <f t="shared" si="0"/>
        <v>198.5</v>
      </c>
      <c r="BU12">
        <f t="shared" si="0"/>
        <v>206.85714285714286</v>
      </c>
      <c r="BV12">
        <f t="shared" si="0"/>
        <v>212</v>
      </c>
      <c r="BW12">
        <f t="shared" si="0"/>
        <v>220.85714285714286</v>
      </c>
      <c r="BX12">
        <f t="shared" si="0"/>
        <v>225.71428571428572</v>
      </c>
      <c r="BY12">
        <f t="shared" si="0"/>
        <v>244.28571428571428</v>
      </c>
      <c r="BZ12">
        <f t="shared" si="0"/>
        <v>247.71428571428572</v>
      </c>
      <c r="CA12">
        <f t="shared" si="0"/>
        <v>253.57142857142858</v>
      </c>
      <c r="CB12">
        <f t="shared" si="0"/>
        <v>252.5</v>
      </c>
      <c r="CC12">
        <f t="shared" si="0"/>
        <v>255.77777777777777</v>
      </c>
      <c r="CD12">
        <f t="shared" si="0"/>
        <v>264.22222222222223</v>
      </c>
      <c r="CE12">
        <f t="shared" si="0"/>
        <v>253.5</v>
      </c>
      <c r="CF12">
        <f t="shared" si="4"/>
        <v>249</v>
      </c>
      <c r="CG12">
        <f t="shared" si="5"/>
        <v>236.4</v>
      </c>
      <c r="CH12">
        <f t="shared" si="6"/>
        <v>230.5</v>
      </c>
      <c r="CI12">
        <f t="shared" si="7"/>
        <v>221.2</v>
      </c>
      <c r="CJ12">
        <f t="shared" si="8"/>
        <v>219.33333333333334</v>
      </c>
      <c r="CK12">
        <f t="shared" si="9"/>
        <v>213.375</v>
      </c>
      <c r="CL12">
        <f t="shared" si="10"/>
        <v>208.85714285714286</v>
      </c>
      <c r="CM12">
        <f t="shared" si="11"/>
        <v>196.66666666666666</v>
      </c>
      <c r="CN12">
        <f t="shared" si="12"/>
        <v>169.4</v>
      </c>
      <c r="CO12">
        <f t="shared" si="13"/>
        <v>172.5</v>
      </c>
      <c r="CP12">
        <f t="shared" si="14"/>
        <v>171</v>
      </c>
      <c r="CQ12">
        <f t="shared" si="15"/>
        <v>182</v>
      </c>
      <c r="CR12">
        <f t="shared" si="16"/>
        <v>173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>
        <v>155</v>
      </c>
      <c r="H13" s="16">
        <v>137</v>
      </c>
      <c r="I13" s="16">
        <v>207</v>
      </c>
      <c r="J13" s="16">
        <v>243</v>
      </c>
      <c r="K13" s="16">
        <v>160</v>
      </c>
      <c r="L13" s="16">
        <v>186</v>
      </c>
      <c r="M13" s="16">
        <v>188</v>
      </c>
      <c r="N13" s="16">
        <v>163</v>
      </c>
      <c r="O13" s="16">
        <v>190</v>
      </c>
      <c r="P13" s="16">
        <v>153</v>
      </c>
      <c r="Q13" s="16">
        <v>206</v>
      </c>
      <c r="R13" s="16">
        <v>194</v>
      </c>
      <c r="S13" s="16"/>
      <c r="T13" s="16"/>
      <c r="U13" s="17">
        <v>213</v>
      </c>
      <c r="V13" s="17"/>
      <c r="W13" s="17">
        <v>209</v>
      </c>
      <c r="X13" s="17">
        <v>238</v>
      </c>
      <c r="Y13" s="17">
        <v>178</v>
      </c>
      <c r="Z13" s="17">
        <v>223</v>
      </c>
      <c r="AA13" s="17">
        <v>172</v>
      </c>
      <c r="AB13" s="17">
        <v>172</v>
      </c>
      <c r="AC13" s="17">
        <v>311</v>
      </c>
      <c r="AD13" s="17">
        <v>173</v>
      </c>
      <c r="AE13" s="10">
        <v>254</v>
      </c>
      <c r="AF13" s="10">
        <v>200</v>
      </c>
      <c r="AG13" s="10">
        <f>19+53+41+33+9</f>
        <v>155</v>
      </c>
      <c r="AH13" s="10">
        <v>105</v>
      </c>
      <c r="AI13" s="10">
        <f>SUM(109+1+2+6+2+2+2+2+1)</f>
        <v>127</v>
      </c>
      <c r="AJ13" s="10">
        <f>SUM(2+1+13+1+1+1+1+2+1+1+2+1+1+2+2+2+1+5+3+1+3+1+3+1+1+1+2+2+1+4+2+1+1+2+1+3+2+4+1+8+1+1+1+1+2+2+2+2+1)</f>
        <v>101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180.4</v>
      </c>
      <c r="BK13">
        <f t="shared" si="0"/>
        <v>181.33333333333334</v>
      </c>
      <c r="BL13">
        <f t="shared" si="2"/>
        <v>182.28571428571428</v>
      </c>
      <c r="BM13">
        <f t="shared" si="0"/>
        <v>179.875</v>
      </c>
      <c r="BN13">
        <f t="shared" si="0"/>
        <v>181</v>
      </c>
      <c r="BO13">
        <f t="shared" si="0"/>
        <v>178.2</v>
      </c>
      <c r="BP13">
        <f t="shared" si="0"/>
        <v>183.3</v>
      </c>
      <c r="BQ13">
        <f t="shared" si="0"/>
        <v>189</v>
      </c>
      <c r="BR13">
        <f t="shared" si="3"/>
        <v>187</v>
      </c>
      <c r="BS13">
        <f t="shared" si="3"/>
        <v>180</v>
      </c>
      <c r="BT13">
        <f t="shared" si="0"/>
        <v>186.625</v>
      </c>
      <c r="BU13">
        <f t="shared" si="0"/>
        <v>186.71428571428572</v>
      </c>
      <c r="BV13">
        <f t="shared" si="0"/>
        <v>189.71428571428572</v>
      </c>
      <c r="BW13">
        <f t="shared" si="0"/>
        <v>200.42857142857142</v>
      </c>
      <c r="BX13">
        <f t="shared" si="0"/>
        <v>198.71428571428572</v>
      </c>
      <c r="BY13">
        <f t="shared" si="0"/>
        <v>208.71428571428572</v>
      </c>
      <c r="BZ13">
        <f t="shared" si="0"/>
        <v>203.85714285714286</v>
      </c>
      <c r="CA13">
        <f t="shared" si="0"/>
        <v>200.71428571428572</v>
      </c>
      <c r="CB13">
        <f t="shared" si="0"/>
        <v>214.5</v>
      </c>
      <c r="CC13">
        <f t="shared" si="0"/>
        <v>209.88888888888889</v>
      </c>
      <c r="CD13">
        <f t="shared" si="0"/>
        <v>214.44444444444446</v>
      </c>
      <c r="CE13">
        <f t="shared" si="0"/>
        <v>213</v>
      </c>
      <c r="CF13">
        <f t="shared" si="4"/>
        <v>207.6</v>
      </c>
      <c r="CG13">
        <f t="shared" si="5"/>
        <v>194.3</v>
      </c>
      <c r="CH13">
        <f t="shared" si="6"/>
        <v>189.2</v>
      </c>
      <c r="CI13">
        <f t="shared" si="7"/>
        <v>177</v>
      </c>
      <c r="CJ13">
        <f t="shared" si="8"/>
        <v>177.55555555555554</v>
      </c>
      <c r="CK13">
        <f t="shared" si="9"/>
        <v>178.25</v>
      </c>
      <c r="CL13">
        <f t="shared" si="10"/>
        <v>159.28571428571428</v>
      </c>
      <c r="CM13">
        <f t="shared" si="11"/>
        <v>157</v>
      </c>
      <c r="CN13">
        <f t="shared" si="12"/>
        <v>137.6</v>
      </c>
      <c r="CO13">
        <f t="shared" si="13"/>
        <v>122</v>
      </c>
      <c r="CP13">
        <f t="shared" si="14"/>
        <v>111</v>
      </c>
      <c r="CQ13">
        <f t="shared" si="15"/>
        <v>114</v>
      </c>
      <c r="CR13">
        <f t="shared" si="16"/>
        <v>101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/>
      <c r="C14" s="14"/>
      <c r="D14" s="14"/>
      <c r="E14" s="14"/>
      <c r="F14" s="14"/>
      <c r="G14" s="14">
        <v>247</v>
      </c>
      <c r="H14" s="14">
        <v>254</v>
      </c>
      <c r="I14" s="14">
        <v>288</v>
      </c>
      <c r="J14" s="14">
        <v>215</v>
      </c>
      <c r="K14" s="14">
        <v>238</v>
      </c>
      <c r="L14" s="14">
        <v>234</v>
      </c>
      <c r="M14" s="14">
        <v>181</v>
      </c>
      <c r="N14" s="14">
        <v>199</v>
      </c>
      <c r="O14" s="14">
        <v>247</v>
      </c>
      <c r="P14" s="14">
        <v>170</v>
      </c>
      <c r="Q14" s="14">
        <v>344</v>
      </c>
      <c r="R14" s="14">
        <v>244</v>
      </c>
      <c r="S14" s="14"/>
      <c r="T14" s="14"/>
      <c r="U14" s="15">
        <v>380</v>
      </c>
      <c r="V14" s="15"/>
      <c r="W14" s="15">
        <v>225</v>
      </c>
      <c r="X14" s="15">
        <v>163</v>
      </c>
      <c r="Y14" s="15">
        <v>190</v>
      </c>
      <c r="Z14" s="15">
        <v>247</v>
      </c>
      <c r="AA14" s="15">
        <v>228</v>
      </c>
      <c r="AB14" s="15">
        <v>274</v>
      </c>
      <c r="AC14" s="15">
        <v>206</v>
      </c>
      <c r="AD14" s="15">
        <v>135</v>
      </c>
      <c r="AE14" s="124">
        <v>362</v>
      </c>
      <c r="AF14" s="124">
        <v>196</v>
      </c>
      <c r="AG14" s="124">
        <f>25+36+40+40+49+7</f>
        <v>197</v>
      </c>
      <c r="AH14" s="124">
        <v>132</v>
      </c>
      <c r="AI14" s="124">
        <f>SUM(1+1+1+3+1+2+2+2+2+16+1+3+3+2+1+1+1+2+1+1+2+1+2+3+1+2+1+2+2+1+2+3+2+2+2+2+121+2+2+2+2+3+2+2+4+1+2+4+3+1+3+7+9+2+2+2+5+2)</f>
        <v>260</v>
      </c>
      <c r="AJ14" s="124">
        <f>SUM(1+2+1+1+4+1+1+2+1+1+2+2+1+1+1+2+2+1+1+2+2+1+2+2+1+1+2+2+2+4+2+1+2+2+4+2+1+1+2+2+2+1+1+2+5+2+2+2+3+1+2+2+1+2+3+2+1+1+2+2+1+7+2)</f>
        <v>117</v>
      </c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248.4</v>
      </c>
      <c r="BK14">
        <f t="shared" si="0"/>
        <v>246</v>
      </c>
      <c r="BL14">
        <f t="shared" si="2"/>
        <v>236.71428571428572</v>
      </c>
      <c r="BM14">
        <f t="shared" si="0"/>
        <v>232</v>
      </c>
      <c r="BN14">
        <f t="shared" si="0"/>
        <v>233.66666666666666</v>
      </c>
      <c r="BO14">
        <f t="shared" si="0"/>
        <v>227.3</v>
      </c>
      <c r="BP14">
        <f t="shared" si="0"/>
        <v>237</v>
      </c>
      <c r="BQ14">
        <f t="shared" si="0"/>
        <v>236</v>
      </c>
      <c r="BR14">
        <f t="shared" si="3"/>
        <v>230.22222222222223</v>
      </c>
      <c r="BS14">
        <f t="shared" si="3"/>
        <v>232.125</v>
      </c>
      <c r="BT14">
        <f t="shared" si="0"/>
        <v>249.875</v>
      </c>
      <c r="BU14">
        <f t="shared" si="0"/>
        <v>252.14285714285714</v>
      </c>
      <c r="BV14">
        <f t="shared" si="0"/>
        <v>258.42857142857144</v>
      </c>
      <c r="BW14">
        <f t="shared" si="0"/>
        <v>253.28571428571428</v>
      </c>
      <c r="BX14">
        <f t="shared" si="0"/>
        <v>245.14285714285714</v>
      </c>
      <c r="BY14">
        <f t="shared" si="0"/>
        <v>256.14285714285717</v>
      </c>
      <c r="BZ14">
        <f t="shared" si="0"/>
        <v>239.57142857142858</v>
      </c>
      <c r="CA14">
        <f t="shared" si="0"/>
        <v>243.85714285714286</v>
      </c>
      <c r="CB14">
        <f t="shared" si="0"/>
        <v>239.125</v>
      </c>
      <c r="CC14">
        <f t="shared" si="0"/>
        <v>227.55555555555554</v>
      </c>
      <c r="CD14">
        <f t="shared" si="0"/>
        <v>225.55555555555554</v>
      </c>
      <c r="CE14">
        <f t="shared" si="0"/>
        <v>222.6</v>
      </c>
      <c r="CF14">
        <f t="shared" si="4"/>
        <v>219.8</v>
      </c>
      <c r="CG14">
        <f t="shared" si="5"/>
        <v>216.7</v>
      </c>
      <c r="CH14">
        <f t="shared" si="6"/>
        <v>223.7</v>
      </c>
      <c r="CI14">
        <f t="shared" si="7"/>
        <v>210.7</v>
      </c>
      <c r="CJ14">
        <f t="shared" si="8"/>
        <v>208.77777777777777</v>
      </c>
      <c r="CK14">
        <f t="shared" si="9"/>
        <v>200.625</v>
      </c>
      <c r="CL14">
        <f t="shared" si="10"/>
        <v>199.85714285714286</v>
      </c>
      <c r="CM14">
        <f t="shared" si="11"/>
        <v>210.66666666666666</v>
      </c>
      <c r="CN14">
        <f t="shared" si="12"/>
        <v>180.4</v>
      </c>
      <c r="CO14">
        <f t="shared" si="13"/>
        <v>176.5</v>
      </c>
      <c r="CP14">
        <f t="shared" si="14"/>
        <v>169.66666666666666</v>
      </c>
      <c r="CQ14">
        <f t="shared" si="15"/>
        <v>188.5</v>
      </c>
      <c r="CR14">
        <f t="shared" si="16"/>
        <v>117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>
        <v>113</v>
      </c>
      <c r="H15" s="16">
        <v>62</v>
      </c>
      <c r="I15" s="16">
        <v>146</v>
      </c>
      <c r="J15" s="16">
        <v>91</v>
      </c>
      <c r="K15" s="16">
        <v>130</v>
      </c>
      <c r="L15" s="16">
        <v>112</v>
      </c>
      <c r="M15" s="16">
        <v>104</v>
      </c>
      <c r="N15" s="16">
        <v>90</v>
      </c>
      <c r="O15" s="16">
        <v>62</v>
      </c>
      <c r="P15" s="16">
        <v>136</v>
      </c>
      <c r="Q15" s="16">
        <v>157</v>
      </c>
      <c r="R15" s="16">
        <v>118</v>
      </c>
      <c r="S15" s="16"/>
      <c r="T15" s="16"/>
      <c r="U15" s="17">
        <v>123</v>
      </c>
      <c r="V15" s="17"/>
      <c r="W15" s="17">
        <v>159</v>
      </c>
      <c r="X15" s="17">
        <v>104</v>
      </c>
      <c r="Y15" s="17">
        <v>114</v>
      </c>
      <c r="Z15" s="17">
        <v>237</v>
      </c>
      <c r="AA15" s="17">
        <v>170</v>
      </c>
      <c r="AB15" s="17">
        <v>137</v>
      </c>
      <c r="AC15" s="17">
        <v>95</v>
      </c>
      <c r="AD15" s="17">
        <v>124</v>
      </c>
      <c r="AE15" s="10">
        <v>239</v>
      </c>
      <c r="AF15" s="10">
        <v>112</v>
      </c>
      <c r="AG15" s="10">
        <f>31+44+10</f>
        <v>85</v>
      </c>
      <c r="AH15" s="10">
        <v>102</v>
      </c>
      <c r="AI15" s="10">
        <f>SUM(1+2+1+2+3+4+2+2+1+1+1+2+1+2+1+1+1+1+1+4+1+1+2+2+1+1+4+2+1+1+2+2+1+2+1+1+1+3)</f>
        <v>63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108.4</v>
      </c>
      <c r="BK15">
        <f t="shared" si="0"/>
        <v>109</v>
      </c>
      <c r="BL15">
        <f t="shared" si="2"/>
        <v>108.28571428571429</v>
      </c>
      <c r="BM15">
        <f t="shared" si="0"/>
        <v>106</v>
      </c>
      <c r="BN15">
        <f t="shared" si="0"/>
        <v>101.11111111111111</v>
      </c>
      <c r="BO15">
        <f t="shared" si="0"/>
        <v>104.6</v>
      </c>
      <c r="BP15">
        <f t="shared" si="0"/>
        <v>109</v>
      </c>
      <c r="BQ15">
        <f t="shared" si="0"/>
        <v>114.6</v>
      </c>
      <c r="BR15">
        <f t="shared" si="3"/>
        <v>111.11111111111111</v>
      </c>
      <c r="BS15">
        <f t="shared" si="3"/>
        <v>113.625</v>
      </c>
      <c r="BT15">
        <f t="shared" si="0"/>
        <v>112.75</v>
      </c>
      <c r="BU15">
        <f t="shared" si="0"/>
        <v>112.85714285714286</v>
      </c>
      <c r="BV15">
        <f t="shared" si="0"/>
        <v>120.71428571428571</v>
      </c>
      <c r="BW15">
        <f t="shared" si="0"/>
        <v>122.71428571428571</v>
      </c>
      <c r="BX15">
        <f t="shared" si="0"/>
        <v>130.14285714285714</v>
      </c>
      <c r="BY15">
        <f t="shared" si="0"/>
        <v>144.57142857142858</v>
      </c>
      <c r="BZ15">
        <f t="shared" si="0"/>
        <v>146.42857142857142</v>
      </c>
      <c r="CA15">
        <f t="shared" si="0"/>
        <v>149.14285714285714</v>
      </c>
      <c r="CB15">
        <f t="shared" si="0"/>
        <v>142.375</v>
      </c>
      <c r="CC15">
        <f t="shared" si="0"/>
        <v>140.33333333333334</v>
      </c>
      <c r="CD15">
        <f t="shared" si="0"/>
        <v>153.22222222222223</v>
      </c>
      <c r="CE15">
        <f t="shared" si="0"/>
        <v>149.1</v>
      </c>
      <c r="CF15">
        <f t="shared" si="4"/>
        <v>141.69999999999999</v>
      </c>
      <c r="CG15">
        <f t="shared" si="5"/>
        <v>141.5</v>
      </c>
      <c r="CH15">
        <f t="shared" si="6"/>
        <v>136.4</v>
      </c>
      <c r="CI15">
        <f t="shared" si="7"/>
        <v>125.22222222222223</v>
      </c>
      <c r="CJ15">
        <f t="shared" si="8"/>
        <v>119.625</v>
      </c>
      <c r="CK15">
        <f t="shared" si="9"/>
        <v>117.14285714285714</v>
      </c>
      <c r="CL15">
        <f t="shared" si="10"/>
        <v>120.83333333333333</v>
      </c>
      <c r="CM15">
        <f t="shared" si="11"/>
        <v>120.2</v>
      </c>
      <c r="CN15">
        <f t="shared" si="12"/>
        <v>90.5</v>
      </c>
      <c r="CO15">
        <f t="shared" si="13"/>
        <v>83.333333333333329</v>
      </c>
      <c r="CP15">
        <f t="shared" si="14"/>
        <v>82.5</v>
      </c>
      <c r="CQ15">
        <f t="shared" si="15"/>
        <v>63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/>
      <c r="C16" s="14"/>
      <c r="D16" s="14"/>
      <c r="E16" s="14"/>
      <c r="F16" s="14"/>
      <c r="G16" s="14">
        <v>35</v>
      </c>
      <c r="H16" s="14">
        <v>70</v>
      </c>
      <c r="I16" s="14">
        <v>62</v>
      </c>
      <c r="J16" s="14">
        <v>81</v>
      </c>
      <c r="K16" s="14">
        <v>48</v>
      </c>
      <c r="L16" s="14">
        <v>54</v>
      </c>
      <c r="M16" s="14">
        <v>88</v>
      </c>
      <c r="N16" s="14">
        <v>33</v>
      </c>
      <c r="O16" s="14">
        <v>55</v>
      </c>
      <c r="P16" s="14">
        <v>47</v>
      </c>
      <c r="Q16" s="14">
        <v>125</v>
      </c>
      <c r="R16" s="14">
        <v>53</v>
      </c>
      <c r="S16" s="14"/>
      <c r="T16" s="14"/>
      <c r="U16" s="15">
        <v>75</v>
      </c>
      <c r="V16" s="15"/>
      <c r="W16" s="15">
        <v>83</v>
      </c>
      <c r="X16" s="15">
        <v>11</v>
      </c>
      <c r="Y16" s="15">
        <v>36</v>
      </c>
      <c r="Z16" s="15">
        <v>134</v>
      </c>
      <c r="AA16" s="15">
        <v>47</v>
      </c>
      <c r="AB16" s="15">
        <v>83</v>
      </c>
      <c r="AC16" s="15">
        <v>100</v>
      </c>
      <c r="AD16" s="15">
        <v>64</v>
      </c>
      <c r="AE16" s="124">
        <v>24</v>
      </c>
      <c r="AF16" s="124">
        <v>119</v>
      </c>
      <c r="AG16" s="124">
        <f>33+16</f>
        <v>49</v>
      </c>
      <c r="AH16" s="124">
        <v>57</v>
      </c>
      <c r="AI16" s="124">
        <f>SUM(1+2+1+1+2+2+1+1+1+2+10+1+1+4+4+1+1+2+4+1+5+1+1+3)</f>
        <v>53</v>
      </c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59.2</v>
      </c>
      <c r="BK16">
        <f t="shared" si="0"/>
        <v>58.333333333333336</v>
      </c>
      <c r="BL16">
        <f t="shared" si="2"/>
        <v>62.571428571428569</v>
      </c>
      <c r="BM16">
        <f t="shared" si="0"/>
        <v>58.875</v>
      </c>
      <c r="BN16">
        <f t="shared" si="0"/>
        <v>58.444444444444443</v>
      </c>
      <c r="BO16">
        <f t="shared" si="0"/>
        <v>57.3</v>
      </c>
      <c r="BP16">
        <f t="shared" si="0"/>
        <v>66.3</v>
      </c>
      <c r="BQ16">
        <f t="shared" si="0"/>
        <v>64.599999999999994</v>
      </c>
      <c r="BR16">
        <f t="shared" si="3"/>
        <v>64.888888888888886</v>
      </c>
      <c r="BS16">
        <f t="shared" si="3"/>
        <v>62.875</v>
      </c>
      <c r="BT16">
        <f t="shared" si="0"/>
        <v>66.25</v>
      </c>
      <c r="BU16">
        <f t="shared" si="0"/>
        <v>68</v>
      </c>
      <c r="BV16">
        <f t="shared" si="0"/>
        <v>67.285714285714292</v>
      </c>
      <c r="BW16">
        <f t="shared" si="0"/>
        <v>64.142857142857139</v>
      </c>
      <c r="BX16">
        <f t="shared" si="0"/>
        <v>61.428571428571431</v>
      </c>
      <c r="BY16">
        <f t="shared" si="0"/>
        <v>73.857142857142861</v>
      </c>
      <c r="BZ16">
        <f t="shared" si="0"/>
        <v>62.714285714285715</v>
      </c>
      <c r="CA16">
        <f t="shared" si="0"/>
        <v>67</v>
      </c>
      <c r="CB16">
        <f t="shared" si="0"/>
        <v>71.125</v>
      </c>
      <c r="CC16">
        <f t="shared" si="0"/>
        <v>70.333333333333329</v>
      </c>
      <c r="CD16">
        <f t="shared" si="0"/>
        <v>64.666666666666671</v>
      </c>
      <c r="CE16">
        <f t="shared" si="0"/>
        <v>70.099999999999994</v>
      </c>
      <c r="CF16">
        <f t="shared" si="4"/>
        <v>66.7</v>
      </c>
      <c r="CG16">
        <f t="shared" si="5"/>
        <v>71.3</v>
      </c>
      <c r="CH16">
        <f t="shared" si="6"/>
        <v>73</v>
      </c>
      <c r="CI16">
        <f t="shared" si="7"/>
        <v>66.222222222222229</v>
      </c>
      <c r="CJ16">
        <f t="shared" si="8"/>
        <v>68.625</v>
      </c>
      <c r="CK16">
        <f t="shared" si="9"/>
        <v>66.571428571428569</v>
      </c>
      <c r="CL16">
        <f t="shared" si="10"/>
        <v>61</v>
      </c>
      <c r="CM16">
        <f t="shared" si="11"/>
        <v>60.4</v>
      </c>
      <c r="CN16">
        <f t="shared" si="12"/>
        <v>69.5</v>
      </c>
      <c r="CO16">
        <f t="shared" si="13"/>
        <v>53</v>
      </c>
      <c r="CP16">
        <f t="shared" si="14"/>
        <v>55</v>
      </c>
      <c r="CQ16">
        <f t="shared" si="15"/>
        <v>53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29">SUM(C5:C16)</f>
        <v>0</v>
      </c>
      <c r="D18" s="22">
        <f t="shared" si="29"/>
        <v>0</v>
      </c>
      <c r="E18" s="22">
        <f t="shared" si="29"/>
        <v>0</v>
      </c>
      <c r="F18" s="22">
        <f t="shared" si="29"/>
        <v>0</v>
      </c>
      <c r="G18" s="22">
        <f t="shared" si="29"/>
        <v>1274</v>
      </c>
      <c r="H18" s="22">
        <f t="shared" si="29"/>
        <v>1705</v>
      </c>
      <c r="I18" s="22">
        <f t="shared" si="29"/>
        <v>2141</v>
      </c>
      <c r="J18" s="22">
        <f t="shared" si="29"/>
        <v>1579</v>
      </c>
      <c r="K18" s="22">
        <f t="shared" si="29"/>
        <v>1461</v>
      </c>
      <c r="L18" s="22">
        <f t="shared" si="29"/>
        <v>1549</v>
      </c>
      <c r="M18" s="22">
        <f t="shared" si="29"/>
        <v>1889</v>
      </c>
      <c r="N18" s="22">
        <f t="shared" si="29"/>
        <v>1588</v>
      </c>
      <c r="O18" s="22">
        <f t="shared" si="29"/>
        <v>1703</v>
      </c>
      <c r="P18" s="22">
        <f t="shared" si="29"/>
        <v>1502</v>
      </c>
      <c r="Q18" s="22">
        <f t="shared" si="29"/>
        <v>1906</v>
      </c>
      <c r="R18" s="22">
        <f t="shared" si="29"/>
        <v>1705</v>
      </c>
      <c r="S18" s="22">
        <f t="shared" si="29"/>
        <v>0</v>
      </c>
      <c r="T18" s="22">
        <f t="shared" si="29"/>
        <v>0</v>
      </c>
      <c r="U18" s="22">
        <f t="shared" si="29"/>
        <v>1544</v>
      </c>
      <c r="V18" s="22">
        <f t="shared" si="29"/>
        <v>0</v>
      </c>
      <c r="W18" s="22">
        <f t="shared" si="29"/>
        <v>1891</v>
      </c>
      <c r="X18" s="22">
        <f t="shared" si="29"/>
        <v>1822</v>
      </c>
      <c r="Y18" s="22">
        <f t="shared" si="29"/>
        <v>1813</v>
      </c>
      <c r="Z18" s="22">
        <f t="shared" si="29"/>
        <v>1985</v>
      </c>
      <c r="AA18" s="22">
        <f t="shared" si="29"/>
        <v>1846</v>
      </c>
      <c r="AB18" s="22">
        <f t="shared" si="29"/>
        <v>2051</v>
      </c>
      <c r="AC18" s="22">
        <f t="shared" si="29"/>
        <v>1733</v>
      </c>
      <c r="AD18" s="22">
        <f t="shared" si="29"/>
        <v>1827</v>
      </c>
      <c r="AE18" s="22">
        <f t="shared" si="29"/>
        <v>2537</v>
      </c>
      <c r="AF18" s="22">
        <f t="shared" si="29"/>
        <v>1829</v>
      </c>
      <c r="AG18" s="22">
        <f t="shared" si="29"/>
        <v>1560</v>
      </c>
      <c r="AH18" s="22">
        <f t="shared" si="29"/>
        <v>1376</v>
      </c>
      <c r="AI18" s="22">
        <f t="shared" si="29"/>
        <v>1515</v>
      </c>
      <c r="AJ18" s="22">
        <f t="shared" si="29"/>
        <v>1117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1266.5999999999999</v>
      </c>
      <c r="BZ18" s="25">
        <f>AVERAGE(R18:AA18)</f>
        <v>1260.5999999999999</v>
      </c>
      <c r="CA18" s="25">
        <f>AVERAGE(S18:AB18)</f>
        <v>1295.2</v>
      </c>
      <c r="CB18" s="25">
        <f>AVERAGE(T18:AC18)</f>
        <v>1468.5</v>
      </c>
      <c r="CC18" s="25">
        <f>AVERAGE(U18:AD18)</f>
        <v>1651.2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43BB-4E59-4A0A-80BF-842519B0169F}">
  <sheetPr transitionEvaluation="1" codeName="Sheet28">
    <tabColor theme="9" tint="0.39997558519241921"/>
  </sheetPr>
  <dimension ref="A1:DD192"/>
  <sheetViews>
    <sheetView defaultGridColor="0" colorId="22" zoomScale="70" zoomScaleNormal="70" workbookViewId="0">
      <pane xSplit="1" topLeftCell="W1" activePane="topRight" state="frozen"/>
      <selection activeCell="B1" sqref="B1:U1048576"/>
      <selection pane="topRight" activeCell="AG16" sqref="AG16"/>
    </sheetView>
  </sheetViews>
  <sheetFormatPr baseColWidth="10" defaultColWidth="9.42578125" defaultRowHeight="20" customHeight="1" x14ac:dyDescent="0.2"/>
  <cols>
    <col min="1" max="1" width="11.28515625" style="5" customWidth="1"/>
    <col min="2" max="22" width="5.7109375" style="5" hidden="1" customWidth="1"/>
    <col min="23" max="28" width="5.7109375" style="5" customWidth="1"/>
    <col min="29" max="29" width="6.42578125" style="5" customWidth="1"/>
    <col min="30" max="30" width="9.42578125" style="5" customWidth="1"/>
    <col min="31" max="52" width="9.42578125" customWidth="1"/>
    <col min="53" max="74" width="9.42578125" style="5" customWidth="1"/>
    <col min="75" max="75" width="4.7109375" style="5" customWidth="1"/>
    <col min="76" max="76" width="8.140625" style="5" customWidth="1"/>
    <col min="77" max="77" width="20.140625" style="5" customWidth="1"/>
    <col min="78" max="78" width="9.42578125" style="5" customWidth="1"/>
    <col min="79" max="79" width="16.42578125" style="5" customWidth="1"/>
    <col min="80" max="80" width="16.85546875" style="5" customWidth="1"/>
    <col min="81" max="81" width="17.570312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13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131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/>
      <c r="G5" s="16">
        <v>10</v>
      </c>
      <c r="H5" s="16">
        <v>26</v>
      </c>
      <c r="I5" s="16">
        <v>87</v>
      </c>
      <c r="J5" s="16">
        <v>71</v>
      </c>
      <c r="K5" s="16">
        <v>53</v>
      </c>
      <c r="L5" s="16">
        <v>53</v>
      </c>
      <c r="M5" s="16">
        <v>114</v>
      </c>
      <c r="N5" s="16">
        <v>51</v>
      </c>
      <c r="O5" s="16">
        <v>99</v>
      </c>
      <c r="P5" s="16">
        <v>53</v>
      </c>
      <c r="Q5" s="16">
        <v>42</v>
      </c>
      <c r="R5" s="16">
        <v>46</v>
      </c>
      <c r="S5" s="16"/>
      <c r="T5" s="16"/>
      <c r="U5" s="17">
        <v>0</v>
      </c>
      <c r="V5" s="17"/>
      <c r="W5" s="17"/>
      <c r="X5" s="17"/>
      <c r="Y5" s="17"/>
      <c r="Z5" s="17"/>
      <c r="AA5" s="17"/>
      <c r="AB5" s="17"/>
      <c r="AC5" s="17"/>
      <c r="AD5" s="17"/>
      <c r="AG5" s="10">
        <v>1</v>
      </c>
      <c r="AH5" s="10">
        <v>11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49.4</v>
      </c>
      <c r="BK5">
        <f t="shared" ref="BK5:BZ16" si="0">AVERAGE(C5:L5)</f>
        <v>50</v>
      </c>
      <c r="BL5">
        <f>AVERAGE(D5:M5)</f>
        <v>59.142857142857146</v>
      </c>
      <c r="BM5">
        <f t="shared" si="0"/>
        <v>58.125</v>
      </c>
      <c r="BN5">
        <f t="shared" si="0"/>
        <v>62.666666666666664</v>
      </c>
      <c r="BO5">
        <f t="shared" si="0"/>
        <v>61.7</v>
      </c>
      <c r="BP5">
        <f t="shared" si="0"/>
        <v>64.900000000000006</v>
      </c>
      <c r="BQ5">
        <f t="shared" si="0"/>
        <v>66.900000000000006</v>
      </c>
      <c r="BR5">
        <f t="shared" si="0"/>
        <v>64.666666666666671</v>
      </c>
      <c r="BS5">
        <f t="shared" si="0"/>
        <v>63.875</v>
      </c>
      <c r="BT5">
        <f t="shared" si="0"/>
        <v>57.25</v>
      </c>
      <c r="BU5">
        <f t="shared" si="0"/>
        <v>57.857142857142854</v>
      </c>
      <c r="BV5">
        <f t="shared" si="0"/>
        <v>48.5</v>
      </c>
      <c r="BW5">
        <f t="shared" si="0"/>
        <v>48</v>
      </c>
      <c r="BX5">
        <f t="shared" si="0"/>
        <v>35.25</v>
      </c>
      <c r="BY5">
        <f t="shared" si="0"/>
        <v>29.333333333333332</v>
      </c>
      <c r="BZ5">
        <f t="shared" si="0"/>
        <v>23</v>
      </c>
      <c r="CA5">
        <f t="shared" ref="CA5:CP16" si="1">AVERAGE(S5:AB5)</f>
        <v>0</v>
      </c>
      <c r="CB5">
        <f t="shared" si="1"/>
        <v>0</v>
      </c>
      <c r="CC5">
        <f t="shared" si="1"/>
        <v>0</v>
      </c>
      <c r="CD5" t="e">
        <f t="shared" si="1"/>
        <v>#DIV/0!</v>
      </c>
      <c r="CE5" t="e">
        <f t="shared" si="1"/>
        <v>#DIV/0!</v>
      </c>
      <c r="CF5">
        <f t="shared" si="1"/>
        <v>1</v>
      </c>
      <c r="CG5">
        <f t="shared" si="1"/>
        <v>6</v>
      </c>
      <c r="CH5">
        <f t="shared" si="1"/>
        <v>6</v>
      </c>
      <c r="CI5">
        <f t="shared" si="1"/>
        <v>6</v>
      </c>
      <c r="CJ5">
        <f t="shared" si="1"/>
        <v>6</v>
      </c>
      <c r="CK5">
        <f t="shared" si="1"/>
        <v>6</v>
      </c>
      <c r="CL5">
        <f t="shared" si="1"/>
        <v>6</v>
      </c>
      <c r="CM5">
        <f t="shared" si="1"/>
        <v>6</v>
      </c>
      <c r="CN5">
        <f t="shared" si="1"/>
        <v>6</v>
      </c>
      <c r="CO5">
        <f t="shared" si="1"/>
        <v>6</v>
      </c>
      <c r="CP5">
        <f t="shared" si="1"/>
        <v>11</v>
      </c>
      <c r="CQ5" t="e">
        <f t="shared" ref="CQ5:DD16" si="2">AVERAGE(AI5:AR5)</f>
        <v>#DIV/0!</v>
      </c>
      <c r="CR5" t="e">
        <f t="shared" si="2"/>
        <v>#DIV/0!</v>
      </c>
      <c r="CS5" t="e">
        <f t="shared" si="2"/>
        <v>#DIV/0!</v>
      </c>
      <c r="CT5" t="e">
        <f t="shared" si="2"/>
        <v>#DIV/0!</v>
      </c>
      <c r="CU5" t="e">
        <f t="shared" si="2"/>
        <v>#DIV/0!</v>
      </c>
      <c r="CV5" t="e">
        <f t="shared" si="2"/>
        <v>#DIV/0!</v>
      </c>
      <c r="CW5" t="e">
        <f t="shared" si="2"/>
        <v>#DIV/0!</v>
      </c>
      <c r="CX5" t="e">
        <f t="shared" si="2"/>
        <v>#DIV/0!</v>
      </c>
      <c r="CY5" t="e">
        <f t="shared" si="2"/>
        <v>#DIV/0!</v>
      </c>
      <c r="CZ5" t="e">
        <f t="shared" si="2"/>
        <v>#DIV/0!</v>
      </c>
      <c r="DA5" t="e">
        <f t="shared" si="2"/>
        <v>#N/A</v>
      </c>
      <c r="DB5" t="e">
        <f t="shared" si="2"/>
        <v>#N/A</v>
      </c>
      <c r="DC5" t="e">
        <f t="shared" si="2"/>
        <v>#N/A</v>
      </c>
      <c r="DD5" t="e">
        <f t="shared" si="2"/>
        <v>#N/A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/>
      <c r="G6" s="14">
        <v>10</v>
      </c>
      <c r="H6" s="14">
        <v>45</v>
      </c>
      <c r="I6" s="14">
        <v>89</v>
      </c>
      <c r="J6" s="14">
        <v>62</v>
      </c>
      <c r="K6" s="14">
        <v>60</v>
      </c>
      <c r="L6" s="14">
        <v>23</v>
      </c>
      <c r="M6" s="14">
        <v>100</v>
      </c>
      <c r="N6" s="14">
        <v>50</v>
      </c>
      <c r="O6" s="14">
        <v>85</v>
      </c>
      <c r="P6" s="14">
        <v>60</v>
      </c>
      <c r="Q6" s="14">
        <v>71</v>
      </c>
      <c r="R6" s="14">
        <v>45</v>
      </c>
      <c r="S6" s="14"/>
      <c r="T6" s="14"/>
      <c r="U6" s="15">
        <v>0</v>
      </c>
      <c r="V6" s="15"/>
      <c r="W6" s="15"/>
      <c r="X6" s="15"/>
      <c r="Y6" s="15"/>
      <c r="Z6" s="15"/>
      <c r="AA6" s="15"/>
      <c r="AB6" s="15"/>
      <c r="AC6" s="15"/>
      <c r="AD6" s="15"/>
      <c r="AE6" s="124"/>
      <c r="AF6" s="124"/>
      <c r="AG6" s="124">
        <v>3</v>
      </c>
      <c r="AH6" s="124">
        <v>18</v>
      </c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3">AVERAGE(B6:K6)</f>
        <v>53.2</v>
      </c>
      <c r="BK6">
        <f t="shared" si="0"/>
        <v>48.166666666666664</v>
      </c>
      <c r="BL6">
        <f t="shared" si="0"/>
        <v>55.571428571428569</v>
      </c>
      <c r="BM6">
        <f t="shared" si="0"/>
        <v>54.875</v>
      </c>
      <c r="BN6">
        <f t="shared" si="0"/>
        <v>58.222222222222221</v>
      </c>
      <c r="BO6">
        <f t="shared" si="0"/>
        <v>58.4</v>
      </c>
      <c r="BP6">
        <f t="shared" si="0"/>
        <v>64.5</v>
      </c>
      <c r="BQ6">
        <f t="shared" si="0"/>
        <v>64.5</v>
      </c>
      <c r="BR6">
        <f t="shared" si="0"/>
        <v>61.777777777777779</v>
      </c>
      <c r="BS6">
        <f t="shared" si="0"/>
        <v>61.75</v>
      </c>
      <c r="BT6">
        <f t="shared" si="0"/>
        <v>54.25</v>
      </c>
      <c r="BU6">
        <f t="shared" si="0"/>
        <v>58.714285714285715</v>
      </c>
      <c r="BV6">
        <f t="shared" si="0"/>
        <v>51.833333333333336</v>
      </c>
      <c r="BW6">
        <f t="shared" si="0"/>
        <v>52.2</v>
      </c>
      <c r="BX6">
        <f t="shared" si="0"/>
        <v>44</v>
      </c>
      <c r="BY6">
        <f t="shared" si="0"/>
        <v>38.666666666666664</v>
      </c>
      <c r="BZ6">
        <f t="shared" si="0"/>
        <v>22.5</v>
      </c>
      <c r="CA6">
        <f t="shared" si="1"/>
        <v>0</v>
      </c>
      <c r="CB6">
        <f t="shared" si="1"/>
        <v>0</v>
      </c>
      <c r="CC6">
        <f t="shared" si="1"/>
        <v>0</v>
      </c>
      <c r="CD6" t="e">
        <f t="shared" si="1"/>
        <v>#DIV/0!</v>
      </c>
      <c r="CE6" t="e">
        <f t="shared" si="1"/>
        <v>#DIV/0!</v>
      </c>
      <c r="CF6">
        <f t="shared" si="1"/>
        <v>3</v>
      </c>
      <c r="CG6">
        <f t="shared" si="1"/>
        <v>10.5</v>
      </c>
      <c r="CH6">
        <f t="shared" si="1"/>
        <v>10.5</v>
      </c>
      <c r="CI6">
        <f t="shared" si="1"/>
        <v>10.5</v>
      </c>
      <c r="CJ6">
        <f t="shared" si="1"/>
        <v>10.5</v>
      </c>
      <c r="CK6">
        <f t="shared" si="1"/>
        <v>10.5</v>
      </c>
      <c r="CL6">
        <f t="shared" si="1"/>
        <v>10.5</v>
      </c>
      <c r="CM6">
        <f t="shared" si="1"/>
        <v>10.5</v>
      </c>
      <c r="CN6">
        <f t="shared" si="1"/>
        <v>10.5</v>
      </c>
      <c r="CO6">
        <f t="shared" si="1"/>
        <v>10.5</v>
      </c>
      <c r="CP6">
        <f t="shared" si="1"/>
        <v>18</v>
      </c>
      <c r="CQ6" t="e">
        <f t="shared" si="2"/>
        <v>#DIV/0!</v>
      </c>
      <c r="CR6" t="e">
        <f t="shared" si="2"/>
        <v>#DIV/0!</v>
      </c>
      <c r="CS6" t="e">
        <f t="shared" si="2"/>
        <v>#DIV/0!</v>
      </c>
      <c r="CT6" t="e">
        <f t="shared" si="2"/>
        <v>#DIV/0!</v>
      </c>
      <c r="CU6" t="e">
        <f t="shared" si="2"/>
        <v>#DIV/0!</v>
      </c>
      <c r="CV6" t="e">
        <f t="shared" si="2"/>
        <v>#DIV/0!</v>
      </c>
      <c r="CW6" t="e">
        <f t="shared" si="2"/>
        <v>#DIV/0!</v>
      </c>
      <c r="CX6" t="e">
        <f t="shared" si="2"/>
        <v>#DIV/0!</v>
      </c>
      <c r="CY6" t="e">
        <f t="shared" si="2"/>
        <v>#DIV/0!</v>
      </c>
      <c r="CZ6" t="e">
        <f t="shared" si="2"/>
        <v>#N/A</v>
      </c>
      <c r="DA6" t="e">
        <f t="shared" si="2"/>
        <v>#N/A</v>
      </c>
      <c r="DB6" t="e">
        <f t="shared" si="2"/>
        <v>#N/A</v>
      </c>
      <c r="DC6" t="e">
        <f t="shared" si="2"/>
        <v>#N/A</v>
      </c>
      <c r="DD6" t="e">
        <f t="shared" si="2"/>
        <v>#N/A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/>
      <c r="G7" s="16">
        <v>10</v>
      </c>
      <c r="H7" s="16">
        <v>67</v>
      </c>
      <c r="I7" s="16">
        <v>93</v>
      </c>
      <c r="J7" s="16">
        <v>73</v>
      </c>
      <c r="K7" s="16">
        <v>107</v>
      </c>
      <c r="L7" s="16">
        <v>52</v>
      </c>
      <c r="M7" s="16">
        <v>108</v>
      </c>
      <c r="N7" s="16">
        <v>46</v>
      </c>
      <c r="O7" s="16">
        <v>43</v>
      </c>
      <c r="P7" s="16">
        <v>65</v>
      </c>
      <c r="Q7" s="16">
        <v>73</v>
      </c>
      <c r="R7" s="16">
        <v>59</v>
      </c>
      <c r="S7" s="16"/>
      <c r="T7" s="16"/>
      <c r="U7" s="17">
        <v>0</v>
      </c>
      <c r="V7" s="17"/>
      <c r="W7" s="17"/>
      <c r="X7" s="17"/>
      <c r="Y7" s="17"/>
      <c r="Z7" s="17"/>
      <c r="AA7" s="17"/>
      <c r="AB7" s="17"/>
      <c r="AC7" s="17"/>
      <c r="AD7" s="17"/>
      <c r="AG7" s="10">
        <v>3</v>
      </c>
      <c r="AH7" s="10">
        <v>5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3"/>
        <v>70</v>
      </c>
      <c r="BK7">
        <f t="shared" si="0"/>
        <v>67</v>
      </c>
      <c r="BL7">
        <f t="shared" si="0"/>
        <v>72.857142857142861</v>
      </c>
      <c r="BM7">
        <f t="shared" si="0"/>
        <v>69.5</v>
      </c>
      <c r="BN7">
        <f t="shared" si="0"/>
        <v>66.555555555555557</v>
      </c>
      <c r="BO7">
        <f t="shared" si="0"/>
        <v>66.400000000000006</v>
      </c>
      <c r="BP7">
        <f t="shared" si="0"/>
        <v>72.7</v>
      </c>
      <c r="BQ7">
        <f t="shared" si="0"/>
        <v>71.900000000000006</v>
      </c>
      <c r="BR7">
        <f t="shared" si="0"/>
        <v>69.555555555555557</v>
      </c>
      <c r="BS7">
        <f t="shared" si="0"/>
        <v>69.125</v>
      </c>
      <c r="BT7">
        <f t="shared" si="0"/>
        <v>55.75</v>
      </c>
      <c r="BU7">
        <f t="shared" si="0"/>
        <v>56.285714285714285</v>
      </c>
      <c r="BV7">
        <f t="shared" si="0"/>
        <v>47.666666666666664</v>
      </c>
      <c r="BW7">
        <f t="shared" si="0"/>
        <v>48</v>
      </c>
      <c r="BX7">
        <f>AVERAGE(P7:Y7)</f>
        <v>49.25</v>
      </c>
      <c r="BY7">
        <f t="shared" si="0"/>
        <v>44</v>
      </c>
      <c r="BZ7">
        <f t="shared" si="0"/>
        <v>29.5</v>
      </c>
      <c r="CA7">
        <f t="shared" si="1"/>
        <v>0</v>
      </c>
      <c r="CB7">
        <f t="shared" si="1"/>
        <v>0</v>
      </c>
      <c r="CC7">
        <f t="shared" si="1"/>
        <v>0</v>
      </c>
      <c r="CD7" t="e">
        <f t="shared" si="1"/>
        <v>#DIV/0!</v>
      </c>
      <c r="CE7" t="e">
        <f>AVERAGE(W7:AF7)</f>
        <v>#DIV/0!</v>
      </c>
      <c r="CF7">
        <f t="shared" si="1"/>
        <v>3</v>
      </c>
      <c r="CG7">
        <f t="shared" si="1"/>
        <v>4</v>
      </c>
      <c r="CH7">
        <f t="shared" si="1"/>
        <v>4</v>
      </c>
      <c r="CI7">
        <f t="shared" si="1"/>
        <v>4</v>
      </c>
      <c r="CJ7">
        <f t="shared" si="1"/>
        <v>4</v>
      </c>
      <c r="CK7">
        <f t="shared" si="1"/>
        <v>4</v>
      </c>
      <c r="CL7">
        <f t="shared" si="1"/>
        <v>4</v>
      </c>
      <c r="CM7">
        <f t="shared" si="1"/>
        <v>4</v>
      </c>
      <c r="CN7">
        <f t="shared" si="1"/>
        <v>4</v>
      </c>
      <c r="CO7">
        <f t="shared" si="1"/>
        <v>4</v>
      </c>
      <c r="CP7">
        <f t="shared" si="1"/>
        <v>5</v>
      </c>
      <c r="CQ7" t="e">
        <f t="shared" si="2"/>
        <v>#DIV/0!</v>
      </c>
      <c r="CR7" t="e">
        <f t="shared" si="2"/>
        <v>#DIV/0!</v>
      </c>
      <c r="CS7" t="e">
        <f t="shared" si="2"/>
        <v>#DIV/0!</v>
      </c>
      <c r="CT7" t="e">
        <f t="shared" si="2"/>
        <v>#DIV/0!</v>
      </c>
      <c r="CU7" t="e">
        <f t="shared" si="2"/>
        <v>#DIV/0!</v>
      </c>
      <c r="CV7" t="e">
        <f t="shared" si="2"/>
        <v>#DIV/0!</v>
      </c>
      <c r="CW7" t="e">
        <f t="shared" si="2"/>
        <v>#DIV/0!</v>
      </c>
      <c r="CX7" t="e">
        <f t="shared" si="2"/>
        <v>#DIV/0!</v>
      </c>
      <c r="CY7" t="e">
        <f t="shared" si="2"/>
        <v>#DIV/0!</v>
      </c>
      <c r="CZ7" t="e">
        <f t="shared" si="2"/>
        <v>#N/A</v>
      </c>
      <c r="DA7" t="e">
        <f t="shared" si="2"/>
        <v>#N/A</v>
      </c>
      <c r="DB7" t="e">
        <f t="shared" si="2"/>
        <v>#N/A</v>
      </c>
      <c r="DC7" t="e">
        <f t="shared" si="2"/>
        <v>#N/A</v>
      </c>
      <c r="DD7" t="e">
        <f t="shared" si="2"/>
        <v>#N/A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/>
      <c r="G8" s="14">
        <v>50</v>
      </c>
      <c r="H8" s="14">
        <v>153</v>
      </c>
      <c r="I8" s="14">
        <v>168</v>
      </c>
      <c r="J8" s="14">
        <v>157</v>
      </c>
      <c r="K8" s="14">
        <v>70</v>
      </c>
      <c r="L8" s="14">
        <v>139</v>
      </c>
      <c r="M8" s="14">
        <v>128</v>
      </c>
      <c r="N8" s="14">
        <v>130</v>
      </c>
      <c r="O8" s="14">
        <v>144</v>
      </c>
      <c r="P8" s="14">
        <v>72</v>
      </c>
      <c r="Q8" s="14">
        <v>160</v>
      </c>
      <c r="R8" s="14">
        <v>94</v>
      </c>
      <c r="S8" s="14"/>
      <c r="T8" s="14"/>
      <c r="U8" s="15">
        <v>37</v>
      </c>
      <c r="V8" s="15"/>
      <c r="W8" s="15"/>
      <c r="X8" s="15"/>
      <c r="Y8" s="15"/>
      <c r="Z8" s="15"/>
      <c r="AA8" s="15"/>
      <c r="AB8" s="15"/>
      <c r="AC8" s="15"/>
      <c r="AD8" s="15"/>
      <c r="AE8" s="124"/>
      <c r="AF8" s="124"/>
      <c r="AG8" s="124">
        <v>7</v>
      </c>
      <c r="AH8" s="124">
        <v>11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3"/>
        <v>119.6</v>
      </c>
      <c r="BK8">
        <f t="shared" si="0"/>
        <v>122.83333333333333</v>
      </c>
      <c r="BL8">
        <f t="shared" si="0"/>
        <v>123.57142857142857</v>
      </c>
      <c r="BM8">
        <f t="shared" si="0"/>
        <v>124.375</v>
      </c>
      <c r="BN8">
        <f t="shared" si="0"/>
        <v>126.55555555555556</v>
      </c>
      <c r="BO8">
        <f t="shared" si="0"/>
        <v>121.1</v>
      </c>
      <c r="BP8">
        <f t="shared" si="0"/>
        <v>132.1</v>
      </c>
      <c r="BQ8">
        <f t="shared" si="0"/>
        <v>126.2</v>
      </c>
      <c r="BR8">
        <f t="shared" si="0"/>
        <v>121.55555555555556</v>
      </c>
      <c r="BS8">
        <f t="shared" si="0"/>
        <v>117.125</v>
      </c>
      <c r="BT8">
        <f>AVERAGE(L8:U8)</f>
        <v>113</v>
      </c>
      <c r="BU8">
        <f t="shared" si="0"/>
        <v>109.28571428571429</v>
      </c>
      <c r="BV8">
        <f t="shared" si="0"/>
        <v>106.16666666666667</v>
      </c>
      <c r="BW8">
        <f t="shared" si="0"/>
        <v>101.4</v>
      </c>
      <c r="BX8">
        <f t="shared" si="0"/>
        <v>90.75</v>
      </c>
      <c r="BY8">
        <f t="shared" si="0"/>
        <v>97</v>
      </c>
      <c r="BZ8">
        <f t="shared" si="0"/>
        <v>65.5</v>
      </c>
      <c r="CA8">
        <f t="shared" si="1"/>
        <v>37</v>
      </c>
      <c r="CB8">
        <f t="shared" si="1"/>
        <v>37</v>
      </c>
      <c r="CC8">
        <f t="shared" si="1"/>
        <v>37</v>
      </c>
      <c r="CD8" t="e">
        <f t="shared" si="1"/>
        <v>#DIV/0!</v>
      </c>
      <c r="CE8" t="e">
        <f t="shared" si="1"/>
        <v>#DIV/0!</v>
      </c>
      <c r="CF8">
        <f t="shared" si="1"/>
        <v>7</v>
      </c>
      <c r="CG8">
        <f t="shared" si="1"/>
        <v>9</v>
      </c>
      <c r="CH8">
        <f t="shared" si="1"/>
        <v>9</v>
      </c>
      <c r="CI8">
        <f t="shared" si="1"/>
        <v>9</v>
      </c>
      <c r="CJ8">
        <f t="shared" si="1"/>
        <v>9</v>
      </c>
      <c r="CK8">
        <f t="shared" si="1"/>
        <v>9</v>
      </c>
      <c r="CL8">
        <f t="shared" si="1"/>
        <v>9</v>
      </c>
      <c r="CM8">
        <f t="shared" si="1"/>
        <v>9</v>
      </c>
      <c r="CN8">
        <f t="shared" si="1"/>
        <v>9</v>
      </c>
      <c r="CO8">
        <f t="shared" si="1"/>
        <v>9</v>
      </c>
      <c r="CP8">
        <f t="shared" si="1"/>
        <v>11</v>
      </c>
      <c r="CQ8" t="e">
        <f t="shared" si="2"/>
        <v>#DIV/0!</v>
      </c>
      <c r="CR8" t="e">
        <f t="shared" si="2"/>
        <v>#DIV/0!</v>
      </c>
      <c r="CS8" t="e">
        <f t="shared" si="2"/>
        <v>#DIV/0!</v>
      </c>
      <c r="CT8" t="e">
        <f t="shared" si="2"/>
        <v>#DIV/0!</v>
      </c>
      <c r="CU8" t="e">
        <f t="shared" si="2"/>
        <v>#DIV/0!</v>
      </c>
      <c r="CV8" t="e">
        <f t="shared" si="2"/>
        <v>#DIV/0!</v>
      </c>
      <c r="CW8" t="e">
        <f t="shared" si="2"/>
        <v>#DIV/0!</v>
      </c>
      <c r="CX8" t="e">
        <f t="shared" si="2"/>
        <v>#DIV/0!</v>
      </c>
      <c r="CY8" t="e">
        <f t="shared" si="2"/>
        <v>#DIV/0!</v>
      </c>
      <c r="CZ8" t="e">
        <f t="shared" si="2"/>
        <v>#N/A</v>
      </c>
      <c r="DA8" t="e">
        <f t="shared" si="2"/>
        <v>#N/A</v>
      </c>
      <c r="DB8" t="e">
        <f t="shared" si="2"/>
        <v>#N/A</v>
      </c>
      <c r="DC8" t="e">
        <f t="shared" si="2"/>
        <v>#N/A</v>
      </c>
      <c r="DD8" t="e">
        <f t="shared" si="2"/>
        <v>#N/A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/>
      <c r="F9" s="16"/>
      <c r="G9" s="16">
        <v>50</v>
      </c>
      <c r="H9" s="16">
        <v>240</v>
      </c>
      <c r="I9" s="16">
        <v>255</v>
      </c>
      <c r="J9" s="16">
        <v>187</v>
      </c>
      <c r="K9" s="16">
        <v>101</v>
      </c>
      <c r="L9" s="16">
        <v>206</v>
      </c>
      <c r="M9" s="16">
        <v>175</v>
      </c>
      <c r="N9" s="16">
        <v>187</v>
      </c>
      <c r="O9" s="16">
        <v>194</v>
      </c>
      <c r="P9" s="16">
        <v>219</v>
      </c>
      <c r="Q9" s="16">
        <v>122</v>
      </c>
      <c r="R9" s="16">
        <v>193</v>
      </c>
      <c r="S9" s="16"/>
      <c r="T9" s="16"/>
      <c r="U9" s="17">
        <v>218</v>
      </c>
      <c r="V9" s="17"/>
      <c r="W9" s="17"/>
      <c r="X9" s="17"/>
      <c r="Y9" s="17"/>
      <c r="Z9" s="17"/>
      <c r="AA9" s="17"/>
      <c r="AB9" s="17"/>
      <c r="AC9" s="17"/>
      <c r="AD9" s="17"/>
      <c r="AG9" s="10">
        <v>14</v>
      </c>
      <c r="AH9" s="10">
        <v>5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3"/>
        <v>166.6</v>
      </c>
      <c r="BK9">
        <f t="shared" si="0"/>
        <v>173.16666666666666</v>
      </c>
      <c r="BL9">
        <f t="shared" si="0"/>
        <v>173.42857142857142</v>
      </c>
      <c r="BM9">
        <f t="shared" si="0"/>
        <v>175.125</v>
      </c>
      <c r="BN9">
        <f t="shared" si="0"/>
        <v>177.22222222222223</v>
      </c>
      <c r="BO9">
        <f t="shared" si="0"/>
        <v>181.4</v>
      </c>
      <c r="BP9">
        <f t="shared" si="0"/>
        <v>188.6</v>
      </c>
      <c r="BQ9">
        <f t="shared" si="0"/>
        <v>183.9</v>
      </c>
      <c r="BR9">
        <f t="shared" si="0"/>
        <v>176</v>
      </c>
      <c r="BS9">
        <f t="shared" si="0"/>
        <v>174.625</v>
      </c>
      <c r="BT9">
        <f t="shared" si="0"/>
        <v>189.25</v>
      </c>
      <c r="BU9">
        <f t="shared" si="0"/>
        <v>186.85714285714286</v>
      </c>
      <c r="BV9">
        <f t="shared" si="0"/>
        <v>188.83333333333334</v>
      </c>
      <c r="BW9">
        <f t="shared" si="0"/>
        <v>189.2</v>
      </c>
      <c r="BX9">
        <f t="shared" si="0"/>
        <v>188</v>
      </c>
      <c r="BY9">
        <f t="shared" si="0"/>
        <v>177.66666666666666</v>
      </c>
      <c r="BZ9">
        <f t="shared" si="0"/>
        <v>205.5</v>
      </c>
      <c r="CA9">
        <f t="shared" si="1"/>
        <v>218</v>
      </c>
      <c r="CB9">
        <f t="shared" si="1"/>
        <v>218</v>
      </c>
      <c r="CC9">
        <f t="shared" si="1"/>
        <v>218</v>
      </c>
      <c r="CD9" t="e">
        <f t="shared" si="1"/>
        <v>#DIV/0!</v>
      </c>
      <c r="CE9" t="e">
        <f t="shared" si="1"/>
        <v>#DIV/0!</v>
      </c>
      <c r="CF9">
        <f t="shared" si="1"/>
        <v>14</v>
      </c>
      <c r="CG9">
        <f t="shared" si="1"/>
        <v>9.5</v>
      </c>
      <c r="CH9">
        <f t="shared" si="1"/>
        <v>9.5</v>
      </c>
      <c r="CI9">
        <f t="shared" si="1"/>
        <v>9.5</v>
      </c>
      <c r="CJ9">
        <f t="shared" si="1"/>
        <v>9.5</v>
      </c>
      <c r="CK9">
        <f t="shared" si="1"/>
        <v>9.5</v>
      </c>
      <c r="CL9">
        <f t="shared" si="1"/>
        <v>9.5</v>
      </c>
      <c r="CM9">
        <f t="shared" si="1"/>
        <v>9.5</v>
      </c>
      <c r="CN9">
        <f t="shared" si="1"/>
        <v>9.5</v>
      </c>
      <c r="CO9">
        <f t="shared" si="1"/>
        <v>9.5</v>
      </c>
      <c r="CP9">
        <f t="shared" si="1"/>
        <v>5</v>
      </c>
      <c r="CQ9" t="e">
        <f t="shared" si="2"/>
        <v>#DIV/0!</v>
      </c>
      <c r="CR9" t="e">
        <f t="shared" si="2"/>
        <v>#DIV/0!</v>
      </c>
      <c r="CS9" t="e">
        <f t="shared" si="2"/>
        <v>#DIV/0!</v>
      </c>
      <c r="CT9" t="e">
        <f t="shared" si="2"/>
        <v>#DIV/0!</v>
      </c>
      <c r="CU9" t="e">
        <f t="shared" si="2"/>
        <v>#DIV/0!</v>
      </c>
      <c r="CV9" t="e">
        <f t="shared" si="2"/>
        <v>#DIV/0!</v>
      </c>
      <c r="CW9" t="e">
        <f t="shared" si="2"/>
        <v>#DIV/0!</v>
      </c>
      <c r="CX9" t="e">
        <f t="shared" si="2"/>
        <v>#DIV/0!</v>
      </c>
      <c r="CY9" t="e">
        <f t="shared" si="2"/>
        <v>#DIV/0!</v>
      </c>
      <c r="CZ9" t="e">
        <f t="shared" si="2"/>
        <v>#N/A</v>
      </c>
      <c r="DA9" t="e">
        <f t="shared" si="2"/>
        <v>#N/A</v>
      </c>
      <c r="DB9" t="e">
        <f t="shared" si="2"/>
        <v>#N/A</v>
      </c>
      <c r="DC9" t="e">
        <f t="shared" si="2"/>
        <v>#N/A</v>
      </c>
      <c r="DD9" t="e">
        <f t="shared" si="2"/>
        <v>#N/A</v>
      </c>
    </row>
    <row r="10" spans="1:108" ht="20" customHeight="1" x14ac:dyDescent="0.2">
      <c r="A10" s="7" t="s">
        <v>5</v>
      </c>
      <c r="B10" s="14"/>
      <c r="C10" s="14"/>
      <c r="D10" s="14"/>
      <c r="E10" s="14"/>
      <c r="F10" s="14"/>
      <c r="G10" s="14">
        <v>132</v>
      </c>
      <c r="H10" s="14">
        <v>197</v>
      </c>
      <c r="I10" s="14">
        <v>177</v>
      </c>
      <c r="J10" s="14">
        <v>72</v>
      </c>
      <c r="K10" s="14">
        <v>80</v>
      </c>
      <c r="L10" s="14">
        <v>109</v>
      </c>
      <c r="M10" s="14">
        <v>228</v>
      </c>
      <c r="N10" s="14">
        <v>112</v>
      </c>
      <c r="O10" s="14">
        <v>161</v>
      </c>
      <c r="P10" s="14">
        <v>112</v>
      </c>
      <c r="Q10" s="14">
        <v>149</v>
      </c>
      <c r="R10" s="14">
        <v>170</v>
      </c>
      <c r="S10" s="14"/>
      <c r="T10" s="14"/>
      <c r="U10" s="15">
        <v>25</v>
      </c>
      <c r="V10" s="15"/>
      <c r="W10" s="15"/>
      <c r="X10" s="15"/>
      <c r="Y10" s="15"/>
      <c r="Z10" s="15"/>
      <c r="AA10" s="15"/>
      <c r="AB10" s="15"/>
      <c r="AC10" s="15"/>
      <c r="AD10" s="15"/>
      <c r="AE10" s="124"/>
      <c r="AF10" s="124"/>
      <c r="AG10" s="124">
        <v>5</v>
      </c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3"/>
        <v>131.6</v>
      </c>
      <c r="BK10">
        <f t="shared" si="0"/>
        <v>127.83333333333333</v>
      </c>
      <c r="BL10">
        <f t="shared" si="0"/>
        <v>142.14285714285714</v>
      </c>
      <c r="BM10">
        <f t="shared" si="0"/>
        <v>138.375</v>
      </c>
      <c r="BN10">
        <f t="shared" si="0"/>
        <v>140.88888888888889</v>
      </c>
      <c r="BO10">
        <f t="shared" si="0"/>
        <v>138</v>
      </c>
      <c r="BP10">
        <f t="shared" si="0"/>
        <v>139.69999999999999</v>
      </c>
      <c r="BQ10">
        <f t="shared" si="0"/>
        <v>137</v>
      </c>
      <c r="BR10">
        <f t="shared" si="0"/>
        <v>132.55555555555554</v>
      </c>
      <c r="BS10">
        <f t="shared" si="0"/>
        <v>140.125</v>
      </c>
      <c r="BT10">
        <f t="shared" si="0"/>
        <v>133.25</v>
      </c>
      <c r="BU10">
        <f t="shared" si="0"/>
        <v>136.71428571428572</v>
      </c>
      <c r="BV10">
        <f t="shared" si="0"/>
        <v>121.5</v>
      </c>
      <c r="BW10">
        <f t="shared" si="0"/>
        <v>123.4</v>
      </c>
      <c r="BX10">
        <f t="shared" si="0"/>
        <v>114</v>
      </c>
      <c r="BY10">
        <f t="shared" si="0"/>
        <v>114.66666666666667</v>
      </c>
      <c r="BZ10">
        <f t="shared" si="0"/>
        <v>97.5</v>
      </c>
      <c r="CA10">
        <f t="shared" si="1"/>
        <v>25</v>
      </c>
      <c r="CB10">
        <f t="shared" si="1"/>
        <v>25</v>
      </c>
      <c r="CC10">
        <f t="shared" si="1"/>
        <v>25</v>
      </c>
      <c r="CD10" t="e">
        <f t="shared" si="1"/>
        <v>#DIV/0!</v>
      </c>
      <c r="CE10" t="e">
        <f t="shared" si="1"/>
        <v>#DIV/0!</v>
      </c>
      <c r="CF10">
        <f t="shared" si="1"/>
        <v>5</v>
      </c>
      <c r="CG10">
        <f t="shared" si="1"/>
        <v>5</v>
      </c>
      <c r="CH10">
        <f t="shared" si="1"/>
        <v>5</v>
      </c>
      <c r="CI10">
        <f t="shared" si="1"/>
        <v>5</v>
      </c>
      <c r="CJ10">
        <f t="shared" si="1"/>
        <v>5</v>
      </c>
      <c r="CK10">
        <f t="shared" si="1"/>
        <v>5</v>
      </c>
      <c r="CL10">
        <f t="shared" si="1"/>
        <v>5</v>
      </c>
      <c r="CM10">
        <f t="shared" si="1"/>
        <v>5</v>
      </c>
      <c r="CN10">
        <f t="shared" si="1"/>
        <v>5</v>
      </c>
      <c r="CO10">
        <f t="shared" si="1"/>
        <v>5</v>
      </c>
      <c r="CP10" t="e">
        <f t="shared" si="1"/>
        <v>#DIV/0!</v>
      </c>
      <c r="CQ10" t="e">
        <f t="shared" si="2"/>
        <v>#DIV/0!</v>
      </c>
      <c r="CR10" t="e">
        <f t="shared" si="2"/>
        <v>#DIV/0!</v>
      </c>
      <c r="CS10" t="e">
        <f t="shared" si="2"/>
        <v>#DIV/0!</v>
      </c>
      <c r="CT10" t="e">
        <f t="shared" si="2"/>
        <v>#DIV/0!</v>
      </c>
      <c r="CU10" t="e">
        <f t="shared" si="2"/>
        <v>#DIV/0!</v>
      </c>
      <c r="CV10" t="e">
        <f t="shared" si="2"/>
        <v>#DIV/0!</v>
      </c>
      <c r="CW10" t="e">
        <f t="shared" si="2"/>
        <v>#DIV/0!</v>
      </c>
      <c r="CX10" t="e">
        <f t="shared" si="2"/>
        <v>#DIV/0!</v>
      </c>
      <c r="CY10" t="e">
        <f t="shared" si="2"/>
        <v>#DIV/0!</v>
      </c>
      <c r="CZ10" t="e">
        <f t="shared" si="2"/>
        <v>#N/A</v>
      </c>
      <c r="DA10" t="e">
        <f t="shared" si="2"/>
        <v>#N/A</v>
      </c>
      <c r="DB10" t="e">
        <f t="shared" si="2"/>
        <v>#N/A</v>
      </c>
      <c r="DC10" t="e">
        <f t="shared" si="2"/>
        <v>#N/A</v>
      </c>
      <c r="DD10" t="e">
        <f t="shared" si="2"/>
        <v>#N/A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>
        <v>269</v>
      </c>
      <c r="H11" s="16">
        <v>200</v>
      </c>
      <c r="I11" s="16">
        <v>301</v>
      </c>
      <c r="J11" s="16">
        <v>119</v>
      </c>
      <c r="K11" s="16">
        <v>179</v>
      </c>
      <c r="L11" s="16">
        <v>241</v>
      </c>
      <c r="M11" s="16">
        <v>289</v>
      </c>
      <c r="N11" s="16">
        <v>314</v>
      </c>
      <c r="O11" s="16">
        <v>207</v>
      </c>
      <c r="P11" s="16">
        <v>279</v>
      </c>
      <c r="Q11" s="16">
        <v>243</v>
      </c>
      <c r="R11" s="16">
        <v>263</v>
      </c>
      <c r="S11" s="16"/>
      <c r="T11" s="16"/>
      <c r="U11" s="17">
        <v>216</v>
      </c>
      <c r="V11" s="17"/>
      <c r="W11" s="17"/>
      <c r="X11" s="17"/>
      <c r="Y11" s="17"/>
      <c r="Z11" s="17"/>
      <c r="AA11" s="17"/>
      <c r="AB11" s="17"/>
      <c r="AC11" s="17"/>
      <c r="AD11" s="17"/>
      <c r="AG11" s="10">
        <v>29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3"/>
        <v>213.6</v>
      </c>
      <c r="BK11">
        <f t="shared" si="0"/>
        <v>218.16666666666666</v>
      </c>
      <c r="BL11">
        <f t="shared" si="0"/>
        <v>228.28571428571428</v>
      </c>
      <c r="BM11">
        <f t="shared" si="0"/>
        <v>239</v>
      </c>
      <c r="BN11">
        <f t="shared" si="0"/>
        <v>235.44444444444446</v>
      </c>
      <c r="BO11">
        <f t="shared" si="0"/>
        <v>239.8</v>
      </c>
      <c r="BP11">
        <f t="shared" si="0"/>
        <v>237.2</v>
      </c>
      <c r="BQ11">
        <f t="shared" si="0"/>
        <v>243.5</v>
      </c>
      <c r="BR11">
        <f t="shared" si="0"/>
        <v>237.11111111111111</v>
      </c>
      <c r="BS11">
        <f t="shared" si="0"/>
        <v>251.875</v>
      </c>
      <c r="BT11">
        <f t="shared" si="0"/>
        <v>256.5</v>
      </c>
      <c r="BU11">
        <f t="shared" si="0"/>
        <v>258.71428571428572</v>
      </c>
      <c r="BV11">
        <f t="shared" si="0"/>
        <v>253.66666666666666</v>
      </c>
      <c r="BW11">
        <f t="shared" si="0"/>
        <v>241.6</v>
      </c>
      <c r="BX11">
        <f t="shared" si="0"/>
        <v>250.25</v>
      </c>
      <c r="BY11">
        <f t="shared" si="0"/>
        <v>240.66666666666666</v>
      </c>
      <c r="BZ11">
        <f t="shared" si="0"/>
        <v>239.5</v>
      </c>
      <c r="CA11">
        <f t="shared" si="1"/>
        <v>216</v>
      </c>
      <c r="CB11">
        <f t="shared" si="1"/>
        <v>216</v>
      </c>
      <c r="CC11">
        <f t="shared" si="1"/>
        <v>216</v>
      </c>
      <c r="CD11" t="e">
        <f t="shared" si="1"/>
        <v>#DIV/0!</v>
      </c>
      <c r="CE11" t="e">
        <f t="shared" si="1"/>
        <v>#DIV/0!</v>
      </c>
      <c r="CF11">
        <f>AVERAGE(X11:AG11)</f>
        <v>29</v>
      </c>
      <c r="CG11">
        <f t="shared" si="1"/>
        <v>29</v>
      </c>
      <c r="CH11">
        <f t="shared" si="1"/>
        <v>29</v>
      </c>
      <c r="CI11">
        <f t="shared" si="1"/>
        <v>29</v>
      </c>
      <c r="CJ11">
        <f t="shared" si="1"/>
        <v>29</v>
      </c>
      <c r="CK11">
        <f t="shared" si="1"/>
        <v>29</v>
      </c>
      <c r="CL11">
        <f t="shared" si="1"/>
        <v>29</v>
      </c>
      <c r="CM11">
        <f t="shared" si="1"/>
        <v>29</v>
      </c>
      <c r="CN11">
        <f t="shared" si="1"/>
        <v>29</v>
      </c>
      <c r="CO11">
        <f>AVERAGE(AG11:AP11)</f>
        <v>29</v>
      </c>
      <c r="CP11" t="e">
        <f t="shared" si="1"/>
        <v>#DIV/0!</v>
      </c>
      <c r="CQ11" t="e">
        <f t="shared" si="2"/>
        <v>#DIV/0!</v>
      </c>
      <c r="CR11" t="e">
        <f t="shared" si="2"/>
        <v>#DIV/0!</v>
      </c>
      <c r="CS11" t="e">
        <f t="shared" si="2"/>
        <v>#DIV/0!</v>
      </c>
      <c r="CT11" t="e">
        <f t="shared" si="2"/>
        <v>#DIV/0!</v>
      </c>
      <c r="CU11" t="e">
        <f t="shared" si="2"/>
        <v>#DIV/0!</v>
      </c>
      <c r="CV11" t="e">
        <f t="shared" si="2"/>
        <v>#DIV/0!</v>
      </c>
      <c r="CW11" t="e">
        <f t="shared" si="2"/>
        <v>#DIV/0!</v>
      </c>
      <c r="CX11" t="e">
        <f t="shared" si="2"/>
        <v>#DIV/0!</v>
      </c>
      <c r="CY11" t="e">
        <f t="shared" si="2"/>
        <v>#DIV/0!</v>
      </c>
      <c r="CZ11" t="e">
        <f t="shared" si="2"/>
        <v>#N/A</v>
      </c>
      <c r="DA11" t="e">
        <f t="shared" si="2"/>
        <v>#N/A</v>
      </c>
      <c r="DB11" t="e">
        <f t="shared" si="2"/>
        <v>#N/A</v>
      </c>
      <c r="DC11" t="e">
        <f t="shared" si="2"/>
        <v>#N/A</v>
      </c>
      <c r="DD11" t="e">
        <f t="shared" si="2"/>
        <v>#N/A</v>
      </c>
    </row>
    <row r="12" spans="1:108" ht="20" customHeight="1" x14ac:dyDescent="0.2">
      <c r="A12" s="7" t="s">
        <v>7</v>
      </c>
      <c r="B12" s="14"/>
      <c r="C12" s="14"/>
      <c r="D12" s="14"/>
      <c r="E12" s="14"/>
      <c r="F12" s="14"/>
      <c r="G12" s="14">
        <v>193</v>
      </c>
      <c r="H12" s="14">
        <v>254</v>
      </c>
      <c r="I12" s="14">
        <v>268</v>
      </c>
      <c r="J12" s="14">
        <v>208</v>
      </c>
      <c r="K12" s="14">
        <v>235</v>
      </c>
      <c r="L12" s="14">
        <v>140</v>
      </c>
      <c r="M12" s="14">
        <v>186</v>
      </c>
      <c r="N12" s="14">
        <v>213</v>
      </c>
      <c r="O12" s="14">
        <v>216</v>
      </c>
      <c r="P12" s="14">
        <v>136</v>
      </c>
      <c r="Q12" s="14">
        <v>214</v>
      </c>
      <c r="R12" s="14">
        <v>226</v>
      </c>
      <c r="S12" s="14"/>
      <c r="T12" s="14"/>
      <c r="U12" s="15">
        <v>257</v>
      </c>
      <c r="V12" s="15"/>
      <c r="W12" s="15"/>
      <c r="X12" s="15"/>
      <c r="Y12" s="15"/>
      <c r="Z12" s="15"/>
      <c r="AA12" s="15"/>
      <c r="AB12" s="15"/>
      <c r="AC12" s="15"/>
      <c r="AD12" s="15"/>
      <c r="AE12" s="124"/>
      <c r="AF12" s="124"/>
      <c r="AG12" s="124">
        <v>19</v>
      </c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3"/>
        <v>231.6</v>
      </c>
      <c r="BK12">
        <f t="shared" si="0"/>
        <v>216.33333333333334</v>
      </c>
      <c r="BL12">
        <f t="shared" si="0"/>
        <v>212</v>
      </c>
      <c r="BM12">
        <f t="shared" si="0"/>
        <v>212.125</v>
      </c>
      <c r="BN12">
        <f t="shared" si="0"/>
        <v>212.55555555555554</v>
      </c>
      <c r="BO12">
        <f t="shared" si="0"/>
        <v>204.9</v>
      </c>
      <c r="BP12">
        <f t="shared" si="0"/>
        <v>207</v>
      </c>
      <c r="BQ12">
        <f t="shared" si="0"/>
        <v>204.2</v>
      </c>
      <c r="BR12">
        <f t="shared" si="0"/>
        <v>197.11111111111111</v>
      </c>
      <c r="BS12">
        <f t="shared" si="0"/>
        <v>195.75</v>
      </c>
      <c r="BT12">
        <f t="shared" si="0"/>
        <v>198.5</v>
      </c>
      <c r="BU12">
        <f t="shared" si="0"/>
        <v>206.85714285714286</v>
      </c>
      <c r="BV12">
        <f t="shared" si="0"/>
        <v>210.33333333333334</v>
      </c>
      <c r="BW12">
        <f t="shared" si="0"/>
        <v>209.8</v>
      </c>
      <c r="BX12">
        <f t="shared" si="0"/>
        <v>208.25</v>
      </c>
      <c r="BY12">
        <f t="shared" si="0"/>
        <v>232.33333333333334</v>
      </c>
      <c r="BZ12">
        <f t="shared" si="0"/>
        <v>241.5</v>
      </c>
      <c r="CA12">
        <f t="shared" si="1"/>
        <v>257</v>
      </c>
      <c r="CB12">
        <f t="shared" si="1"/>
        <v>257</v>
      </c>
      <c r="CC12">
        <f t="shared" si="1"/>
        <v>257</v>
      </c>
      <c r="CD12" t="e">
        <f t="shared" si="1"/>
        <v>#DIV/0!</v>
      </c>
      <c r="CE12" t="e">
        <f t="shared" si="1"/>
        <v>#DIV/0!</v>
      </c>
      <c r="CF12">
        <f t="shared" si="1"/>
        <v>19</v>
      </c>
      <c r="CG12">
        <f t="shared" si="1"/>
        <v>19</v>
      </c>
      <c r="CH12">
        <f t="shared" si="1"/>
        <v>19</v>
      </c>
      <c r="CI12">
        <f t="shared" si="1"/>
        <v>19</v>
      </c>
      <c r="CJ12">
        <f t="shared" si="1"/>
        <v>19</v>
      </c>
      <c r="CK12">
        <f t="shared" si="1"/>
        <v>19</v>
      </c>
      <c r="CL12">
        <f t="shared" si="1"/>
        <v>19</v>
      </c>
      <c r="CM12">
        <f t="shared" si="1"/>
        <v>19</v>
      </c>
      <c r="CN12">
        <f t="shared" si="1"/>
        <v>19</v>
      </c>
      <c r="CO12">
        <f t="shared" si="1"/>
        <v>19</v>
      </c>
      <c r="CP12" t="e">
        <f t="shared" si="1"/>
        <v>#DIV/0!</v>
      </c>
      <c r="CQ12" t="e">
        <f t="shared" si="2"/>
        <v>#DIV/0!</v>
      </c>
      <c r="CR12" t="e">
        <f t="shared" si="2"/>
        <v>#DIV/0!</v>
      </c>
      <c r="CS12" t="e">
        <f t="shared" si="2"/>
        <v>#DIV/0!</v>
      </c>
      <c r="CT12" t="e">
        <f t="shared" si="2"/>
        <v>#DIV/0!</v>
      </c>
      <c r="CU12" t="e">
        <f t="shared" si="2"/>
        <v>#DIV/0!</v>
      </c>
      <c r="CV12" t="e">
        <f t="shared" si="2"/>
        <v>#DIV/0!</v>
      </c>
      <c r="CW12" t="e">
        <f t="shared" si="2"/>
        <v>#DIV/0!</v>
      </c>
      <c r="CX12" t="e">
        <f t="shared" si="2"/>
        <v>#DIV/0!</v>
      </c>
      <c r="CY12" t="e">
        <f t="shared" si="2"/>
        <v>#DIV/0!</v>
      </c>
      <c r="CZ12" t="e">
        <f t="shared" si="2"/>
        <v>#N/A</v>
      </c>
      <c r="DA12" t="e">
        <f t="shared" si="2"/>
        <v>#N/A</v>
      </c>
      <c r="DB12" t="e">
        <f t="shared" si="2"/>
        <v>#N/A</v>
      </c>
      <c r="DC12" t="e">
        <f t="shared" si="2"/>
        <v>#N/A</v>
      </c>
      <c r="DD12" t="e">
        <f t="shared" si="2"/>
        <v>#N/A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>
        <v>155</v>
      </c>
      <c r="H13" s="16">
        <v>137</v>
      </c>
      <c r="I13" s="16">
        <v>207</v>
      </c>
      <c r="J13" s="16">
        <v>243</v>
      </c>
      <c r="K13" s="16">
        <v>160</v>
      </c>
      <c r="L13" s="16">
        <v>186</v>
      </c>
      <c r="M13" s="16">
        <v>188</v>
      </c>
      <c r="N13" s="16">
        <v>163</v>
      </c>
      <c r="O13" s="16">
        <v>190</v>
      </c>
      <c r="P13" s="16">
        <v>153</v>
      </c>
      <c r="Q13" s="16">
        <v>206</v>
      </c>
      <c r="R13" s="16">
        <v>194</v>
      </c>
      <c r="S13" s="16"/>
      <c r="T13" s="16"/>
      <c r="U13" s="17">
        <v>213</v>
      </c>
      <c r="V13" s="17"/>
      <c r="W13" s="17"/>
      <c r="X13" s="17"/>
      <c r="Y13" s="17"/>
      <c r="Z13" s="17"/>
      <c r="AA13" s="17"/>
      <c r="AB13" s="17"/>
      <c r="AC13" s="17"/>
      <c r="AD13" s="17"/>
      <c r="AG13" s="10">
        <v>30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3"/>
        <v>180.4</v>
      </c>
      <c r="BK13">
        <f t="shared" si="0"/>
        <v>181.33333333333334</v>
      </c>
      <c r="BL13">
        <f t="shared" si="0"/>
        <v>182.28571428571428</v>
      </c>
      <c r="BM13">
        <f t="shared" si="0"/>
        <v>179.875</v>
      </c>
      <c r="BN13">
        <f t="shared" si="0"/>
        <v>181</v>
      </c>
      <c r="BO13">
        <f t="shared" si="0"/>
        <v>178.2</v>
      </c>
      <c r="BP13">
        <f t="shared" si="0"/>
        <v>183.3</v>
      </c>
      <c r="BQ13">
        <f t="shared" si="0"/>
        <v>189</v>
      </c>
      <c r="BR13">
        <f t="shared" si="0"/>
        <v>187</v>
      </c>
      <c r="BS13">
        <f t="shared" si="0"/>
        <v>180</v>
      </c>
      <c r="BT13">
        <f t="shared" si="0"/>
        <v>186.625</v>
      </c>
      <c r="BU13">
        <f t="shared" si="0"/>
        <v>186.71428571428572</v>
      </c>
      <c r="BV13">
        <f t="shared" si="0"/>
        <v>186.5</v>
      </c>
      <c r="BW13">
        <f t="shared" si="0"/>
        <v>191.2</v>
      </c>
      <c r="BX13">
        <f t="shared" si="0"/>
        <v>191.5</v>
      </c>
      <c r="BY13">
        <f t="shared" si="0"/>
        <v>204.33333333333334</v>
      </c>
      <c r="BZ13">
        <f t="shared" si="0"/>
        <v>203.5</v>
      </c>
      <c r="CA13">
        <f t="shared" si="1"/>
        <v>213</v>
      </c>
      <c r="CB13">
        <f t="shared" si="1"/>
        <v>213</v>
      </c>
      <c r="CC13">
        <f t="shared" si="1"/>
        <v>213</v>
      </c>
      <c r="CD13" t="e">
        <f t="shared" si="1"/>
        <v>#DIV/0!</v>
      </c>
      <c r="CE13" t="e">
        <f t="shared" si="1"/>
        <v>#DIV/0!</v>
      </c>
      <c r="CF13">
        <f t="shared" si="1"/>
        <v>30</v>
      </c>
      <c r="CG13">
        <f t="shared" si="1"/>
        <v>30</v>
      </c>
      <c r="CH13">
        <f t="shared" si="1"/>
        <v>30</v>
      </c>
      <c r="CI13">
        <f t="shared" si="1"/>
        <v>30</v>
      </c>
      <c r="CJ13">
        <f t="shared" si="1"/>
        <v>30</v>
      </c>
      <c r="CK13">
        <f t="shared" si="1"/>
        <v>30</v>
      </c>
      <c r="CL13">
        <f t="shared" si="1"/>
        <v>30</v>
      </c>
      <c r="CM13">
        <f t="shared" si="1"/>
        <v>30</v>
      </c>
      <c r="CN13">
        <f t="shared" si="1"/>
        <v>30</v>
      </c>
      <c r="CO13">
        <f t="shared" si="1"/>
        <v>30</v>
      </c>
      <c r="CP13" t="e">
        <f t="shared" si="1"/>
        <v>#DIV/0!</v>
      </c>
      <c r="CQ13" t="e">
        <f t="shared" si="2"/>
        <v>#DIV/0!</v>
      </c>
      <c r="CR13" t="e">
        <f t="shared" si="2"/>
        <v>#DIV/0!</v>
      </c>
      <c r="CS13" t="e">
        <f t="shared" si="2"/>
        <v>#DIV/0!</v>
      </c>
      <c r="CT13" t="e">
        <f t="shared" si="2"/>
        <v>#DIV/0!</v>
      </c>
      <c r="CU13" t="e">
        <f t="shared" si="2"/>
        <v>#DIV/0!</v>
      </c>
      <c r="CV13" t="e">
        <f t="shared" si="2"/>
        <v>#DIV/0!</v>
      </c>
      <c r="CW13" t="e">
        <f t="shared" si="2"/>
        <v>#DIV/0!</v>
      </c>
      <c r="CX13" t="e">
        <f t="shared" si="2"/>
        <v>#DIV/0!</v>
      </c>
      <c r="CY13" t="e">
        <f t="shared" si="2"/>
        <v>#DIV/0!</v>
      </c>
      <c r="CZ13" t="e">
        <f t="shared" si="2"/>
        <v>#N/A</v>
      </c>
      <c r="DA13" t="e">
        <f t="shared" si="2"/>
        <v>#N/A</v>
      </c>
      <c r="DB13" t="e">
        <f t="shared" si="2"/>
        <v>#N/A</v>
      </c>
      <c r="DC13" t="e">
        <f t="shared" si="2"/>
        <v>#N/A</v>
      </c>
      <c r="DD13" t="e">
        <f t="shared" si="2"/>
        <v>#N/A</v>
      </c>
    </row>
    <row r="14" spans="1:108" ht="20" customHeight="1" x14ac:dyDescent="0.2">
      <c r="A14" s="7" t="s">
        <v>9</v>
      </c>
      <c r="B14" s="14"/>
      <c r="C14" s="14"/>
      <c r="D14" s="14"/>
      <c r="E14" s="14"/>
      <c r="F14" s="14"/>
      <c r="G14" s="14">
        <v>247</v>
      </c>
      <c r="H14" s="14">
        <v>254</v>
      </c>
      <c r="I14" s="14">
        <v>288</v>
      </c>
      <c r="J14" s="14">
        <v>215</v>
      </c>
      <c r="K14" s="14">
        <v>238</v>
      </c>
      <c r="L14" s="14">
        <v>234</v>
      </c>
      <c r="M14" s="14">
        <v>181</v>
      </c>
      <c r="N14" s="14">
        <v>199</v>
      </c>
      <c r="O14" s="14">
        <v>247</v>
      </c>
      <c r="P14" s="14">
        <v>170</v>
      </c>
      <c r="Q14" s="14">
        <v>344</v>
      </c>
      <c r="R14" s="14">
        <v>244</v>
      </c>
      <c r="S14" s="14"/>
      <c r="T14" s="14"/>
      <c r="U14" s="15">
        <v>380</v>
      </c>
      <c r="V14" s="15"/>
      <c r="W14" s="15"/>
      <c r="X14" s="15"/>
      <c r="Y14" s="15"/>
      <c r="Z14" s="15"/>
      <c r="AA14" s="15"/>
      <c r="AB14" s="15"/>
      <c r="AC14" s="15"/>
      <c r="AD14" s="15"/>
      <c r="AE14" s="124"/>
      <c r="AF14" s="124"/>
      <c r="AG14" s="124">
        <v>7</v>
      </c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3"/>
        <v>248.4</v>
      </c>
      <c r="BK14">
        <f t="shared" si="0"/>
        <v>246</v>
      </c>
      <c r="BL14">
        <f t="shared" si="0"/>
        <v>236.71428571428572</v>
      </c>
      <c r="BM14">
        <f t="shared" si="0"/>
        <v>232</v>
      </c>
      <c r="BN14">
        <f t="shared" si="0"/>
        <v>233.66666666666666</v>
      </c>
      <c r="BO14">
        <f t="shared" si="0"/>
        <v>227.3</v>
      </c>
      <c r="BP14">
        <f t="shared" si="0"/>
        <v>237</v>
      </c>
      <c r="BQ14">
        <f t="shared" si="0"/>
        <v>236</v>
      </c>
      <c r="BR14">
        <f t="shared" si="0"/>
        <v>230.22222222222223</v>
      </c>
      <c r="BS14">
        <f t="shared" si="0"/>
        <v>232.125</v>
      </c>
      <c r="BT14">
        <f t="shared" si="0"/>
        <v>249.875</v>
      </c>
      <c r="BU14">
        <f t="shared" si="0"/>
        <v>252.14285714285714</v>
      </c>
      <c r="BV14">
        <f t="shared" si="0"/>
        <v>264</v>
      </c>
      <c r="BW14">
        <f t="shared" si="0"/>
        <v>277</v>
      </c>
      <c r="BX14">
        <f t="shared" si="0"/>
        <v>284.5</v>
      </c>
      <c r="BY14">
        <f t="shared" si="0"/>
        <v>322.66666666666669</v>
      </c>
      <c r="BZ14">
        <f t="shared" si="0"/>
        <v>312</v>
      </c>
      <c r="CA14">
        <f t="shared" si="1"/>
        <v>380</v>
      </c>
      <c r="CB14">
        <f t="shared" si="1"/>
        <v>380</v>
      </c>
      <c r="CC14">
        <f t="shared" si="1"/>
        <v>380</v>
      </c>
      <c r="CD14" t="e">
        <f t="shared" si="1"/>
        <v>#DIV/0!</v>
      </c>
      <c r="CE14" t="e">
        <f t="shared" si="1"/>
        <v>#DIV/0!</v>
      </c>
      <c r="CF14">
        <f t="shared" si="1"/>
        <v>7</v>
      </c>
      <c r="CG14">
        <f t="shared" si="1"/>
        <v>7</v>
      </c>
      <c r="CH14">
        <f t="shared" si="1"/>
        <v>7</v>
      </c>
      <c r="CI14">
        <f t="shared" si="1"/>
        <v>7</v>
      </c>
      <c r="CJ14">
        <f t="shared" si="1"/>
        <v>7</v>
      </c>
      <c r="CK14">
        <f t="shared" si="1"/>
        <v>7</v>
      </c>
      <c r="CL14">
        <f t="shared" si="1"/>
        <v>7</v>
      </c>
      <c r="CM14">
        <f t="shared" si="1"/>
        <v>7</v>
      </c>
      <c r="CN14">
        <f t="shared" si="1"/>
        <v>7</v>
      </c>
      <c r="CO14">
        <f t="shared" si="1"/>
        <v>7</v>
      </c>
      <c r="CP14" t="e">
        <f t="shared" si="1"/>
        <v>#DIV/0!</v>
      </c>
      <c r="CQ14" t="e">
        <f t="shared" si="2"/>
        <v>#DIV/0!</v>
      </c>
      <c r="CR14" t="e">
        <f t="shared" si="2"/>
        <v>#DIV/0!</v>
      </c>
      <c r="CS14" t="e">
        <f t="shared" si="2"/>
        <v>#DIV/0!</v>
      </c>
      <c r="CT14" t="e">
        <f t="shared" si="2"/>
        <v>#DIV/0!</v>
      </c>
      <c r="CU14" t="e">
        <f t="shared" si="2"/>
        <v>#DIV/0!</v>
      </c>
      <c r="CV14" t="e">
        <f t="shared" si="2"/>
        <v>#DIV/0!</v>
      </c>
      <c r="CW14" t="e">
        <f t="shared" si="2"/>
        <v>#DIV/0!</v>
      </c>
      <c r="CX14" t="e">
        <f t="shared" si="2"/>
        <v>#DIV/0!</v>
      </c>
      <c r="CY14" t="e">
        <f t="shared" si="2"/>
        <v>#DIV/0!</v>
      </c>
      <c r="CZ14" t="e">
        <f t="shared" si="2"/>
        <v>#N/A</v>
      </c>
      <c r="DA14" t="e">
        <f t="shared" si="2"/>
        <v>#N/A</v>
      </c>
      <c r="DB14" t="e">
        <f t="shared" si="2"/>
        <v>#N/A</v>
      </c>
      <c r="DC14" t="e">
        <f t="shared" si="2"/>
        <v>#N/A</v>
      </c>
      <c r="DD14" t="e">
        <f t="shared" si="2"/>
        <v>#N/A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>
        <v>113</v>
      </c>
      <c r="H15" s="16">
        <v>62</v>
      </c>
      <c r="I15" s="16">
        <v>146</v>
      </c>
      <c r="J15" s="16">
        <v>91</v>
      </c>
      <c r="K15" s="16">
        <v>130</v>
      </c>
      <c r="L15" s="16">
        <v>112</v>
      </c>
      <c r="M15" s="16">
        <v>104</v>
      </c>
      <c r="N15" s="16">
        <v>90</v>
      </c>
      <c r="O15" s="16">
        <v>62</v>
      </c>
      <c r="P15" s="16">
        <v>136</v>
      </c>
      <c r="Q15" s="16">
        <v>157</v>
      </c>
      <c r="R15" s="16">
        <v>118</v>
      </c>
      <c r="S15" s="16"/>
      <c r="T15" s="16"/>
      <c r="U15" s="17">
        <v>123</v>
      </c>
      <c r="V15" s="17"/>
      <c r="W15" s="17"/>
      <c r="X15" s="17"/>
      <c r="Y15" s="17"/>
      <c r="Z15" s="17"/>
      <c r="AA15" s="17"/>
      <c r="AB15" s="17"/>
      <c r="AC15" s="17"/>
      <c r="AD15" s="17"/>
      <c r="AG15" s="10">
        <v>10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3"/>
        <v>108.4</v>
      </c>
      <c r="BK15">
        <f t="shared" si="0"/>
        <v>109</v>
      </c>
      <c r="BL15">
        <f t="shared" si="0"/>
        <v>108.28571428571429</v>
      </c>
      <c r="BM15">
        <f t="shared" si="0"/>
        <v>106</v>
      </c>
      <c r="BN15">
        <f t="shared" si="0"/>
        <v>101.11111111111111</v>
      </c>
      <c r="BO15">
        <f t="shared" si="0"/>
        <v>104.6</v>
      </c>
      <c r="BP15">
        <f t="shared" si="0"/>
        <v>109</v>
      </c>
      <c r="BQ15">
        <f t="shared" si="0"/>
        <v>114.6</v>
      </c>
      <c r="BR15">
        <f t="shared" si="0"/>
        <v>111.11111111111111</v>
      </c>
      <c r="BS15">
        <f t="shared" si="0"/>
        <v>113.625</v>
      </c>
      <c r="BT15">
        <f t="shared" si="0"/>
        <v>112.75</v>
      </c>
      <c r="BU15">
        <f t="shared" si="0"/>
        <v>112.85714285714286</v>
      </c>
      <c r="BV15">
        <f t="shared" si="0"/>
        <v>114.33333333333333</v>
      </c>
      <c r="BW15">
        <f t="shared" si="0"/>
        <v>119.2</v>
      </c>
      <c r="BX15">
        <f t="shared" si="0"/>
        <v>133.5</v>
      </c>
      <c r="BY15">
        <f t="shared" si="0"/>
        <v>132.66666666666666</v>
      </c>
      <c r="BZ15">
        <f t="shared" si="0"/>
        <v>120.5</v>
      </c>
      <c r="CA15">
        <f t="shared" si="1"/>
        <v>123</v>
      </c>
      <c r="CB15">
        <f t="shared" si="1"/>
        <v>123</v>
      </c>
      <c r="CC15">
        <f t="shared" si="1"/>
        <v>123</v>
      </c>
      <c r="CD15" t="e">
        <f t="shared" si="1"/>
        <v>#DIV/0!</v>
      </c>
      <c r="CE15" t="e">
        <f t="shared" si="1"/>
        <v>#DIV/0!</v>
      </c>
      <c r="CF15">
        <f t="shared" si="1"/>
        <v>10</v>
      </c>
      <c r="CG15">
        <f>AVERAGE(Y15:AH15)</f>
        <v>10</v>
      </c>
      <c r="CH15">
        <f t="shared" si="1"/>
        <v>10</v>
      </c>
      <c r="CI15">
        <f t="shared" si="1"/>
        <v>10</v>
      </c>
      <c r="CJ15">
        <f t="shared" si="1"/>
        <v>10</v>
      </c>
      <c r="CK15">
        <f t="shared" si="1"/>
        <v>10</v>
      </c>
      <c r="CL15">
        <f t="shared" si="1"/>
        <v>10</v>
      </c>
      <c r="CM15">
        <f t="shared" si="1"/>
        <v>10</v>
      </c>
      <c r="CN15">
        <f t="shared" si="1"/>
        <v>10</v>
      </c>
      <c r="CO15">
        <f t="shared" si="1"/>
        <v>10</v>
      </c>
      <c r="CP15" t="e">
        <f>AVERAGE(AH15:AQ15)</f>
        <v>#DIV/0!</v>
      </c>
      <c r="CQ15" t="e">
        <f t="shared" si="2"/>
        <v>#DIV/0!</v>
      </c>
      <c r="CR15" t="e">
        <f t="shared" si="2"/>
        <v>#DIV/0!</v>
      </c>
      <c r="CS15" t="e">
        <f t="shared" si="2"/>
        <v>#DIV/0!</v>
      </c>
      <c r="CT15" t="e">
        <f t="shared" si="2"/>
        <v>#DIV/0!</v>
      </c>
      <c r="CU15" t="e">
        <f t="shared" si="2"/>
        <v>#DIV/0!</v>
      </c>
      <c r="CV15" t="e">
        <f t="shared" si="2"/>
        <v>#DIV/0!</v>
      </c>
      <c r="CW15" t="e">
        <f t="shared" si="2"/>
        <v>#DIV/0!</v>
      </c>
      <c r="CX15" t="e">
        <f t="shared" si="2"/>
        <v>#DIV/0!</v>
      </c>
      <c r="CY15" t="e">
        <f t="shared" si="2"/>
        <v>#DIV/0!</v>
      </c>
      <c r="CZ15" t="e">
        <f t="shared" si="2"/>
        <v>#N/A</v>
      </c>
      <c r="DA15" t="e">
        <f t="shared" si="2"/>
        <v>#N/A</v>
      </c>
      <c r="DB15" t="e">
        <f t="shared" si="2"/>
        <v>#N/A</v>
      </c>
      <c r="DC15" t="e">
        <f t="shared" si="2"/>
        <v>#N/A</v>
      </c>
      <c r="DD15" t="e">
        <f t="shared" si="2"/>
        <v>#N/A</v>
      </c>
    </row>
    <row r="16" spans="1:108" ht="20" customHeight="1" x14ac:dyDescent="0.2">
      <c r="A16" s="7" t="s">
        <v>11</v>
      </c>
      <c r="B16" s="14"/>
      <c r="C16" s="14"/>
      <c r="D16" s="14"/>
      <c r="E16" s="14"/>
      <c r="F16" s="14"/>
      <c r="G16" s="14">
        <v>35</v>
      </c>
      <c r="H16" s="14">
        <v>70</v>
      </c>
      <c r="I16" s="14">
        <v>62</v>
      </c>
      <c r="J16" s="14">
        <v>81</v>
      </c>
      <c r="K16" s="14">
        <v>48</v>
      </c>
      <c r="L16" s="14">
        <v>54</v>
      </c>
      <c r="M16" s="14">
        <v>88</v>
      </c>
      <c r="N16" s="14">
        <v>33</v>
      </c>
      <c r="O16" s="14">
        <v>55</v>
      </c>
      <c r="P16" s="14">
        <v>47</v>
      </c>
      <c r="Q16" s="14">
        <v>125</v>
      </c>
      <c r="R16" s="14">
        <v>53</v>
      </c>
      <c r="S16" s="14"/>
      <c r="T16" s="14"/>
      <c r="U16" s="15">
        <v>75</v>
      </c>
      <c r="V16" s="15"/>
      <c r="W16" s="15"/>
      <c r="X16" s="15"/>
      <c r="Y16" s="15"/>
      <c r="Z16" s="15"/>
      <c r="AA16" s="15"/>
      <c r="AB16" s="15"/>
      <c r="AC16" s="15"/>
      <c r="AD16" s="15"/>
      <c r="AE16" s="124"/>
      <c r="AF16" s="124"/>
      <c r="AG16" s="124">
        <v>4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3"/>
        <v>59.2</v>
      </c>
      <c r="BK16">
        <f t="shared" si="0"/>
        <v>58.333333333333336</v>
      </c>
      <c r="BL16">
        <f t="shared" si="0"/>
        <v>62.571428571428569</v>
      </c>
      <c r="BM16">
        <f t="shared" si="0"/>
        <v>58.875</v>
      </c>
      <c r="BN16">
        <f t="shared" si="0"/>
        <v>58.444444444444443</v>
      </c>
      <c r="BO16">
        <f t="shared" si="0"/>
        <v>57.3</v>
      </c>
      <c r="BP16">
        <f t="shared" si="0"/>
        <v>66.3</v>
      </c>
      <c r="BQ16">
        <f t="shared" si="0"/>
        <v>64.599999999999994</v>
      </c>
      <c r="BR16">
        <f t="shared" si="0"/>
        <v>64.888888888888886</v>
      </c>
      <c r="BS16">
        <f t="shared" si="0"/>
        <v>62.875</v>
      </c>
      <c r="BT16">
        <f t="shared" si="0"/>
        <v>66.25</v>
      </c>
      <c r="BU16">
        <f t="shared" si="0"/>
        <v>68</v>
      </c>
      <c r="BV16">
        <f t="shared" si="0"/>
        <v>64.666666666666671</v>
      </c>
      <c r="BW16">
        <f t="shared" si="0"/>
        <v>71</v>
      </c>
      <c r="BX16">
        <f t="shared" si="0"/>
        <v>75</v>
      </c>
      <c r="BY16">
        <f t="shared" si="0"/>
        <v>84.333333333333329</v>
      </c>
      <c r="BZ16">
        <f t="shared" si="0"/>
        <v>64</v>
      </c>
      <c r="CA16">
        <f t="shared" si="1"/>
        <v>75</v>
      </c>
      <c r="CB16">
        <f t="shared" si="1"/>
        <v>75</v>
      </c>
      <c r="CC16">
        <f t="shared" si="1"/>
        <v>75</v>
      </c>
      <c r="CD16" t="e">
        <f t="shared" si="1"/>
        <v>#DIV/0!</v>
      </c>
      <c r="CE16" t="e">
        <f t="shared" si="1"/>
        <v>#DIV/0!</v>
      </c>
      <c r="CF16">
        <f t="shared" si="1"/>
        <v>4</v>
      </c>
      <c r="CG16">
        <f t="shared" si="1"/>
        <v>4</v>
      </c>
      <c r="CH16">
        <f t="shared" si="1"/>
        <v>4</v>
      </c>
      <c r="CI16">
        <f t="shared" si="1"/>
        <v>4</v>
      </c>
      <c r="CJ16">
        <f t="shared" si="1"/>
        <v>4</v>
      </c>
      <c r="CK16">
        <f t="shared" si="1"/>
        <v>4</v>
      </c>
      <c r="CL16">
        <f t="shared" si="1"/>
        <v>4</v>
      </c>
      <c r="CM16">
        <f t="shared" si="1"/>
        <v>4</v>
      </c>
      <c r="CN16">
        <f t="shared" si="1"/>
        <v>4</v>
      </c>
      <c r="CO16">
        <f t="shared" si="1"/>
        <v>4</v>
      </c>
      <c r="CP16" t="e">
        <f t="shared" si="1"/>
        <v>#DIV/0!</v>
      </c>
      <c r="CQ16" t="e">
        <f t="shared" si="2"/>
        <v>#DIV/0!</v>
      </c>
      <c r="CR16" t="e">
        <f t="shared" si="2"/>
        <v>#DIV/0!</v>
      </c>
      <c r="CS16" t="e">
        <f t="shared" si="2"/>
        <v>#DIV/0!</v>
      </c>
      <c r="CT16" t="e">
        <f t="shared" si="2"/>
        <v>#DIV/0!</v>
      </c>
      <c r="CU16" t="e">
        <f t="shared" si="2"/>
        <v>#DIV/0!</v>
      </c>
      <c r="CV16" t="e">
        <f t="shared" si="2"/>
        <v>#DIV/0!</v>
      </c>
      <c r="CW16" t="e">
        <f t="shared" si="2"/>
        <v>#DIV/0!</v>
      </c>
      <c r="CX16" t="e">
        <f t="shared" si="2"/>
        <v>#DIV/0!</v>
      </c>
      <c r="CY16" t="e">
        <f t="shared" si="2"/>
        <v>#DIV/0!</v>
      </c>
      <c r="CZ16" t="e">
        <f t="shared" si="2"/>
        <v>#N/A</v>
      </c>
      <c r="DA16" t="e">
        <f t="shared" si="2"/>
        <v>#N/A</v>
      </c>
      <c r="DB16" t="e">
        <f t="shared" si="2"/>
        <v>#N/A</v>
      </c>
      <c r="DC16" t="e">
        <f t="shared" si="2"/>
        <v>#N/A</v>
      </c>
      <c r="DD16" t="e">
        <f t="shared" si="2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4">SUM(C5:C16)</f>
        <v>0</v>
      </c>
      <c r="D18" s="22">
        <f t="shared" si="4"/>
        <v>0</v>
      </c>
      <c r="E18" s="22">
        <f t="shared" si="4"/>
        <v>0</v>
      </c>
      <c r="F18" s="22">
        <f t="shared" si="4"/>
        <v>0</v>
      </c>
      <c r="G18" s="22">
        <f t="shared" si="4"/>
        <v>1274</v>
      </c>
      <c r="H18" s="22">
        <f t="shared" si="4"/>
        <v>1705</v>
      </c>
      <c r="I18" s="22">
        <f t="shared" si="4"/>
        <v>2141</v>
      </c>
      <c r="J18" s="22">
        <f t="shared" si="4"/>
        <v>1579</v>
      </c>
      <c r="K18" s="22">
        <f t="shared" si="4"/>
        <v>1461</v>
      </c>
      <c r="L18" s="22">
        <f t="shared" si="4"/>
        <v>1549</v>
      </c>
      <c r="M18" s="22">
        <f t="shared" si="4"/>
        <v>1889</v>
      </c>
      <c r="N18" s="22">
        <f t="shared" si="4"/>
        <v>1588</v>
      </c>
      <c r="O18" s="22">
        <f t="shared" si="4"/>
        <v>1703</v>
      </c>
      <c r="P18" s="22">
        <f t="shared" si="4"/>
        <v>1502</v>
      </c>
      <c r="Q18" s="22">
        <f t="shared" si="4"/>
        <v>1906</v>
      </c>
      <c r="R18" s="22">
        <f t="shared" si="4"/>
        <v>1705</v>
      </c>
      <c r="S18" s="22">
        <f t="shared" si="4"/>
        <v>0</v>
      </c>
      <c r="T18" s="22">
        <f t="shared" si="4"/>
        <v>0</v>
      </c>
      <c r="U18" s="22">
        <f t="shared" si="4"/>
        <v>1544</v>
      </c>
      <c r="V18" s="22">
        <f t="shared" si="4"/>
        <v>0</v>
      </c>
      <c r="W18" s="22">
        <f t="shared" si="4"/>
        <v>0</v>
      </c>
      <c r="X18" s="22">
        <f t="shared" si="4"/>
        <v>0</v>
      </c>
      <c r="Y18" s="22">
        <f t="shared" si="4"/>
        <v>0</v>
      </c>
      <c r="Z18" s="22">
        <f t="shared" si="4"/>
        <v>0</v>
      </c>
      <c r="AA18" s="22">
        <f t="shared" si="4"/>
        <v>0</v>
      </c>
      <c r="AB18" s="22">
        <f t="shared" si="4"/>
        <v>0</v>
      </c>
      <c r="AC18" s="22">
        <f t="shared" si="4"/>
        <v>0</v>
      </c>
      <c r="AD18" s="22">
        <f t="shared" si="4"/>
        <v>0</v>
      </c>
      <c r="AE18" s="22">
        <f t="shared" si="4"/>
        <v>0</v>
      </c>
      <c r="AF18" s="22">
        <f t="shared" si="4"/>
        <v>0</v>
      </c>
      <c r="AG18" s="22">
        <f t="shared" si="4"/>
        <v>132</v>
      </c>
      <c r="AH18" s="22">
        <f t="shared" si="4"/>
        <v>50</v>
      </c>
      <c r="AI18" s="22">
        <f t="shared" si="4"/>
        <v>0</v>
      </c>
      <c r="AJ18" s="22">
        <f t="shared" si="4"/>
        <v>0</v>
      </c>
      <c r="AK18" s="22">
        <f t="shared" si="4"/>
        <v>0</v>
      </c>
      <c r="AL18" s="22">
        <f t="shared" si="4"/>
        <v>0</v>
      </c>
      <c r="AM18" s="22">
        <f t="shared" si="4"/>
        <v>0</v>
      </c>
      <c r="AN18" s="22">
        <f t="shared" si="4"/>
        <v>0</v>
      </c>
      <c r="AO18" s="22">
        <f t="shared" si="4"/>
        <v>0</v>
      </c>
      <c r="AP18" s="22">
        <f t="shared" si="4"/>
        <v>0</v>
      </c>
      <c r="AQ18" s="22">
        <f t="shared" si="4"/>
        <v>0</v>
      </c>
      <c r="AR18" s="22">
        <f t="shared" si="4"/>
        <v>0</v>
      </c>
      <c r="AS18" s="22">
        <f t="shared" si="4"/>
        <v>0</v>
      </c>
      <c r="AT18" s="22">
        <f t="shared" si="4"/>
        <v>0</v>
      </c>
      <c r="AU18" s="22">
        <f t="shared" si="4"/>
        <v>0</v>
      </c>
      <c r="AV18" s="22">
        <f t="shared" si="4"/>
        <v>0</v>
      </c>
      <c r="AW18" s="22">
        <f t="shared" si="4"/>
        <v>0</v>
      </c>
      <c r="AX18" s="22">
        <f t="shared" si="4"/>
        <v>0</v>
      </c>
      <c r="AY18" s="22">
        <f t="shared" si="4"/>
        <v>0</v>
      </c>
      <c r="AZ18" s="22">
        <f t="shared" si="4"/>
        <v>0</v>
      </c>
      <c r="BA18" s="24"/>
      <c r="BY18" s="25">
        <f>AVERAGE(Q18:Z18)</f>
        <v>515.5</v>
      </c>
      <c r="BZ18" s="25">
        <f>AVERAGE(R18:AA18)</f>
        <v>324.89999999999998</v>
      </c>
      <c r="CA18" s="25">
        <f>AVERAGE(S18:AB18)</f>
        <v>154.4</v>
      </c>
      <c r="CB18" s="25">
        <f>AVERAGE(T18:AC18)</f>
        <v>154.4</v>
      </c>
      <c r="CC18" s="25">
        <f>AVERAGE(U18:AD18)</f>
        <v>154.4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29">
    <tabColor theme="9" tint="0.39997558519241921"/>
  </sheetPr>
  <dimension ref="A1:DD192"/>
  <sheetViews>
    <sheetView defaultGridColor="0" topLeftCell="A3" colorId="22" zoomScale="70" zoomScaleNormal="70" workbookViewId="0">
      <pane xSplit="1" topLeftCell="W1" activePane="topRight" state="frozen"/>
      <selection activeCell="B1" sqref="B1:U1048576"/>
      <selection pane="topRight" activeCell="AR39" sqref="AR39"/>
    </sheetView>
  </sheetViews>
  <sheetFormatPr baseColWidth="10" defaultColWidth="9.42578125" defaultRowHeight="20" customHeight="1" x14ac:dyDescent="0.2"/>
  <cols>
    <col min="1" max="1" width="32.7109375" style="5" customWidth="1"/>
    <col min="2" max="22" width="5.7109375" style="5" hidden="1" customWidth="1"/>
    <col min="23" max="28" width="5.7109375" style="5" customWidth="1"/>
    <col min="29" max="30" width="6.28515625" style="5" customWidth="1"/>
    <col min="31" max="31" width="6.85546875" customWidth="1"/>
    <col min="32" max="52" width="9.42578125" customWidth="1"/>
    <col min="53" max="74" width="9.42578125" style="5" customWidth="1"/>
    <col min="75" max="75" width="7" style="5" customWidth="1"/>
    <col min="76" max="76" width="8.85546875" style="5" customWidth="1"/>
    <col min="77" max="77" width="18.42578125" style="5" customWidth="1"/>
    <col min="78" max="78" width="9.42578125" style="5" customWidth="1"/>
    <col min="79" max="79" width="17.7109375" style="5" customWidth="1"/>
    <col min="80" max="81" width="16.7109375" style="5" customWidth="1"/>
    <col min="82" max="82" width="16.85546875" style="5" customWidth="1"/>
    <col min="83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13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107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>
        <v>4</v>
      </c>
      <c r="O5" s="16">
        <v>6</v>
      </c>
      <c r="P5" s="16">
        <v>12</v>
      </c>
      <c r="Q5" s="16">
        <v>16</v>
      </c>
      <c r="R5" s="16">
        <v>35</v>
      </c>
      <c r="S5" s="16"/>
      <c r="T5" s="16"/>
      <c r="U5" s="17">
        <v>3</v>
      </c>
      <c r="V5" s="17"/>
      <c r="W5" s="17">
        <v>29</v>
      </c>
      <c r="X5" s="17">
        <v>29</v>
      </c>
      <c r="Y5" s="17">
        <v>24</v>
      </c>
      <c r="Z5" s="97">
        <v>21</v>
      </c>
      <c r="AA5" s="17">
        <v>44</v>
      </c>
      <c r="AB5" s="17">
        <v>36</v>
      </c>
      <c r="AC5" s="17">
        <v>46</v>
      </c>
      <c r="AD5" s="17">
        <v>53</v>
      </c>
      <c r="AE5" s="10">
        <v>43</v>
      </c>
      <c r="AF5" s="10">
        <v>89</v>
      </c>
      <c r="AH5" s="10">
        <f>11+51+38+12</f>
        <v>112</v>
      </c>
      <c r="AI5" s="10">
        <f>17+34+28</f>
        <v>79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f>AVERAGE(B5:K5)</f>
        <v>#DIV/0!</v>
      </c>
      <c r="BK5" t="e">
        <f t="shared" ref="BK5:DD16" si="0">AVERAGE(C5:L5)</f>
        <v>#DIV/0!</v>
      </c>
      <c r="BL5" t="e">
        <f>AVERAGE(D5:M5)</f>
        <v>#DIV/0!</v>
      </c>
      <c r="BM5">
        <f t="shared" si="0"/>
        <v>4</v>
      </c>
      <c r="BN5">
        <f t="shared" si="0"/>
        <v>5</v>
      </c>
      <c r="BO5">
        <f t="shared" si="0"/>
        <v>7.333333333333333</v>
      </c>
      <c r="BP5">
        <f t="shared" si="0"/>
        <v>9.5</v>
      </c>
      <c r="BQ5">
        <f t="shared" si="0"/>
        <v>14.6</v>
      </c>
      <c r="BR5">
        <f t="shared" si="0"/>
        <v>14.6</v>
      </c>
      <c r="BS5">
        <f t="shared" si="0"/>
        <v>14.6</v>
      </c>
      <c r="BT5">
        <f t="shared" si="0"/>
        <v>12.666666666666666</v>
      </c>
      <c r="BU5">
        <f t="shared" si="0"/>
        <v>12.666666666666666</v>
      </c>
      <c r="BV5">
        <f t="shared" si="0"/>
        <v>15</v>
      </c>
      <c r="BW5">
        <f t="shared" si="0"/>
        <v>18.571428571428573</v>
      </c>
      <c r="BX5">
        <f t="shared" si="0"/>
        <v>21.142857142857142</v>
      </c>
      <c r="BY5">
        <f t="shared" si="0"/>
        <v>22.428571428571427</v>
      </c>
      <c r="BZ5">
        <f t="shared" si="0"/>
        <v>26.428571428571427</v>
      </c>
      <c r="CA5">
        <f t="shared" si="0"/>
        <v>26.571428571428573</v>
      </c>
      <c r="CB5">
        <f t="shared" si="0"/>
        <v>29</v>
      </c>
      <c r="CC5">
        <f t="shared" si="0"/>
        <v>31.666666666666668</v>
      </c>
      <c r="CD5">
        <f t="shared" si="0"/>
        <v>36.111111111111114</v>
      </c>
      <c r="CE5">
        <f t="shared" si="0"/>
        <v>41.4</v>
      </c>
      <c r="CF5">
        <f t="shared" si="0"/>
        <v>42.777777777777779</v>
      </c>
      <c r="CG5">
        <f t="shared" si="0"/>
        <v>52</v>
      </c>
      <c r="CH5">
        <f t="shared" si="0"/>
        <v>58.111111111111114</v>
      </c>
      <c r="CI5">
        <f t="shared" si="0"/>
        <v>62.75</v>
      </c>
      <c r="CJ5">
        <f t="shared" si="0"/>
        <v>65.428571428571431</v>
      </c>
      <c r="CK5">
        <f t="shared" si="0"/>
        <v>70.333333333333329</v>
      </c>
      <c r="CL5">
        <f t="shared" si="0"/>
        <v>75.2</v>
      </c>
      <c r="CM5">
        <f t="shared" si="0"/>
        <v>80.75</v>
      </c>
      <c r="CN5">
        <f t="shared" si="0"/>
        <v>93.333333333333329</v>
      </c>
      <c r="CO5">
        <f t="shared" si="0"/>
        <v>95.5</v>
      </c>
      <c r="CP5">
        <f t="shared" si="0"/>
        <v>95.5</v>
      </c>
      <c r="CQ5">
        <f t="shared" si="0"/>
        <v>79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>
        <v>2</v>
      </c>
      <c r="O6" s="14">
        <v>5</v>
      </c>
      <c r="P6" s="14">
        <v>17</v>
      </c>
      <c r="Q6" s="14">
        <v>10</v>
      </c>
      <c r="R6" s="14">
        <v>19</v>
      </c>
      <c r="S6" s="14"/>
      <c r="T6" s="14"/>
      <c r="U6" s="15">
        <v>10</v>
      </c>
      <c r="V6" s="15"/>
      <c r="W6" s="15">
        <v>35</v>
      </c>
      <c r="X6" s="15">
        <v>11</v>
      </c>
      <c r="Y6" s="15">
        <v>24</v>
      </c>
      <c r="Z6" s="97">
        <v>18</v>
      </c>
      <c r="AA6" s="15">
        <v>75</v>
      </c>
      <c r="AB6" s="15">
        <v>57</v>
      </c>
      <c r="AC6" s="15">
        <v>43</v>
      </c>
      <c r="AD6" s="15">
        <v>33</v>
      </c>
      <c r="AE6" s="124">
        <v>72</v>
      </c>
      <c r="AF6" s="124">
        <v>8</v>
      </c>
      <c r="AG6" s="124"/>
      <c r="AH6" s="124">
        <f>25+40+11</f>
        <v>76</v>
      </c>
      <c r="AI6" s="124">
        <f>14+37+16+33</f>
        <v>100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f t="shared" ref="BJ6:BJ16" si="1">AVERAGE(B6:K6)</f>
        <v>#DIV/0!</v>
      </c>
      <c r="BK6" t="e">
        <f t="shared" si="0"/>
        <v>#DIV/0!</v>
      </c>
      <c r="BL6" t="e">
        <f t="shared" ref="BL6:BL16" si="2">AVERAGE(D6:M6)</f>
        <v>#DIV/0!</v>
      </c>
      <c r="BM6">
        <f t="shared" si="0"/>
        <v>2</v>
      </c>
      <c r="BN6">
        <f t="shared" si="0"/>
        <v>3.5</v>
      </c>
      <c r="BO6">
        <f t="shared" si="0"/>
        <v>8</v>
      </c>
      <c r="BP6">
        <f t="shared" si="0"/>
        <v>8.5</v>
      </c>
      <c r="BQ6">
        <f t="shared" si="0"/>
        <v>10.6</v>
      </c>
      <c r="BR6">
        <f t="shared" ref="BR6:BS16" si="3">AVERAGE(J6:S6)</f>
        <v>10.6</v>
      </c>
      <c r="BS6">
        <f t="shared" si="3"/>
        <v>10.6</v>
      </c>
      <c r="BT6">
        <f t="shared" si="0"/>
        <v>10.5</v>
      </c>
      <c r="BU6">
        <f t="shared" si="0"/>
        <v>10.5</v>
      </c>
      <c r="BV6">
        <f t="shared" si="0"/>
        <v>14</v>
      </c>
      <c r="BW6">
        <f t="shared" si="0"/>
        <v>15.285714285714286</v>
      </c>
      <c r="BX6">
        <f t="shared" si="0"/>
        <v>18</v>
      </c>
      <c r="BY6">
        <f t="shared" si="0"/>
        <v>18.142857142857142</v>
      </c>
      <c r="BZ6">
        <f t="shared" si="0"/>
        <v>27.428571428571427</v>
      </c>
      <c r="CA6">
        <f t="shared" si="0"/>
        <v>32.857142857142854</v>
      </c>
      <c r="CB6">
        <f t="shared" si="0"/>
        <v>34.125</v>
      </c>
      <c r="CC6">
        <f t="shared" si="0"/>
        <v>34</v>
      </c>
      <c r="CD6">
        <f t="shared" si="0"/>
        <v>40.888888888888886</v>
      </c>
      <c r="CE6">
        <f t="shared" si="0"/>
        <v>37.6</v>
      </c>
      <c r="CF6">
        <f t="shared" ref="CF6:CF16" si="4">AVERAGE(X6:AG6)</f>
        <v>37.888888888888886</v>
      </c>
      <c r="CG6">
        <f t="shared" ref="CG6:CG16" si="5">AVERAGE(Y6:AH6)</f>
        <v>45.111111111111114</v>
      </c>
      <c r="CH6">
        <f t="shared" ref="CH6:CH16" si="6">AVERAGE(Z6:AI6)</f>
        <v>53.555555555555557</v>
      </c>
      <c r="CI6">
        <f t="shared" ref="CI6:CI16" si="7">AVERAGE(AA6:AJ6)</f>
        <v>58</v>
      </c>
      <c r="CJ6">
        <f t="shared" ref="CJ6:CJ16" si="8">AVERAGE(AB6:AK6)</f>
        <v>55.571428571428569</v>
      </c>
      <c r="CK6">
        <f t="shared" ref="CK6:CK16" si="9">AVERAGE(AC6:AL6)</f>
        <v>55.333333333333336</v>
      </c>
      <c r="CL6">
        <f t="shared" ref="CL6:CL16" si="10">AVERAGE(AD6:AM6)</f>
        <v>57.8</v>
      </c>
      <c r="CM6">
        <f t="shared" ref="CM6:CM16" si="11">AVERAGE(AE6:AN6)</f>
        <v>64</v>
      </c>
      <c r="CN6">
        <f t="shared" ref="CN6:CN16" si="12">AVERAGE(AF6:AO6)</f>
        <v>61.333333333333336</v>
      </c>
      <c r="CO6">
        <f t="shared" ref="CO6:CO16" si="13">AVERAGE(AG6:AP6)</f>
        <v>88</v>
      </c>
      <c r="CP6">
        <f t="shared" ref="CP6:CP16" si="14">AVERAGE(AH6:AQ6)</f>
        <v>88</v>
      </c>
      <c r="CQ6">
        <f t="shared" ref="CQ6:CQ16" si="15">AVERAGE(AI6:AR6)</f>
        <v>100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>
        <v>7</v>
      </c>
      <c r="O7" s="16">
        <v>33</v>
      </c>
      <c r="P7" s="16">
        <v>5</v>
      </c>
      <c r="Q7" s="16">
        <v>16</v>
      </c>
      <c r="R7" s="16">
        <v>7</v>
      </c>
      <c r="S7" s="16"/>
      <c r="T7" s="16"/>
      <c r="U7" s="17">
        <v>28</v>
      </c>
      <c r="V7" s="17"/>
      <c r="W7" s="17">
        <v>60</v>
      </c>
      <c r="X7" s="17">
        <v>28</v>
      </c>
      <c r="Y7" s="17">
        <v>24</v>
      </c>
      <c r="Z7" s="97">
        <v>24</v>
      </c>
      <c r="AA7" s="17">
        <v>130</v>
      </c>
      <c r="AB7" s="17">
        <v>43</v>
      </c>
      <c r="AC7" s="17">
        <v>61</v>
      </c>
      <c r="AD7" s="17">
        <v>61</v>
      </c>
      <c r="AE7" s="10">
        <v>131</v>
      </c>
      <c r="AF7" s="10">
        <v>53</v>
      </c>
      <c r="AG7" s="10">
        <f>48+13</f>
        <v>61</v>
      </c>
      <c r="AH7" s="10">
        <f>21+61+15+17</f>
        <v>114</v>
      </c>
      <c r="AI7" s="10">
        <f>6+5+10</f>
        <v>21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f t="shared" si="1"/>
        <v>#DIV/0!</v>
      </c>
      <c r="BK7" t="e">
        <f t="shared" si="0"/>
        <v>#DIV/0!</v>
      </c>
      <c r="BL7" t="e">
        <f t="shared" si="2"/>
        <v>#DIV/0!</v>
      </c>
      <c r="BM7">
        <f t="shared" si="0"/>
        <v>7</v>
      </c>
      <c r="BN7">
        <f t="shared" si="0"/>
        <v>20</v>
      </c>
      <c r="BO7">
        <f t="shared" si="0"/>
        <v>15</v>
      </c>
      <c r="BP7">
        <f t="shared" si="0"/>
        <v>15.25</v>
      </c>
      <c r="BQ7">
        <f t="shared" si="0"/>
        <v>13.6</v>
      </c>
      <c r="BR7">
        <f t="shared" si="3"/>
        <v>13.6</v>
      </c>
      <c r="BS7">
        <f t="shared" si="3"/>
        <v>13.6</v>
      </c>
      <c r="BT7">
        <f t="shared" si="0"/>
        <v>16</v>
      </c>
      <c r="BU7">
        <f t="shared" si="0"/>
        <v>16</v>
      </c>
      <c r="BV7">
        <f t="shared" si="0"/>
        <v>22.285714285714285</v>
      </c>
      <c r="BW7">
        <f t="shared" si="0"/>
        <v>25.285714285714285</v>
      </c>
      <c r="BX7">
        <f>AVERAGE(P7:Y7)</f>
        <v>24</v>
      </c>
      <c r="BY7">
        <f t="shared" si="0"/>
        <v>26.714285714285715</v>
      </c>
      <c r="BZ7">
        <f t="shared" si="0"/>
        <v>43</v>
      </c>
      <c r="CA7">
        <f t="shared" si="0"/>
        <v>48.142857142857146</v>
      </c>
      <c r="CB7">
        <f t="shared" si="0"/>
        <v>49.75</v>
      </c>
      <c r="CC7">
        <f t="shared" si="0"/>
        <v>51</v>
      </c>
      <c r="CD7">
        <f t="shared" si="0"/>
        <v>62.444444444444443</v>
      </c>
      <c r="CE7">
        <f>AVERAGE(W7:AF7)</f>
        <v>61.5</v>
      </c>
      <c r="CF7">
        <f t="shared" si="4"/>
        <v>61.6</v>
      </c>
      <c r="CG7">
        <f t="shared" si="5"/>
        <v>70.2</v>
      </c>
      <c r="CH7">
        <f t="shared" si="6"/>
        <v>69.900000000000006</v>
      </c>
      <c r="CI7">
        <f t="shared" si="7"/>
        <v>75</v>
      </c>
      <c r="CJ7">
        <f t="shared" si="8"/>
        <v>68.125</v>
      </c>
      <c r="CK7">
        <f t="shared" si="9"/>
        <v>71.714285714285708</v>
      </c>
      <c r="CL7">
        <f t="shared" si="10"/>
        <v>73.5</v>
      </c>
      <c r="CM7">
        <f t="shared" si="11"/>
        <v>76</v>
      </c>
      <c r="CN7">
        <f t="shared" si="12"/>
        <v>62.25</v>
      </c>
      <c r="CO7">
        <f t="shared" si="13"/>
        <v>65.333333333333329</v>
      </c>
      <c r="CP7">
        <f t="shared" si="14"/>
        <v>67.5</v>
      </c>
      <c r="CQ7">
        <f t="shared" si="15"/>
        <v>21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>
        <v>30</v>
      </c>
      <c r="O8" s="14">
        <v>48</v>
      </c>
      <c r="P8" s="14">
        <v>59</v>
      </c>
      <c r="Q8" s="14">
        <v>70</v>
      </c>
      <c r="R8" s="14">
        <v>45</v>
      </c>
      <c r="S8" s="14"/>
      <c r="T8" s="14"/>
      <c r="U8" s="15">
        <v>78</v>
      </c>
      <c r="V8" s="15"/>
      <c r="W8" s="15">
        <v>104</v>
      </c>
      <c r="X8" s="15">
        <v>97</v>
      </c>
      <c r="Y8" s="15">
        <v>94</v>
      </c>
      <c r="Z8" s="97">
        <v>78</v>
      </c>
      <c r="AA8" s="15">
        <v>186</v>
      </c>
      <c r="AB8" s="15">
        <v>147</v>
      </c>
      <c r="AC8" s="15">
        <v>122</v>
      </c>
      <c r="AD8" s="15">
        <v>142</v>
      </c>
      <c r="AE8" s="124">
        <v>53</v>
      </c>
      <c r="AF8" s="124">
        <v>227</v>
      </c>
      <c r="AG8" s="124">
        <f>41+32+42+36+53+9</f>
        <v>213</v>
      </c>
      <c r="AH8" s="124">
        <f>20+28+37+29+10</f>
        <v>124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f t="shared" si="1"/>
        <v>#DIV/0!</v>
      </c>
      <c r="BK8" t="e">
        <f t="shared" si="0"/>
        <v>#DIV/0!</v>
      </c>
      <c r="BL8" t="e">
        <f t="shared" si="2"/>
        <v>#DIV/0!</v>
      </c>
      <c r="BM8">
        <f t="shared" si="0"/>
        <v>30</v>
      </c>
      <c r="BN8">
        <f t="shared" si="0"/>
        <v>39</v>
      </c>
      <c r="BO8">
        <f t="shared" si="0"/>
        <v>45.666666666666664</v>
      </c>
      <c r="BP8">
        <f t="shared" si="0"/>
        <v>51.75</v>
      </c>
      <c r="BQ8">
        <f t="shared" si="0"/>
        <v>50.4</v>
      </c>
      <c r="BR8">
        <f t="shared" si="3"/>
        <v>50.4</v>
      </c>
      <c r="BS8">
        <f t="shared" si="3"/>
        <v>50.4</v>
      </c>
      <c r="BT8">
        <f>AVERAGE(L8:U8)</f>
        <v>55</v>
      </c>
      <c r="BU8">
        <f t="shared" si="0"/>
        <v>55</v>
      </c>
      <c r="BV8">
        <f t="shared" si="0"/>
        <v>62</v>
      </c>
      <c r="BW8">
        <f t="shared" si="0"/>
        <v>71.571428571428569</v>
      </c>
      <c r="BX8">
        <f t="shared" si="0"/>
        <v>78.142857142857139</v>
      </c>
      <c r="BY8">
        <f t="shared" si="0"/>
        <v>80.857142857142861</v>
      </c>
      <c r="BZ8">
        <f t="shared" si="0"/>
        <v>97.428571428571431</v>
      </c>
      <c r="CA8">
        <f t="shared" si="0"/>
        <v>112</v>
      </c>
      <c r="CB8">
        <f t="shared" si="0"/>
        <v>113.25</v>
      </c>
      <c r="CC8">
        <f t="shared" si="0"/>
        <v>116.44444444444444</v>
      </c>
      <c r="CD8">
        <f t="shared" si="0"/>
        <v>113.66666666666667</v>
      </c>
      <c r="CE8">
        <f t="shared" si="0"/>
        <v>125</v>
      </c>
      <c r="CF8">
        <f t="shared" si="4"/>
        <v>135.9</v>
      </c>
      <c r="CG8">
        <f t="shared" si="5"/>
        <v>138.6</v>
      </c>
      <c r="CH8">
        <f t="shared" si="6"/>
        <v>143.55555555555554</v>
      </c>
      <c r="CI8">
        <f t="shared" si="7"/>
        <v>151.75</v>
      </c>
      <c r="CJ8">
        <f t="shared" si="8"/>
        <v>146.85714285714286</v>
      </c>
      <c r="CK8">
        <f t="shared" si="9"/>
        <v>146.83333333333334</v>
      </c>
      <c r="CL8">
        <f t="shared" si="10"/>
        <v>151.80000000000001</v>
      </c>
      <c r="CM8">
        <f t="shared" si="11"/>
        <v>154.25</v>
      </c>
      <c r="CN8">
        <f t="shared" si="12"/>
        <v>188</v>
      </c>
      <c r="CO8">
        <f t="shared" si="13"/>
        <v>168.5</v>
      </c>
      <c r="CP8">
        <f t="shared" si="14"/>
        <v>124</v>
      </c>
      <c r="CQ8" t="e">
        <f t="shared" si="15"/>
        <v>#DIV/0!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>
        <v>72</v>
      </c>
      <c r="O9" s="16">
        <v>101</v>
      </c>
      <c r="P9" s="16">
        <v>100</v>
      </c>
      <c r="Q9" s="16">
        <v>102</v>
      </c>
      <c r="R9" s="16">
        <v>51</v>
      </c>
      <c r="S9" s="16"/>
      <c r="T9" s="16"/>
      <c r="U9" s="17">
        <v>66</v>
      </c>
      <c r="V9" s="17"/>
      <c r="W9" s="17">
        <v>80</v>
      </c>
      <c r="X9" s="17">
        <v>120</v>
      </c>
      <c r="Y9" s="17">
        <v>189</v>
      </c>
      <c r="Z9" s="17">
        <v>187</v>
      </c>
      <c r="AA9" s="17">
        <v>197</v>
      </c>
      <c r="AB9" s="17">
        <v>188</v>
      </c>
      <c r="AC9" s="17">
        <v>184</v>
      </c>
      <c r="AD9" s="17">
        <v>237</v>
      </c>
      <c r="AE9" s="10">
        <v>204</v>
      </c>
      <c r="AF9" s="10">
        <v>248</v>
      </c>
      <c r="AG9" s="10">
        <f>27+44+41+44+34</f>
        <v>190</v>
      </c>
      <c r="AH9" s="10">
        <f>17+45+43+41+40</f>
        <v>186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f t="shared" si="1"/>
        <v>#DIV/0!</v>
      </c>
      <c r="BK9" t="e">
        <f t="shared" si="0"/>
        <v>#DIV/0!</v>
      </c>
      <c r="BL9" t="e">
        <f t="shared" si="2"/>
        <v>#DIV/0!</v>
      </c>
      <c r="BM9">
        <f t="shared" si="0"/>
        <v>72</v>
      </c>
      <c r="BN9">
        <f t="shared" si="0"/>
        <v>86.5</v>
      </c>
      <c r="BO9">
        <f t="shared" si="0"/>
        <v>91</v>
      </c>
      <c r="BP9">
        <f t="shared" si="0"/>
        <v>93.75</v>
      </c>
      <c r="BQ9">
        <f t="shared" si="0"/>
        <v>85.2</v>
      </c>
      <c r="BR9">
        <f t="shared" si="3"/>
        <v>85.2</v>
      </c>
      <c r="BS9">
        <f t="shared" si="3"/>
        <v>85.2</v>
      </c>
      <c r="BT9">
        <f t="shared" si="0"/>
        <v>82</v>
      </c>
      <c r="BU9">
        <f t="shared" si="0"/>
        <v>82</v>
      </c>
      <c r="BV9">
        <f t="shared" si="0"/>
        <v>81.714285714285708</v>
      </c>
      <c r="BW9">
        <f t="shared" si="0"/>
        <v>88.571428571428569</v>
      </c>
      <c r="BX9">
        <f t="shared" si="0"/>
        <v>101.14285714285714</v>
      </c>
      <c r="BY9">
        <f t="shared" si="0"/>
        <v>113.57142857142857</v>
      </c>
      <c r="BZ9">
        <f t="shared" si="0"/>
        <v>127.14285714285714</v>
      </c>
      <c r="CA9">
        <f t="shared" si="0"/>
        <v>146.71428571428572</v>
      </c>
      <c r="CB9">
        <f t="shared" si="0"/>
        <v>151.375</v>
      </c>
      <c r="CC9">
        <f t="shared" si="0"/>
        <v>160.88888888888889</v>
      </c>
      <c r="CD9">
        <f t="shared" si="0"/>
        <v>176.22222222222223</v>
      </c>
      <c r="CE9">
        <f t="shared" si="0"/>
        <v>183.4</v>
      </c>
      <c r="CF9">
        <f t="shared" si="4"/>
        <v>194.4</v>
      </c>
      <c r="CG9">
        <f t="shared" si="5"/>
        <v>201</v>
      </c>
      <c r="CH9">
        <f t="shared" si="6"/>
        <v>202.33333333333334</v>
      </c>
      <c r="CI9">
        <f t="shared" si="7"/>
        <v>204.25</v>
      </c>
      <c r="CJ9">
        <f t="shared" si="8"/>
        <v>205.28571428571428</v>
      </c>
      <c r="CK9">
        <f t="shared" si="9"/>
        <v>208.16666666666666</v>
      </c>
      <c r="CL9">
        <f t="shared" si="10"/>
        <v>213</v>
      </c>
      <c r="CM9">
        <f t="shared" si="11"/>
        <v>207</v>
      </c>
      <c r="CN9">
        <f t="shared" si="12"/>
        <v>208</v>
      </c>
      <c r="CO9">
        <f t="shared" si="13"/>
        <v>188</v>
      </c>
      <c r="CP9">
        <f t="shared" si="14"/>
        <v>186</v>
      </c>
      <c r="CQ9" t="e">
        <f t="shared" si="15"/>
        <v>#DIV/0!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>
        <v>94</v>
      </c>
      <c r="N10" s="14">
        <v>62</v>
      </c>
      <c r="O10" s="14">
        <v>92</v>
      </c>
      <c r="P10" s="14">
        <v>64</v>
      </c>
      <c r="Q10" s="14">
        <v>64</v>
      </c>
      <c r="R10" s="14">
        <v>65</v>
      </c>
      <c r="S10" s="14"/>
      <c r="T10" s="14"/>
      <c r="U10" s="15">
        <v>112</v>
      </c>
      <c r="V10" s="15"/>
      <c r="W10" s="15">
        <v>122</v>
      </c>
      <c r="X10" s="15">
        <v>185</v>
      </c>
      <c r="Y10" s="15">
        <v>182</v>
      </c>
      <c r="Z10" s="15">
        <v>168</v>
      </c>
      <c r="AA10" s="15">
        <v>201</v>
      </c>
      <c r="AB10" s="15">
        <v>219</v>
      </c>
      <c r="AC10" s="15">
        <v>256</v>
      </c>
      <c r="AD10" s="15">
        <v>231</v>
      </c>
      <c r="AE10" s="124">
        <v>253</v>
      </c>
      <c r="AF10" s="124">
        <v>269</v>
      </c>
      <c r="AG10" s="124">
        <f>6+36+47+54+27</f>
        <v>170</v>
      </c>
      <c r="AH10" s="124">
        <f>6+63+51+44+31</f>
        <v>195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f t="shared" si="1"/>
        <v>#DIV/0!</v>
      </c>
      <c r="BK10" t="e">
        <f t="shared" si="0"/>
        <v>#DIV/0!</v>
      </c>
      <c r="BL10">
        <f t="shared" si="2"/>
        <v>94</v>
      </c>
      <c r="BM10">
        <f t="shared" si="0"/>
        <v>78</v>
      </c>
      <c r="BN10">
        <f t="shared" si="0"/>
        <v>82.666666666666671</v>
      </c>
      <c r="BO10">
        <f t="shared" si="0"/>
        <v>78</v>
      </c>
      <c r="BP10">
        <f t="shared" si="0"/>
        <v>75.2</v>
      </c>
      <c r="BQ10">
        <f t="shared" si="0"/>
        <v>73.5</v>
      </c>
      <c r="BR10">
        <f t="shared" si="3"/>
        <v>73.5</v>
      </c>
      <c r="BS10">
        <f t="shared" si="3"/>
        <v>73.5</v>
      </c>
      <c r="BT10">
        <f t="shared" si="0"/>
        <v>79</v>
      </c>
      <c r="BU10">
        <f t="shared" si="0"/>
        <v>79</v>
      </c>
      <c r="BV10">
        <f t="shared" si="0"/>
        <v>83</v>
      </c>
      <c r="BW10">
        <f t="shared" si="0"/>
        <v>100.57142857142857</v>
      </c>
      <c r="BX10">
        <f t="shared" si="0"/>
        <v>113.42857142857143</v>
      </c>
      <c r="BY10">
        <f t="shared" si="0"/>
        <v>128.28571428571428</v>
      </c>
      <c r="BZ10">
        <f t="shared" si="0"/>
        <v>147.85714285714286</v>
      </c>
      <c r="CA10">
        <f t="shared" si="0"/>
        <v>169.85714285714286</v>
      </c>
      <c r="CB10">
        <f t="shared" si="0"/>
        <v>180.625</v>
      </c>
      <c r="CC10">
        <f t="shared" si="0"/>
        <v>186.22222222222223</v>
      </c>
      <c r="CD10">
        <f t="shared" si="0"/>
        <v>201.88888888888889</v>
      </c>
      <c r="CE10">
        <f t="shared" si="0"/>
        <v>208.6</v>
      </c>
      <c r="CF10">
        <f t="shared" si="4"/>
        <v>213.4</v>
      </c>
      <c r="CG10">
        <f t="shared" si="5"/>
        <v>214.4</v>
      </c>
      <c r="CH10">
        <f t="shared" si="6"/>
        <v>218</v>
      </c>
      <c r="CI10">
        <f t="shared" si="7"/>
        <v>224.25</v>
      </c>
      <c r="CJ10">
        <f t="shared" si="8"/>
        <v>227.57142857142858</v>
      </c>
      <c r="CK10">
        <f t="shared" si="9"/>
        <v>229</v>
      </c>
      <c r="CL10">
        <f t="shared" si="10"/>
        <v>223.6</v>
      </c>
      <c r="CM10">
        <f t="shared" si="11"/>
        <v>221.75</v>
      </c>
      <c r="CN10">
        <f t="shared" si="12"/>
        <v>211.33333333333334</v>
      </c>
      <c r="CO10">
        <f t="shared" si="13"/>
        <v>182.5</v>
      </c>
      <c r="CP10">
        <f t="shared" si="14"/>
        <v>195</v>
      </c>
      <c r="CQ10" t="e">
        <f t="shared" si="15"/>
        <v>#DIV/0!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>
        <v>139</v>
      </c>
      <c r="N11" s="16">
        <v>88</v>
      </c>
      <c r="O11" s="16">
        <v>151</v>
      </c>
      <c r="P11" s="16">
        <v>130</v>
      </c>
      <c r="Q11" s="16">
        <v>119</v>
      </c>
      <c r="R11" s="16">
        <v>217</v>
      </c>
      <c r="S11" s="16"/>
      <c r="T11" s="16"/>
      <c r="U11" s="17">
        <v>274</v>
      </c>
      <c r="V11" s="17"/>
      <c r="W11" s="17">
        <v>170</v>
      </c>
      <c r="X11" s="17">
        <v>225</v>
      </c>
      <c r="Y11" s="17">
        <v>273</v>
      </c>
      <c r="Z11" s="17">
        <v>189</v>
      </c>
      <c r="AA11" s="17">
        <v>307</v>
      </c>
      <c r="AB11" s="17">
        <v>393</v>
      </c>
      <c r="AC11" s="17">
        <v>439</v>
      </c>
      <c r="AD11" s="17">
        <v>563</v>
      </c>
      <c r="AE11" s="10">
        <v>518</v>
      </c>
      <c r="AF11" s="10">
        <v>329</v>
      </c>
      <c r="AG11" s="10">
        <f>15+29+50+29+40+44+43</f>
        <v>250</v>
      </c>
      <c r="AH11" s="10">
        <f>10+55+32+37+55+36+48+18</f>
        <v>291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f t="shared" si="1"/>
        <v>#DIV/0!</v>
      </c>
      <c r="BK11" t="e">
        <f t="shared" si="0"/>
        <v>#DIV/0!</v>
      </c>
      <c r="BL11">
        <f t="shared" si="2"/>
        <v>139</v>
      </c>
      <c r="BM11">
        <f t="shared" si="0"/>
        <v>113.5</v>
      </c>
      <c r="BN11">
        <f t="shared" si="0"/>
        <v>126</v>
      </c>
      <c r="BO11">
        <f t="shared" si="0"/>
        <v>127</v>
      </c>
      <c r="BP11">
        <f t="shared" si="0"/>
        <v>125.4</v>
      </c>
      <c r="BQ11">
        <f t="shared" si="0"/>
        <v>140.66666666666666</v>
      </c>
      <c r="BR11">
        <f t="shared" si="3"/>
        <v>140.66666666666666</v>
      </c>
      <c r="BS11">
        <f t="shared" si="3"/>
        <v>140.66666666666666</v>
      </c>
      <c r="BT11">
        <f t="shared" si="0"/>
        <v>159.71428571428572</v>
      </c>
      <c r="BU11">
        <f t="shared" si="0"/>
        <v>159.71428571428572</v>
      </c>
      <c r="BV11">
        <f t="shared" si="0"/>
        <v>164.14285714285714</v>
      </c>
      <c r="BW11">
        <f t="shared" si="0"/>
        <v>183.71428571428572</v>
      </c>
      <c r="BX11">
        <f t="shared" si="0"/>
        <v>201.14285714285714</v>
      </c>
      <c r="BY11">
        <f t="shared" si="0"/>
        <v>209.57142857142858</v>
      </c>
      <c r="BZ11">
        <f t="shared" si="0"/>
        <v>236.42857142857142</v>
      </c>
      <c r="CA11">
        <f t="shared" si="0"/>
        <v>261.57142857142856</v>
      </c>
      <c r="CB11">
        <f t="shared" si="0"/>
        <v>283.75</v>
      </c>
      <c r="CC11">
        <f t="shared" si="0"/>
        <v>314.77777777777777</v>
      </c>
      <c r="CD11">
        <f t="shared" si="0"/>
        <v>341.88888888888891</v>
      </c>
      <c r="CE11">
        <f t="shared" si="0"/>
        <v>340.6</v>
      </c>
      <c r="CF11">
        <f t="shared" si="4"/>
        <v>348.6</v>
      </c>
      <c r="CG11">
        <f t="shared" si="5"/>
        <v>355.2</v>
      </c>
      <c r="CH11">
        <f t="shared" si="6"/>
        <v>364.33333333333331</v>
      </c>
      <c r="CI11">
        <f t="shared" si="7"/>
        <v>386.25</v>
      </c>
      <c r="CJ11">
        <f t="shared" si="8"/>
        <v>397.57142857142856</v>
      </c>
      <c r="CK11">
        <f t="shared" si="9"/>
        <v>398.33333333333331</v>
      </c>
      <c r="CL11">
        <f t="shared" si="10"/>
        <v>390.2</v>
      </c>
      <c r="CM11">
        <f t="shared" si="11"/>
        <v>347</v>
      </c>
      <c r="CN11">
        <f t="shared" si="12"/>
        <v>290</v>
      </c>
      <c r="CO11">
        <f t="shared" si="13"/>
        <v>270.5</v>
      </c>
      <c r="CP11">
        <f t="shared" si="14"/>
        <v>291</v>
      </c>
      <c r="CQ11" t="e">
        <f t="shared" si="15"/>
        <v>#DIV/0!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>
        <v>152</v>
      </c>
      <c r="N12" s="14">
        <v>131</v>
      </c>
      <c r="O12" s="14">
        <v>127</v>
      </c>
      <c r="P12" s="14">
        <v>121</v>
      </c>
      <c r="Q12" s="14">
        <v>93</v>
      </c>
      <c r="R12" s="14">
        <v>199</v>
      </c>
      <c r="S12" s="14"/>
      <c r="T12" s="14"/>
      <c r="U12" s="15">
        <v>213</v>
      </c>
      <c r="V12" s="15"/>
      <c r="W12" s="15">
        <v>132</v>
      </c>
      <c r="X12" s="15">
        <v>324</v>
      </c>
      <c r="Y12" s="15">
        <v>432</v>
      </c>
      <c r="Z12" s="15">
        <v>454</v>
      </c>
      <c r="AA12" s="15">
        <v>372</v>
      </c>
      <c r="AB12" s="15">
        <v>390</v>
      </c>
      <c r="AC12" s="15">
        <v>395</v>
      </c>
      <c r="AD12" s="15">
        <v>931</v>
      </c>
      <c r="AE12" s="124">
        <v>673</v>
      </c>
      <c r="AF12" s="124">
        <v>314</v>
      </c>
      <c r="AG12" s="124">
        <f>43+53+54+69+49+37+3</f>
        <v>308</v>
      </c>
      <c r="AH12" s="124">
        <f>35+41+39+41+65+14+3</f>
        <v>238</v>
      </c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f t="shared" si="1"/>
        <v>#DIV/0!</v>
      </c>
      <c r="BK12" t="e">
        <f t="shared" si="0"/>
        <v>#DIV/0!</v>
      </c>
      <c r="BL12">
        <f t="shared" si="2"/>
        <v>152</v>
      </c>
      <c r="BM12">
        <f t="shared" si="0"/>
        <v>141.5</v>
      </c>
      <c r="BN12">
        <f t="shared" si="0"/>
        <v>136.66666666666666</v>
      </c>
      <c r="BO12">
        <f t="shared" si="0"/>
        <v>132.75</v>
      </c>
      <c r="BP12">
        <f t="shared" si="0"/>
        <v>124.8</v>
      </c>
      <c r="BQ12">
        <f t="shared" si="0"/>
        <v>137.16666666666666</v>
      </c>
      <c r="BR12">
        <f t="shared" si="3"/>
        <v>137.16666666666666</v>
      </c>
      <c r="BS12">
        <f t="shared" si="3"/>
        <v>137.16666666666666</v>
      </c>
      <c r="BT12">
        <f t="shared" si="0"/>
        <v>148</v>
      </c>
      <c r="BU12">
        <f t="shared" si="0"/>
        <v>148</v>
      </c>
      <c r="BV12">
        <f t="shared" si="0"/>
        <v>145.14285714285714</v>
      </c>
      <c r="BW12">
        <f t="shared" si="0"/>
        <v>172.71428571428572</v>
      </c>
      <c r="BX12">
        <f t="shared" si="0"/>
        <v>216.28571428571428</v>
      </c>
      <c r="BY12">
        <f t="shared" si="0"/>
        <v>263.85714285714283</v>
      </c>
      <c r="BZ12">
        <f t="shared" si="0"/>
        <v>303.71428571428572</v>
      </c>
      <c r="CA12">
        <f t="shared" si="0"/>
        <v>331</v>
      </c>
      <c r="CB12">
        <f t="shared" si="0"/>
        <v>339</v>
      </c>
      <c r="CC12">
        <f t="shared" si="0"/>
        <v>404.77777777777777</v>
      </c>
      <c r="CD12">
        <f t="shared" si="0"/>
        <v>455.88888888888891</v>
      </c>
      <c r="CE12">
        <f t="shared" si="0"/>
        <v>441.7</v>
      </c>
      <c r="CF12">
        <f t="shared" si="4"/>
        <v>459.3</v>
      </c>
      <c r="CG12">
        <f t="shared" si="5"/>
        <v>450.7</v>
      </c>
      <c r="CH12">
        <f t="shared" si="6"/>
        <v>452.77777777777777</v>
      </c>
      <c r="CI12">
        <f t="shared" si="7"/>
        <v>452.625</v>
      </c>
      <c r="CJ12">
        <f t="shared" si="8"/>
        <v>464.14285714285717</v>
      </c>
      <c r="CK12">
        <f t="shared" si="9"/>
        <v>476.5</v>
      </c>
      <c r="CL12">
        <f t="shared" si="10"/>
        <v>492.8</v>
      </c>
      <c r="CM12">
        <f t="shared" si="11"/>
        <v>383.25</v>
      </c>
      <c r="CN12">
        <f t="shared" si="12"/>
        <v>286.66666666666669</v>
      </c>
      <c r="CO12">
        <f t="shared" si="13"/>
        <v>273</v>
      </c>
      <c r="CP12">
        <f t="shared" si="14"/>
        <v>238</v>
      </c>
      <c r="CQ12" t="e">
        <f t="shared" si="15"/>
        <v>#DIV/0!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>
        <v>82</v>
      </c>
      <c r="N13" s="16">
        <v>64</v>
      </c>
      <c r="O13" s="16">
        <v>129</v>
      </c>
      <c r="P13" s="16">
        <v>104</v>
      </c>
      <c r="Q13" s="16">
        <v>77</v>
      </c>
      <c r="R13" s="16">
        <v>112</v>
      </c>
      <c r="S13" s="16"/>
      <c r="T13" s="16"/>
      <c r="U13" s="17">
        <v>243</v>
      </c>
      <c r="V13" s="17"/>
      <c r="W13" s="17">
        <v>160</v>
      </c>
      <c r="X13" s="17">
        <v>18</v>
      </c>
      <c r="Y13" s="17">
        <v>154</v>
      </c>
      <c r="Z13" s="17">
        <v>184</v>
      </c>
      <c r="AA13" s="17">
        <v>210</v>
      </c>
      <c r="AB13" s="17">
        <v>322</v>
      </c>
      <c r="AC13" s="17">
        <v>296</v>
      </c>
      <c r="AD13" s="17">
        <v>725</v>
      </c>
      <c r="AE13" s="10">
        <v>575</v>
      </c>
      <c r="AF13" s="10">
        <v>232</v>
      </c>
      <c r="AG13" s="10">
        <f>45+59+36+45+49+29</f>
        <v>263</v>
      </c>
      <c r="AH13" s="10">
        <f>29+42+34+50+15+2</f>
        <v>172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f t="shared" si="1"/>
        <v>#DIV/0!</v>
      </c>
      <c r="BK13" t="e">
        <f t="shared" si="0"/>
        <v>#DIV/0!</v>
      </c>
      <c r="BL13">
        <f t="shared" si="2"/>
        <v>82</v>
      </c>
      <c r="BM13">
        <f t="shared" si="0"/>
        <v>73</v>
      </c>
      <c r="BN13">
        <f t="shared" si="0"/>
        <v>91.666666666666671</v>
      </c>
      <c r="BO13">
        <f t="shared" si="0"/>
        <v>94.75</v>
      </c>
      <c r="BP13">
        <f t="shared" si="0"/>
        <v>91.2</v>
      </c>
      <c r="BQ13">
        <f t="shared" si="0"/>
        <v>94.666666666666671</v>
      </c>
      <c r="BR13">
        <f t="shared" si="3"/>
        <v>94.666666666666671</v>
      </c>
      <c r="BS13">
        <f t="shared" si="3"/>
        <v>94.666666666666671</v>
      </c>
      <c r="BT13">
        <f t="shared" si="0"/>
        <v>115.85714285714286</v>
      </c>
      <c r="BU13">
        <f t="shared" si="0"/>
        <v>115.85714285714286</v>
      </c>
      <c r="BV13">
        <f t="shared" si="0"/>
        <v>127</v>
      </c>
      <c r="BW13">
        <f t="shared" si="0"/>
        <v>120.42857142857143</v>
      </c>
      <c r="BX13">
        <f t="shared" si="0"/>
        <v>124</v>
      </c>
      <c r="BY13">
        <f t="shared" si="0"/>
        <v>135.42857142857142</v>
      </c>
      <c r="BZ13">
        <f t="shared" si="0"/>
        <v>154.42857142857142</v>
      </c>
      <c r="CA13">
        <f t="shared" si="0"/>
        <v>184.42857142857142</v>
      </c>
      <c r="CB13">
        <f t="shared" si="0"/>
        <v>198.375</v>
      </c>
      <c r="CC13">
        <f t="shared" si="0"/>
        <v>256.88888888888891</v>
      </c>
      <c r="CD13">
        <f t="shared" si="0"/>
        <v>293.77777777777777</v>
      </c>
      <c r="CE13">
        <f t="shared" si="0"/>
        <v>287.60000000000002</v>
      </c>
      <c r="CF13">
        <f t="shared" si="4"/>
        <v>297.89999999999998</v>
      </c>
      <c r="CG13">
        <f t="shared" si="5"/>
        <v>313.3</v>
      </c>
      <c r="CH13">
        <f t="shared" si="6"/>
        <v>331</v>
      </c>
      <c r="CI13">
        <f t="shared" si="7"/>
        <v>349.375</v>
      </c>
      <c r="CJ13">
        <f t="shared" si="8"/>
        <v>369.28571428571428</v>
      </c>
      <c r="CK13">
        <f t="shared" si="9"/>
        <v>377.16666666666669</v>
      </c>
      <c r="CL13">
        <f t="shared" si="10"/>
        <v>393.4</v>
      </c>
      <c r="CM13">
        <f t="shared" si="11"/>
        <v>310.5</v>
      </c>
      <c r="CN13">
        <f t="shared" si="12"/>
        <v>222.33333333333334</v>
      </c>
      <c r="CO13">
        <f t="shared" si="13"/>
        <v>217.5</v>
      </c>
      <c r="CP13">
        <f t="shared" si="14"/>
        <v>172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>
        <v>85</v>
      </c>
      <c r="N14" s="14">
        <v>82</v>
      </c>
      <c r="O14" s="14">
        <v>172</v>
      </c>
      <c r="P14" s="14">
        <v>68</v>
      </c>
      <c r="Q14" s="14">
        <v>134</v>
      </c>
      <c r="R14" s="14">
        <v>103</v>
      </c>
      <c r="S14" s="14"/>
      <c r="T14" s="14"/>
      <c r="U14" s="15">
        <v>195</v>
      </c>
      <c r="V14" s="15"/>
      <c r="W14" s="15">
        <v>128</v>
      </c>
      <c r="X14" s="15"/>
      <c r="Y14" s="15">
        <v>219</v>
      </c>
      <c r="Z14" s="15">
        <v>279</v>
      </c>
      <c r="AA14" s="15">
        <v>319</v>
      </c>
      <c r="AB14" s="15">
        <v>352</v>
      </c>
      <c r="AC14" s="15">
        <v>262</v>
      </c>
      <c r="AD14" s="15">
        <v>296</v>
      </c>
      <c r="AE14" s="124">
        <v>570</v>
      </c>
      <c r="AF14" s="124">
        <v>333</v>
      </c>
      <c r="AG14" s="124">
        <f>18+38+38+40+52+36+46+10</f>
        <v>278</v>
      </c>
      <c r="AH14" s="124">
        <f>40+33+33+22+30</f>
        <v>158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f t="shared" si="1"/>
        <v>#DIV/0!</v>
      </c>
      <c r="BK14" t="e">
        <f t="shared" si="0"/>
        <v>#DIV/0!</v>
      </c>
      <c r="BL14">
        <f t="shared" si="2"/>
        <v>85</v>
      </c>
      <c r="BM14">
        <f t="shared" si="0"/>
        <v>83.5</v>
      </c>
      <c r="BN14">
        <f t="shared" si="0"/>
        <v>113</v>
      </c>
      <c r="BO14">
        <f t="shared" si="0"/>
        <v>101.75</v>
      </c>
      <c r="BP14">
        <f t="shared" si="0"/>
        <v>108.2</v>
      </c>
      <c r="BQ14">
        <f t="shared" si="0"/>
        <v>107.33333333333333</v>
      </c>
      <c r="BR14">
        <f t="shared" si="3"/>
        <v>107.33333333333333</v>
      </c>
      <c r="BS14">
        <f t="shared" si="3"/>
        <v>107.33333333333333</v>
      </c>
      <c r="BT14">
        <f t="shared" si="0"/>
        <v>119.85714285714286</v>
      </c>
      <c r="BU14">
        <f t="shared" si="0"/>
        <v>119.85714285714286</v>
      </c>
      <c r="BV14">
        <f t="shared" si="0"/>
        <v>126</v>
      </c>
      <c r="BW14">
        <f t="shared" si="0"/>
        <v>133.33333333333334</v>
      </c>
      <c r="BX14">
        <f t="shared" si="0"/>
        <v>141.16666666666666</v>
      </c>
      <c r="BY14">
        <f t="shared" si="0"/>
        <v>176.33333333333334</v>
      </c>
      <c r="BZ14">
        <f t="shared" si="0"/>
        <v>207.16666666666666</v>
      </c>
      <c r="CA14">
        <f t="shared" si="0"/>
        <v>248.66666666666666</v>
      </c>
      <c r="CB14">
        <f t="shared" si="0"/>
        <v>250.57142857142858</v>
      </c>
      <c r="CC14">
        <f t="shared" si="0"/>
        <v>256.25</v>
      </c>
      <c r="CD14">
        <f t="shared" si="0"/>
        <v>303.125</v>
      </c>
      <c r="CE14">
        <f t="shared" si="0"/>
        <v>306.44444444444446</v>
      </c>
      <c r="CF14">
        <f t="shared" si="4"/>
        <v>323.11111111111109</v>
      </c>
      <c r="CG14">
        <f t="shared" si="5"/>
        <v>306.60000000000002</v>
      </c>
      <c r="CH14">
        <f t="shared" si="6"/>
        <v>316.33333333333331</v>
      </c>
      <c r="CI14">
        <f t="shared" si="7"/>
        <v>321</v>
      </c>
      <c r="CJ14">
        <f t="shared" si="8"/>
        <v>321.28571428571428</v>
      </c>
      <c r="CK14">
        <f t="shared" si="9"/>
        <v>316.16666666666669</v>
      </c>
      <c r="CL14">
        <f t="shared" si="10"/>
        <v>327</v>
      </c>
      <c r="CM14">
        <f t="shared" si="11"/>
        <v>334.75</v>
      </c>
      <c r="CN14">
        <f t="shared" si="12"/>
        <v>256.33333333333331</v>
      </c>
      <c r="CO14">
        <f t="shared" si="13"/>
        <v>218</v>
      </c>
      <c r="CP14">
        <f t="shared" si="14"/>
        <v>158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>
        <v>72</v>
      </c>
      <c r="N15" s="16">
        <v>50</v>
      </c>
      <c r="O15" s="16">
        <v>74</v>
      </c>
      <c r="P15" s="16">
        <v>47</v>
      </c>
      <c r="Q15" s="16">
        <v>55</v>
      </c>
      <c r="R15" s="16">
        <v>19</v>
      </c>
      <c r="S15" s="16"/>
      <c r="T15" s="16"/>
      <c r="U15" s="17">
        <v>56</v>
      </c>
      <c r="V15" s="17"/>
      <c r="W15" s="17">
        <v>30</v>
      </c>
      <c r="X15" s="17"/>
      <c r="Y15" s="17">
        <v>55</v>
      </c>
      <c r="Z15" s="17">
        <v>121</v>
      </c>
      <c r="AA15" s="17">
        <v>153</v>
      </c>
      <c r="AB15" s="17">
        <v>148</v>
      </c>
      <c r="AC15" s="17">
        <v>95</v>
      </c>
      <c r="AD15" s="17">
        <v>405</v>
      </c>
      <c r="AE15" s="10">
        <v>252</v>
      </c>
      <c r="AF15" s="10">
        <v>115</v>
      </c>
      <c r="AG15" s="10">
        <f>29+32+34+4</f>
        <v>99</v>
      </c>
      <c r="AH15" s="10">
        <f>5+45+34+39</f>
        <v>123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f t="shared" si="1"/>
        <v>#DIV/0!</v>
      </c>
      <c r="BK15" t="e">
        <f t="shared" si="0"/>
        <v>#DIV/0!</v>
      </c>
      <c r="BL15">
        <f t="shared" si="2"/>
        <v>72</v>
      </c>
      <c r="BM15">
        <f t="shared" si="0"/>
        <v>61</v>
      </c>
      <c r="BN15">
        <f t="shared" si="0"/>
        <v>65.333333333333329</v>
      </c>
      <c r="BO15">
        <f t="shared" si="0"/>
        <v>60.75</v>
      </c>
      <c r="BP15">
        <f t="shared" si="0"/>
        <v>59.6</v>
      </c>
      <c r="BQ15">
        <f t="shared" si="0"/>
        <v>52.833333333333336</v>
      </c>
      <c r="BR15">
        <f t="shared" si="3"/>
        <v>52.833333333333336</v>
      </c>
      <c r="BS15">
        <f t="shared" si="3"/>
        <v>52.833333333333336</v>
      </c>
      <c r="BT15">
        <f t="shared" si="0"/>
        <v>53.285714285714285</v>
      </c>
      <c r="BU15">
        <f t="shared" si="0"/>
        <v>53.285714285714285</v>
      </c>
      <c r="BV15">
        <f t="shared" si="0"/>
        <v>47.285714285714285</v>
      </c>
      <c r="BW15">
        <f t="shared" si="0"/>
        <v>46.833333333333336</v>
      </c>
      <c r="BX15">
        <f t="shared" si="0"/>
        <v>43.666666666666664</v>
      </c>
      <c r="BY15">
        <f t="shared" si="0"/>
        <v>56</v>
      </c>
      <c r="BZ15">
        <f t="shared" si="0"/>
        <v>72.333333333333329</v>
      </c>
      <c r="CA15">
        <f t="shared" si="0"/>
        <v>93.833333333333329</v>
      </c>
      <c r="CB15">
        <f t="shared" si="0"/>
        <v>94</v>
      </c>
      <c r="CC15">
        <f t="shared" si="0"/>
        <v>132.875</v>
      </c>
      <c r="CD15">
        <f t="shared" si="0"/>
        <v>157.375</v>
      </c>
      <c r="CE15">
        <f t="shared" si="0"/>
        <v>152.66666666666666</v>
      </c>
      <c r="CF15">
        <f t="shared" si="4"/>
        <v>160.33333333333334</v>
      </c>
      <c r="CG15">
        <f t="shared" si="5"/>
        <v>156.6</v>
      </c>
      <c r="CH15">
        <f t="shared" si="6"/>
        <v>167.88888888888889</v>
      </c>
      <c r="CI15">
        <f t="shared" si="7"/>
        <v>173.75</v>
      </c>
      <c r="CJ15">
        <f t="shared" si="8"/>
        <v>176.71428571428572</v>
      </c>
      <c r="CK15">
        <f t="shared" si="9"/>
        <v>181.5</v>
      </c>
      <c r="CL15">
        <f t="shared" si="10"/>
        <v>198.8</v>
      </c>
      <c r="CM15">
        <f t="shared" si="11"/>
        <v>147.25</v>
      </c>
      <c r="CN15">
        <f t="shared" si="12"/>
        <v>112.33333333333333</v>
      </c>
      <c r="CO15">
        <f t="shared" si="13"/>
        <v>111</v>
      </c>
      <c r="CP15">
        <f t="shared" si="14"/>
        <v>123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>
        <v>12</v>
      </c>
      <c r="N16" s="14">
        <v>7</v>
      </c>
      <c r="O16" s="14">
        <v>17</v>
      </c>
      <c r="P16" s="14">
        <v>9</v>
      </c>
      <c r="Q16" s="14">
        <v>35</v>
      </c>
      <c r="R16" s="14">
        <v>7</v>
      </c>
      <c r="S16" s="14"/>
      <c r="T16" s="14"/>
      <c r="U16" s="15">
        <v>1</v>
      </c>
      <c r="V16" s="15"/>
      <c r="W16" s="15">
        <v>8</v>
      </c>
      <c r="X16" s="15"/>
      <c r="Y16" s="15">
        <v>57</v>
      </c>
      <c r="Z16" s="15">
        <v>84</v>
      </c>
      <c r="AA16" s="15">
        <v>28</v>
      </c>
      <c r="AB16" s="15">
        <v>36</v>
      </c>
      <c r="AC16" s="15">
        <v>71</v>
      </c>
      <c r="AD16" s="15">
        <v>78</v>
      </c>
      <c r="AE16" s="124">
        <v>53</v>
      </c>
      <c r="AF16" s="124">
        <v>40</v>
      </c>
      <c r="AG16" s="124">
        <f>36+28+33</f>
        <v>97</v>
      </c>
      <c r="AH16" s="124">
        <f>1+41+38+17</f>
        <v>97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f t="shared" si="1"/>
        <v>#DIV/0!</v>
      </c>
      <c r="BK16" t="e">
        <f t="shared" si="0"/>
        <v>#DIV/0!</v>
      </c>
      <c r="BL16">
        <f t="shared" si="2"/>
        <v>12</v>
      </c>
      <c r="BM16">
        <f t="shared" si="0"/>
        <v>9.5</v>
      </c>
      <c r="BN16">
        <f t="shared" si="0"/>
        <v>12</v>
      </c>
      <c r="BO16">
        <f t="shared" si="0"/>
        <v>11.25</v>
      </c>
      <c r="BP16">
        <f t="shared" si="0"/>
        <v>16</v>
      </c>
      <c r="BQ16">
        <f t="shared" si="0"/>
        <v>14.5</v>
      </c>
      <c r="BR16">
        <f t="shared" si="3"/>
        <v>14.5</v>
      </c>
      <c r="BS16">
        <f t="shared" si="3"/>
        <v>14.5</v>
      </c>
      <c r="BT16">
        <f t="shared" si="0"/>
        <v>12.571428571428571</v>
      </c>
      <c r="BU16">
        <f t="shared" si="0"/>
        <v>12.571428571428571</v>
      </c>
      <c r="BV16">
        <f t="shared" si="0"/>
        <v>12</v>
      </c>
      <c r="BW16">
        <f t="shared" si="0"/>
        <v>12.833333333333334</v>
      </c>
      <c r="BX16">
        <f t="shared" si="0"/>
        <v>19.5</v>
      </c>
      <c r="BY16">
        <f t="shared" si="0"/>
        <v>32</v>
      </c>
      <c r="BZ16">
        <f t="shared" si="0"/>
        <v>30.833333333333332</v>
      </c>
      <c r="CA16">
        <f t="shared" si="0"/>
        <v>35.666666666666664</v>
      </c>
      <c r="CB16">
        <f t="shared" si="0"/>
        <v>40.714285714285715</v>
      </c>
      <c r="CC16">
        <f t="shared" si="0"/>
        <v>45.375</v>
      </c>
      <c r="CD16">
        <f t="shared" si="0"/>
        <v>51.875</v>
      </c>
      <c r="CE16">
        <f t="shared" si="0"/>
        <v>50.555555555555557</v>
      </c>
      <c r="CF16">
        <f t="shared" si="4"/>
        <v>60.444444444444443</v>
      </c>
      <c r="CG16">
        <f t="shared" si="5"/>
        <v>64.099999999999994</v>
      </c>
      <c r="CH16">
        <f t="shared" si="6"/>
        <v>64.888888888888886</v>
      </c>
      <c r="CI16">
        <f t="shared" si="7"/>
        <v>62.5</v>
      </c>
      <c r="CJ16">
        <f t="shared" si="8"/>
        <v>67.428571428571431</v>
      </c>
      <c r="CK16">
        <f t="shared" si="9"/>
        <v>72.666666666666671</v>
      </c>
      <c r="CL16">
        <f t="shared" si="10"/>
        <v>73</v>
      </c>
      <c r="CM16">
        <f t="shared" si="11"/>
        <v>71.75</v>
      </c>
      <c r="CN16">
        <f t="shared" si="12"/>
        <v>78</v>
      </c>
      <c r="CO16">
        <f t="shared" si="13"/>
        <v>97</v>
      </c>
      <c r="CP16">
        <f t="shared" si="14"/>
        <v>97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29">SUM(C5:C16)</f>
        <v>0</v>
      </c>
      <c r="D18" s="22">
        <f t="shared" si="29"/>
        <v>0</v>
      </c>
      <c r="E18" s="22">
        <f t="shared" si="29"/>
        <v>0</v>
      </c>
      <c r="F18" s="22">
        <f t="shared" si="29"/>
        <v>0</v>
      </c>
      <c r="G18" s="22">
        <f t="shared" si="29"/>
        <v>0</v>
      </c>
      <c r="H18" s="22">
        <f t="shared" si="29"/>
        <v>0</v>
      </c>
      <c r="I18" s="22">
        <f t="shared" si="29"/>
        <v>0</v>
      </c>
      <c r="J18" s="22">
        <f t="shared" si="29"/>
        <v>0</v>
      </c>
      <c r="K18" s="22">
        <f t="shared" si="29"/>
        <v>0</v>
      </c>
      <c r="L18" s="22">
        <f t="shared" si="29"/>
        <v>0</v>
      </c>
      <c r="M18" s="22">
        <f t="shared" si="29"/>
        <v>636</v>
      </c>
      <c r="N18" s="22">
        <f t="shared" si="29"/>
        <v>599</v>
      </c>
      <c r="O18" s="22">
        <f t="shared" si="29"/>
        <v>955</v>
      </c>
      <c r="P18" s="22">
        <f t="shared" si="29"/>
        <v>736</v>
      </c>
      <c r="Q18" s="22">
        <f t="shared" si="29"/>
        <v>791</v>
      </c>
      <c r="R18" s="22">
        <f t="shared" si="29"/>
        <v>879</v>
      </c>
      <c r="S18" s="22">
        <f t="shared" si="29"/>
        <v>0</v>
      </c>
      <c r="T18" s="22">
        <f t="shared" si="29"/>
        <v>0</v>
      </c>
      <c r="U18" s="22">
        <f t="shared" si="29"/>
        <v>1279</v>
      </c>
      <c r="V18" s="22">
        <f t="shared" si="29"/>
        <v>0</v>
      </c>
      <c r="W18" s="22">
        <f t="shared" si="29"/>
        <v>1058</v>
      </c>
      <c r="X18" s="22">
        <f t="shared" si="29"/>
        <v>1037</v>
      </c>
      <c r="Y18" s="22">
        <f t="shared" si="29"/>
        <v>1727</v>
      </c>
      <c r="Z18" s="22">
        <f t="shared" si="29"/>
        <v>1807</v>
      </c>
      <c r="AA18" s="22">
        <f t="shared" si="29"/>
        <v>2222</v>
      </c>
      <c r="AB18" s="22">
        <f t="shared" si="29"/>
        <v>2331</v>
      </c>
      <c r="AC18" s="22">
        <f t="shared" si="29"/>
        <v>2270</v>
      </c>
      <c r="AD18" s="22">
        <f t="shared" si="29"/>
        <v>3755</v>
      </c>
      <c r="AE18" s="22">
        <f t="shared" si="29"/>
        <v>3397</v>
      </c>
      <c r="AF18" s="22">
        <f>SUM(AF5:AF16)</f>
        <v>2257</v>
      </c>
      <c r="AG18" s="22">
        <f t="shared" si="29"/>
        <v>1929</v>
      </c>
      <c r="AH18" s="22">
        <f t="shared" si="29"/>
        <v>1886</v>
      </c>
      <c r="AI18" s="22">
        <f t="shared" si="29"/>
        <v>200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857.8</v>
      </c>
      <c r="BZ18" s="25">
        <f>AVERAGE(R18:AA18)</f>
        <v>1000.9</v>
      </c>
      <c r="CA18" s="25">
        <f>AVERAGE(S18:AB18)</f>
        <v>1146.0999999999999</v>
      </c>
      <c r="CB18" s="25">
        <f>AVERAGE(T18:AC18)</f>
        <v>1373.1</v>
      </c>
      <c r="CC18" s="25">
        <f>AVERAGE(U18:AD18)</f>
        <v>1748.6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802A-3581-4796-99FC-A00A464D1411}">
  <sheetPr transitionEvaluation="1" codeName="Sheet30">
    <tabColor theme="9" tint="0.39997558519241921"/>
  </sheetPr>
  <dimension ref="A1:DD192"/>
  <sheetViews>
    <sheetView defaultGridColor="0" colorId="22" zoomScale="70" zoomScaleNormal="70" workbookViewId="0">
      <pane xSplit="1" topLeftCell="W1" activePane="topRight" state="frozen"/>
      <selection activeCell="B1" sqref="B1:U1048576"/>
      <selection pane="topRight" activeCell="AH7" sqref="AH7"/>
    </sheetView>
  </sheetViews>
  <sheetFormatPr baseColWidth="10" defaultColWidth="9.42578125" defaultRowHeight="20" customHeight="1" x14ac:dyDescent="0.2"/>
  <cols>
    <col min="1" max="1" width="11.28515625" style="5" customWidth="1"/>
    <col min="2" max="22" width="5.7109375" style="5" hidden="1" customWidth="1"/>
    <col min="23" max="28" width="5.7109375" style="5" customWidth="1"/>
    <col min="29" max="29" width="6.42578125" style="5" customWidth="1"/>
    <col min="30" max="30" width="9.42578125" style="5" customWidth="1"/>
    <col min="31" max="52" width="9.42578125" customWidth="1"/>
    <col min="53" max="74" width="9.42578125" style="5" customWidth="1"/>
    <col min="75" max="75" width="4.7109375" style="5" customWidth="1"/>
    <col min="76" max="76" width="8.140625" style="5" customWidth="1"/>
    <col min="77" max="77" width="20.140625" style="5" customWidth="1"/>
    <col min="78" max="78" width="9.42578125" style="5" customWidth="1"/>
    <col min="79" max="79" width="16.42578125" style="5" customWidth="1"/>
    <col min="80" max="80" width="16.85546875" style="5" customWidth="1"/>
    <col min="81" max="81" width="17.570312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13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130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77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/>
      <c r="G5" s="16">
        <v>10</v>
      </c>
      <c r="H5" s="16">
        <v>26</v>
      </c>
      <c r="I5" s="16">
        <v>87</v>
      </c>
      <c r="J5" s="16">
        <v>71</v>
      </c>
      <c r="K5" s="16">
        <v>53</v>
      </c>
      <c r="L5" s="16">
        <v>53</v>
      </c>
      <c r="M5" s="16">
        <v>114</v>
      </c>
      <c r="N5" s="16">
        <v>51</v>
      </c>
      <c r="O5" s="16">
        <v>99</v>
      </c>
      <c r="P5" s="16">
        <v>53</v>
      </c>
      <c r="Q5" s="16">
        <v>42</v>
      </c>
      <c r="R5" s="16">
        <v>46</v>
      </c>
      <c r="S5" s="16"/>
      <c r="T5" s="16"/>
      <c r="U5" s="17">
        <v>0</v>
      </c>
      <c r="V5" s="17"/>
      <c r="W5" s="17"/>
      <c r="X5" s="17"/>
      <c r="Y5" s="17"/>
      <c r="Z5" s="17"/>
      <c r="AA5" s="17"/>
      <c r="AB5" s="17"/>
      <c r="AC5" s="17"/>
      <c r="AD5" s="17"/>
      <c r="AH5" s="10">
        <f>7+22+29</f>
        <v>58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49.4</v>
      </c>
      <c r="BK5">
        <f t="shared" ref="BK5:BZ16" si="0">AVERAGE(C5:L5)</f>
        <v>50</v>
      </c>
      <c r="BL5">
        <f>AVERAGE(D5:M5)</f>
        <v>59.142857142857146</v>
      </c>
      <c r="BM5">
        <f t="shared" si="0"/>
        <v>58.125</v>
      </c>
      <c r="BN5">
        <f t="shared" si="0"/>
        <v>62.666666666666664</v>
      </c>
      <c r="BO5">
        <f t="shared" si="0"/>
        <v>61.7</v>
      </c>
      <c r="BP5">
        <f t="shared" si="0"/>
        <v>64.900000000000006</v>
      </c>
      <c r="BQ5">
        <f t="shared" si="0"/>
        <v>66.900000000000006</v>
      </c>
      <c r="BR5">
        <f t="shared" si="0"/>
        <v>64.666666666666671</v>
      </c>
      <c r="BS5">
        <f t="shared" si="0"/>
        <v>63.875</v>
      </c>
      <c r="BT5">
        <f t="shared" si="0"/>
        <v>57.25</v>
      </c>
      <c r="BU5">
        <f t="shared" si="0"/>
        <v>57.857142857142854</v>
      </c>
      <c r="BV5">
        <f t="shared" si="0"/>
        <v>48.5</v>
      </c>
      <c r="BW5">
        <f t="shared" si="0"/>
        <v>48</v>
      </c>
      <c r="BX5">
        <f t="shared" si="0"/>
        <v>35.25</v>
      </c>
      <c r="BY5">
        <f t="shared" si="0"/>
        <v>29.333333333333332</v>
      </c>
      <c r="BZ5">
        <f t="shared" si="0"/>
        <v>23</v>
      </c>
      <c r="CA5">
        <f t="shared" ref="CA5:CP16" si="1">AVERAGE(S5:AB5)</f>
        <v>0</v>
      </c>
      <c r="CB5">
        <f t="shared" si="1"/>
        <v>0</v>
      </c>
      <c r="CC5">
        <f t="shared" si="1"/>
        <v>0</v>
      </c>
      <c r="CD5" t="e">
        <f t="shared" si="1"/>
        <v>#DIV/0!</v>
      </c>
      <c r="CE5" t="e">
        <f t="shared" si="1"/>
        <v>#DIV/0!</v>
      </c>
      <c r="CF5" t="e">
        <f t="shared" si="1"/>
        <v>#DIV/0!</v>
      </c>
      <c r="CG5">
        <f t="shared" si="1"/>
        <v>58</v>
      </c>
      <c r="CH5">
        <f t="shared" si="1"/>
        <v>58</v>
      </c>
      <c r="CI5">
        <f t="shared" si="1"/>
        <v>58</v>
      </c>
      <c r="CJ5">
        <f t="shared" si="1"/>
        <v>58</v>
      </c>
      <c r="CK5">
        <f t="shared" si="1"/>
        <v>58</v>
      </c>
      <c r="CL5">
        <f t="shared" si="1"/>
        <v>58</v>
      </c>
      <c r="CM5">
        <f t="shared" si="1"/>
        <v>58</v>
      </c>
      <c r="CN5">
        <f t="shared" si="1"/>
        <v>58</v>
      </c>
      <c r="CO5">
        <f t="shared" si="1"/>
        <v>58</v>
      </c>
      <c r="CP5">
        <f t="shared" si="1"/>
        <v>58</v>
      </c>
      <c r="CQ5" t="e">
        <f t="shared" ref="CQ5:DD16" si="2">AVERAGE(AI5:AR5)</f>
        <v>#DIV/0!</v>
      </c>
      <c r="CR5" t="e">
        <f t="shared" si="2"/>
        <v>#DIV/0!</v>
      </c>
      <c r="CS5" t="e">
        <f t="shared" si="2"/>
        <v>#DIV/0!</v>
      </c>
      <c r="CT5" t="e">
        <f t="shared" si="2"/>
        <v>#DIV/0!</v>
      </c>
      <c r="CU5" t="e">
        <f t="shared" si="2"/>
        <v>#DIV/0!</v>
      </c>
      <c r="CV5" t="e">
        <f t="shared" si="2"/>
        <v>#DIV/0!</v>
      </c>
      <c r="CW5" t="e">
        <f t="shared" si="2"/>
        <v>#DIV/0!</v>
      </c>
      <c r="CX5" t="e">
        <f t="shared" si="2"/>
        <v>#DIV/0!</v>
      </c>
      <c r="CY5" t="e">
        <f t="shared" si="2"/>
        <v>#DIV/0!</v>
      </c>
      <c r="CZ5" t="e">
        <f t="shared" si="2"/>
        <v>#DIV/0!</v>
      </c>
      <c r="DA5" t="e">
        <f t="shared" si="2"/>
        <v>#N/A</v>
      </c>
      <c r="DB5" t="e">
        <f t="shared" si="2"/>
        <v>#N/A</v>
      </c>
      <c r="DC5" t="e">
        <f t="shared" si="2"/>
        <v>#N/A</v>
      </c>
      <c r="DD5" t="e">
        <f t="shared" si="2"/>
        <v>#N/A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/>
      <c r="G6" s="14">
        <v>10</v>
      </c>
      <c r="H6" s="14">
        <v>45</v>
      </c>
      <c r="I6" s="14">
        <v>89</v>
      </c>
      <c r="J6" s="14">
        <v>62</v>
      </c>
      <c r="K6" s="14">
        <v>60</v>
      </c>
      <c r="L6" s="14">
        <v>23</v>
      </c>
      <c r="M6" s="14">
        <v>100</v>
      </c>
      <c r="N6" s="14">
        <v>50</v>
      </c>
      <c r="O6" s="14">
        <v>85</v>
      </c>
      <c r="P6" s="14">
        <v>60</v>
      </c>
      <c r="Q6" s="14">
        <v>71</v>
      </c>
      <c r="R6" s="14">
        <v>45</v>
      </c>
      <c r="S6" s="14"/>
      <c r="T6" s="14"/>
      <c r="U6" s="15">
        <v>0</v>
      </c>
      <c r="V6" s="15"/>
      <c r="W6" s="15"/>
      <c r="X6" s="15"/>
      <c r="Y6" s="15"/>
      <c r="Z6" s="15"/>
      <c r="AA6" s="15"/>
      <c r="AB6" s="15"/>
      <c r="AC6" s="15"/>
      <c r="AD6" s="15"/>
      <c r="AE6" s="124"/>
      <c r="AF6" s="124"/>
      <c r="AG6" s="124"/>
      <c r="AH6" s="124">
        <f>22+16</f>
        <v>38</v>
      </c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3">AVERAGE(B6:K6)</f>
        <v>53.2</v>
      </c>
      <c r="BK6">
        <f t="shared" si="0"/>
        <v>48.166666666666664</v>
      </c>
      <c r="BL6">
        <f t="shared" si="0"/>
        <v>55.571428571428569</v>
      </c>
      <c r="BM6">
        <f t="shared" si="0"/>
        <v>54.875</v>
      </c>
      <c r="BN6">
        <f t="shared" si="0"/>
        <v>58.222222222222221</v>
      </c>
      <c r="BO6">
        <f t="shared" si="0"/>
        <v>58.4</v>
      </c>
      <c r="BP6">
        <f t="shared" si="0"/>
        <v>64.5</v>
      </c>
      <c r="BQ6">
        <f t="shared" si="0"/>
        <v>64.5</v>
      </c>
      <c r="BR6">
        <f t="shared" si="0"/>
        <v>61.777777777777779</v>
      </c>
      <c r="BS6">
        <f t="shared" si="0"/>
        <v>61.75</v>
      </c>
      <c r="BT6">
        <f t="shared" si="0"/>
        <v>54.25</v>
      </c>
      <c r="BU6">
        <f t="shared" si="0"/>
        <v>58.714285714285715</v>
      </c>
      <c r="BV6">
        <f t="shared" si="0"/>
        <v>51.833333333333336</v>
      </c>
      <c r="BW6">
        <f t="shared" si="0"/>
        <v>52.2</v>
      </c>
      <c r="BX6">
        <f t="shared" si="0"/>
        <v>44</v>
      </c>
      <c r="BY6">
        <f t="shared" si="0"/>
        <v>38.666666666666664</v>
      </c>
      <c r="BZ6">
        <f t="shared" si="0"/>
        <v>22.5</v>
      </c>
      <c r="CA6">
        <f t="shared" si="1"/>
        <v>0</v>
      </c>
      <c r="CB6">
        <f t="shared" si="1"/>
        <v>0</v>
      </c>
      <c r="CC6">
        <f t="shared" si="1"/>
        <v>0</v>
      </c>
      <c r="CD6" t="e">
        <f t="shared" si="1"/>
        <v>#DIV/0!</v>
      </c>
      <c r="CE6" t="e">
        <f t="shared" si="1"/>
        <v>#DIV/0!</v>
      </c>
      <c r="CF6" t="e">
        <f t="shared" si="1"/>
        <v>#DIV/0!</v>
      </c>
      <c r="CG6">
        <f t="shared" si="1"/>
        <v>38</v>
      </c>
      <c r="CH6">
        <f t="shared" si="1"/>
        <v>38</v>
      </c>
      <c r="CI6">
        <f t="shared" si="1"/>
        <v>38</v>
      </c>
      <c r="CJ6">
        <f t="shared" si="1"/>
        <v>38</v>
      </c>
      <c r="CK6">
        <f t="shared" si="1"/>
        <v>38</v>
      </c>
      <c r="CL6">
        <f t="shared" si="1"/>
        <v>38</v>
      </c>
      <c r="CM6">
        <f t="shared" si="1"/>
        <v>38</v>
      </c>
      <c r="CN6">
        <f t="shared" si="1"/>
        <v>38</v>
      </c>
      <c r="CO6">
        <f t="shared" si="1"/>
        <v>38</v>
      </c>
      <c r="CP6">
        <f t="shared" si="1"/>
        <v>38</v>
      </c>
      <c r="CQ6" t="e">
        <f t="shared" si="2"/>
        <v>#DIV/0!</v>
      </c>
      <c r="CR6" t="e">
        <f t="shared" si="2"/>
        <v>#DIV/0!</v>
      </c>
      <c r="CS6" t="e">
        <f t="shared" si="2"/>
        <v>#DIV/0!</v>
      </c>
      <c r="CT6" t="e">
        <f t="shared" si="2"/>
        <v>#DIV/0!</v>
      </c>
      <c r="CU6" t="e">
        <f t="shared" si="2"/>
        <v>#DIV/0!</v>
      </c>
      <c r="CV6" t="e">
        <f t="shared" si="2"/>
        <v>#DIV/0!</v>
      </c>
      <c r="CW6" t="e">
        <f t="shared" si="2"/>
        <v>#DIV/0!</v>
      </c>
      <c r="CX6" t="e">
        <f t="shared" si="2"/>
        <v>#DIV/0!</v>
      </c>
      <c r="CY6" t="e">
        <f t="shared" si="2"/>
        <v>#DIV/0!</v>
      </c>
      <c r="CZ6" t="e">
        <f t="shared" si="2"/>
        <v>#N/A</v>
      </c>
      <c r="DA6" t="e">
        <f t="shared" si="2"/>
        <v>#N/A</v>
      </c>
      <c r="DB6" t="e">
        <f t="shared" si="2"/>
        <v>#N/A</v>
      </c>
      <c r="DC6" t="e">
        <f t="shared" si="2"/>
        <v>#N/A</v>
      </c>
      <c r="DD6" t="e">
        <f t="shared" si="2"/>
        <v>#N/A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/>
      <c r="G7" s="16">
        <v>10</v>
      </c>
      <c r="H7" s="16">
        <v>67</v>
      </c>
      <c r="I7" s="16">
        <v>93</v>
      </c>
      <c r="J7" s="16">
        <v>73</v>
      </c>
      <c r="K7" s="16">
        <v>107</v>
      </c>
      <c r="L7" s="16">
        <v>52</v>
      </c>
      <c r="M7" s="16">
        <v>108</v>
      </c>
      <c r="N7" s="16">
        <v>46</v>
      </c>
      <c r="O7" s="16">
        <v>43</v>
      </c>
      <c r="P7" s="16">
        <v>65</v>
      </c>
      <c r="Q7" s="16">
        <v>73</v>
      </c>
      <c r="R7" s="16">
        <v>59</v>
      </c>
      <c r="S7" s="16"/>
      <c r="T7" s="16"/>
      <c r="U7" s="17">
        <v>0</v>
      </c>
      <c r="V7" s="17"/>
      <c r="W7" s="17"/>
      <c r="X7" s="17"/>
      <c r="Y7" s="17"/>
      <c r="Z7" s="17"/>
      <c r="AA7" s="17"/>
      <c r="AB7" s="17"/>
      <c r="AC7" s="17"/>
      <c r="AD7" s="17"/>
      <c r="AH7" s="10">
        <f>2+41</f>
        <v>43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3"/>
        <v>70</v>
      </c>
      <c r="BK7">
        <f t="shared" si="0"/>
        <v>67</v>
      </c>
      <c r="BL7">
        <f t="shared" si="0"/>
        <v>72.857142857142861</v>
      </c>
      <c r="BM7">
        <f t="shared" si="0"/>
        <v>69.5</v>
      </c>
      <c r="BN7">
        <f t="shared" si="0"/>
        <v>66.555555555555557</v>
      </c>
      <c r="BO7">
        <f t="shared" si="0"/>
        <v>66.400000000000006</v>
      </c>
      <c r="BP7">
        <f t="shared" si="0"/>
        <v>72.7</v>
      </c>
      <c r="BQ7">
        <f t="shared" si="0"/>
        <v>71.900000000000006</v>
      </c>
      <c r="BR7">
        <f t="shared" si="0"/>
        <v>69.555555555555557</v>
      </c>
      <c r="BS7">
        <f t="shared" si="0"/>
        <v>69.125</v>
      </c>
      <c r="BT7">
        <f t="shared" si="0"/>
        <v>55.75</v>
      </c>
      <c r="BU7">
        <f t="shared" si="0"/>
        <v>56.285714285714285</v>
      </c>
      <c r="BV7">
        <f t="shared" si="0"/>
        <v>47.666666666666664</v>
      </c>
      <c r="BW7">
        <f t="shared" si="0"/>
        <v>48</v>
      </c>
      <c r="BX7">
        <f>AVERAGE(P7:Y7)</f>
        <v>49.25</v>
      </c>
      <c r="BY7">
        <f t="shared" si="0"/>
        <v>44</v>
      </c>
      <c r="BZ7">
        <f t="shared" si="0"/>
        <v>29.5</v>
      </c>
      <c r="CA7">
        <f t="shared" si="1"/>
        <v>0</v>
      </c>
      <c r="CB7">
        <f t="shared" si="1"/>
        <v>0</v>
      </c>
      <c r="CC7">
        <f t="shared" si="1"/>
        <v>0</v>
      </c>
      <c r="CD7" t="e">
        <f t="shared" si="1"/>
        <v>#DIV/0!</v>
      </c>
      <c r="CE7" t="e">
        <f>AVERAGE(W7:AF7)</f>
        <v>#DIV/0!</v>
      </c>
      <c r="CF7" t="e">
        <f t="shared" si="1"/>
        <v>#DIV/0!</v>
      </c>
      <c r="CG7">
        <f t="shared" si="1"/>
        <v>43</v>
      </c>
      <c r="CH7">
        <f t="shared" si="1"/>
        <v>43</v>
      </c>
      <c r="CI7">
        <f t="shared" si="1"/>
        <v>43</v>
      </c>
      <c r="CJ7">
        <f t="shared" si="1"/>
        <v>43</v>
      </c>
      <c r="CK7">
        <f t="shared" si="1"/>
        <v>43</v>
      </c>
      <c r="CL7">
        <f t="shared" si="1"/>
        <v>43</v>
      </c>
      <c r="CM7">
        <f t="shared" si="1"/>
        <v>43</v>
      </c>
      <c r="CN7">
        <f t="shared" si="1"/>
        <v>43</v>
      </c>
      <c r="CO7">
        <f t="shared" si="1"/>
        <v>43</v>
      </c>
      <c r="CP7">
        <f t="shared" si="1"/>
        <v>43</v>
      </c>
      <c r="CQ7" t="e">
        <f t="shared" si="2"/>
        <v>#DIV/0!</v>
      </c>
      <c r="CR7" t="e">
        <f t="shared" si="2"/>
        <v>#DIV/0!</v>
      </c>
      <c r="CS7" t="e">
        <f t="shared" si="2"/>
        <v>#DIV/0!</v>
      </c>
      <c r="CT7" t="e">
        <f t="shared" si="2"/>
        <v>#DIV/0!</v>
      </c>
      <c r="CU7" t="e">
        <f t="shared" si="2"/>
        <v>#DIV/0!</v>
      </c>
      <c r="CV7" t="e">
        <f t="shared" si="2"/>
        <v>#DIV/0!</v>
      </c>
      <c r="CW7" t="e">
        <f t="shared" si="2"/>
        <v>#DIV/0!</v>
      </c>
      <c r="CX7" t="e">
        <f t="shared" si="2"/>
        <v>#DIV/0!</v>
      </c>
      <c r="CY7" t="e">
        <f t="shared" si="2"/>
        <v>#DIV/0!</v>
      </c>
      <c r="CZ7" t="e">
        <f t="shared" si="2"/>
        <v>#N/A</v>
      </c>
      <c r="DA7" t="e">
        <f t="shared" si="2"/>
        <v>#N/A</v>
      </c>
      <c r="DB7" t="e">
        <f t="shared" si="2"/>
        <v>#N/A</v>
      </c>
      <c r="DC7" t="e">
        <f t="shared" si="2"/>
        <v>#N/A</v>
      </c>
      <c r="DD7" t="e">
        <f t="shared" si="2"/>
        <v>#N/A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/>
      <c r="G8" s="14">
        <v>50</v>
      </c>
      <c r="H8" s="14">
        <v>153</v>
      </c>
      <c r="I8" s="14">
        <v>168</v>
      </c>
      <c r="J8" s="14">
        <v>157</v>
      </c>
      <c r="K8" s="14">
        <v>70</v>
      </c>
      <c r="L8" s="14">
        <v>139</v>
      </c>
      <c r="M8" s="14">
        <v>128</v>
      </c>
      <c r="N8" s="14">
        <v>130</v>
      </c>
      <c r="O8" s="14">
        <v>144</v>
      </c>
      <c r="P8" s="14">
        <v>72</v>
      </c>
      <c r="Q8" s="14">
        <v>160</v>
      </c>
      <c r="R8" s="14">
        <v>94</v>
      </c>
      <c r="S8" s="14"/>
      <c r="T8" s="14"/>
      <c r="U8" s="15">
        <v>37</v>
      </c>
      <c r="V8" s="15"/>
      <c r="W8" s="15"/>
      <c r="X8" s="15"/>
      <c r="Y8" s="15"/>
      <c r="Z8" s="15"/>
      <c r="AA8" s="15"/>
      <c r="AB8" s="15"/>
      <c r="AC8" s="15"/>
      <c r="AD8" s="15"/>
      <c r="AE8" s="124"/>
      <c r="AF8" s="124"/>
      <c r="AG8" s="124"/>
      <c r="AH8" s="124">
        <f>63+51+1</f>
        <v>115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3"/>
        <v>119.6</v>
      </c>
      <c r="BK8">
        <f t="shared" si="0"/>
        <v>122.83333333333333</v>
      </c>
      <c r="BL8">
        <f t="shared" si="0"/>
        <v>123.57142857142857</v>
      </c>
      <c r="BM8">
        <f t="shared" si="0"/>
        <v>124.375</v>
      </c>
      <c r="BN8">
        <f t="shared" si="0"/>
        <v>126.55555555555556</v>
      </c>
      <c r="BO8">
        <f t="shared" si="0"/>
        <v>121.1</v>
      </c>
      <c r="BP8">
        <f t="shared" si="0"/>
        <v>132.1</v>
      </c>
      <c r="BQ8">
        <f t="shared" si="0"/>
        <v>126.2</v>
      </c>
      <c r="BR8">
        <f t="shared" si="0"/>
        <v>121.55555555555556</v>
      </c>
      <c r="BS8">
        <f t="shared" si="0"/>
        <v>117.125</v>
      </c>
      <c r="BT8">
        <f>AVERAGE(L8:U8)</f>
        <v>113</v>
      </c>
      <c r="BU8">
        <f t="shared" si="0"/>
        <v>109.28571428571429</v>
      </c>
      <c r="BV8">
        <f t="shared" si="0"/>
        <v>106.16666666666667</v>
      </c>
      <c r="BW8">
        <f t="shared" si="0"/>
        <v>101.4</v>
      </c>
      <c r="BX8">
        <f t="shared" si="0"/>
        <v>90.75</v>
      </c>
      <c r="BY8">
        <f t="shared" si="0"/>
        <v>97</v>
      </c>
      <c r="BZ8">
        <f t="shared" si="0"/>
        <v>65.5</v>
      </c>
      <c r="CA8">
        <f t="shared" si="1"/>
        <v>37</v>
      </c>
      <c r="CB8">
        <f t="shared" si="1"/>
        <v>37</v>
      </c>
      <c r="CC8">
        <f t="shared" si="1"/>
        <v>37</v>
      </c>
      <c r="CD8" t="e">
        <f t="shared" si="1"/>
        <v>#DIV/0!</v>
      </c>
      <c r="CE8" t="e">
        <f t="shared" si="1"/>
        <v>#DIV/0!</v>
      </c>
      <c r="CF8" t="e">
        <f t="shared" si="1"/>
        <v>#DIV/0!</v>
      </c>
      <c r="CG8">
        <f t="shared" si="1"/>
        <v>115</v>
      </c>
      <c r="CH8">
        <f t="shared" si="1"/>
        <v>115</v>
      </c>
      <c r="CI8">
        <f t="shared" si="1"/>
        <v>115</v>
      </c>
      <c r="CJ8">
        <f t="shared" si="1"/>
        <v>115</v>
      </c>
      <c r="CK8">
        <f t="shared" si="1"/>
        <v>115</v>
      </c>
      <c r="CL8">
        <f t="shared" si="1"/>
        <v>115</v>
      </c>
      <c r="CM8">
        <f t="shared" si="1"/>
        <v>115</v>
      </c>
      <c r="CN8">
        <f t="shared" si="1"/>
        <v>115</v>
      </c>
      <c r="CO8">
        <f t="shared" si="1"/>
        <v>115</v>
      </c>
      <c r="CP8">
        <f t="shared" si="1"/>
        <v>115</v>
      </c>
      <c r="CQ8" t="e">
        <f t="shared" si="2"/>
        <v>#DIV/0!</v>
      </c>
      <c r="CR8" t="e">
        <f t="shared" si="2"/>
        <v>#DIV/0!</v>
      </c>
      <c r="CS8" t="e">
        <f t="shared" si="2"/>
        <v>#DIV/0!</v>
      </c>
      <c r="CT8" t="e">
        <f t="shared" si="2"/>
        <v>#DIV/0!</v>
      </c>
      <c r="CU8" t="e">
        <f t="shared" si="2"/>
        <v>#DIV/0!</v>
      </c>
      <c r="CV8" t="e">
        <f t="shared" si="2"/>
        <v>#DIV/0!</v>
      </c>
      <c r="CW8" t="e">
        <f t="shared" si="2"/>
        <v>#DIV/0!</v>
      </c>
      <c r="CX8" t="e">
        <f t="shared" si="2"/>
        <v>#DIV/0!</v>
      </c>
      <c r="CY8" t="e">
        <f t="shared" si="2"/>
        <v>#DIV/0!</v>
      </c>
      <c r="CZ8" t="e">
        <f t="shared" si="2"/>
        <v>#N/A</v>
      </c>
      <c r="DA8" t="e">
        <f t="shared" si="2"/>
        <v>#N/A</v>
      </c>
      <c r="DB8" t="e">
        <f t="shared" si="2"/>
        <v>#N/A</v>
      </c>
      <c r="DC8" t="e">
        <f t="shared" si="2"/>
        <v>#N/A</v>
      </c>
      <c r="DD8" t="e">
        <f t="shared" si="2"/>
        <v>#N/A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/>
      <c r="F9" s="16"/>
      <c r="G9" s="16">
        <v>50</v>
      </c>
      <c r="H9" s="16">
        <v>240</v>
      </c>
      <c r="I9" s="16">
        <v>255</v>
      </c>
      <c r="J9" s="16">
        <v>187</v>
      </c>
      <c r="K9" s="16">
        <v>101</v>
      </c>
      <c r="L9" s="16">
        <v>206</v>
      </c>
      <c r="M9" s="16">
        <v>175</v>
      </c>
      <c r="N9" s="16">
        <v>187</v>
      </c>
      <c r="O9" s="16">
        <v>194</v>
      </c>
      <c r="P9" s="16">
        <v>219</v>
      </c>
      <c r="Q9" s="16">
        <v>122</v>
      </c>
      <c r="R9" s="16">
        <v>193</v>
      </c>
      <c r="S9" s="16"/>
      <c r="T9" s="16"/>
      <c r="U9" s="17">
        <v>218</v>
      </c>
      <c r="V9" s="17"/>
      <c r="W9" s="17"/>
      <c r="X9" s="17"/>
      <c r="Y9" s="17"/>
      <c r="Z9" s="17"/>
      <c r="AA9" s="17"/>
      <c r="AB9" s="17"/>
      <c r="AC9" s="17"/>
      <c r="AD9" s="17"/>
      <c r="AH9" s="10">
        <f>51+52+72+44+5</f>
        <v>224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3"/>
        <v>166.6</v>
      </c>
      <c r="BK9">
        <f t="shared" si="0"/>
        <v>173.16666666666666</v>
      </c>
      <c r="BL9">
        <f t="shared" si="0"/>
        <v>173.42857142857142</v>
      </c>
      <c r="BM9">
        <f t="shared" si="0"/>
        <v>175.125</v>
      </c>
      <c r="BN9">
        <f t="shared" si="0"/>
        <v>177.22222222222223</v>
      </c>
      <c r="BO9">
        <f t="shared" si="0"/>
        <v>181.4</v>
      </c>
      <c r="BP9">
        <f t="shared" si="0"/>
        <v>188.6</v>
      </c>
      <c r="BQ9">
        <f t="shared" si="0"/>
        <v>183.9</v>
      </c>
      <c r="BR9">
        <f t="shared" si="0"/>
        <v>176</v>
      </c>
      <c r="BS9">
        <f t="shared" si="0"/>
        <v>174.625</v>
      </c>
      <c r="BT9">
        <f t="shared" si="0"/>
        <v>189.25</v>
      </c>
      <c r="BU9">
        <f t="shared" si="0"/>
        <v>186.85714285714286</v>
      </c>
      <c r="BV9">
        <f t="shared" si="0"/>
        <v>188.83333333333334</v>
      </c>
      <c r="BW9">
        <f t="shared" si="0"/>
        <v>189.2</v>
      </c>
      <c r="BX9">
        <f t="shared" si="0"/>
        <v>188</v>
      </c>
      <c r="BY9">
        <f t="shared" si="0"/>
        <v>177.66666666666666</v>
      </c>
      <c r="BZ9">
        <f t="shared" si="0"/>
        <v>205.5</v>
      </c>
      <c r="CA9">
        <f t="shared" si="1"/>
        <v>218</v>
      </c>
      <c r="CB9">
        <f t="shared" si="1"/>
        <v>218</v>
      </c>
      <c r="CC9">
        <f t="shared" si="1"/>
        <v>218</v>
      </c>
      <c r="CD9" t="e">
        <f t="shared" si="1"/>
        <v>#DIV/0!</v>
      </c>
      <c r="CE9" t="e">
        <f t="shared" si="1"/>
        <v>#DIV/0!</v>
      </c>
      <c r="CF9" t="e">
        <f t="shared" si="1"/>
        <v>#DIV/0!</v>
      </c>
      <c r="CG9">
        <f t="shared" si="1"/>
        <v>224</v>
      </c>
      <c r="CH9">
        <f t="shared" si="1"/>
        <v>224</v>
      </c>
      <c r="CI9">
        <f t="shared" si="1"/>
        <v>224</v>
      </c>
      <c r="CJ9">
        <f t="shared" si="1"/>
        <v>224</v>
      </c>
      <c r="CK9">
        <f t="shared" si="1"/>
        <v>224</v>
      </c>
      <c r="CL9">
        <f t="shared" si="1"/>
        <v>224</v>
      </c>
      <c r="CM9">
        <f t="shared" si="1"/>
        <v>224</v>
      </c>
      <c r="CN9">
        <f t="shared" si="1"/>
        <v>224</v>
      </c>
      <c r="CO9">
        <f t="shared" si="1"/>
        <v>224</v>
      </c>
      <c r="CP9">
        <f t="shared" si="1"/>
        <v>224</v>
      </c>
      <c r="CQ9" t="e">
        <f t="shared" si="2"/>
        <v>#DIV/0!</v>
      </c>
      <c r="CR9" t="e">
        <f t="shared" si="2"/>
        <v>#DIV/0!</v>
      </c>
      <c r="CS9" t="e">
        <f t="shared" si="2"/>
        <v>#DIV/0!</v>
      </c>
      <c r="CT9" t="e">
        <f t="shared" si="2"/>
        <v>#DIV/0!</v>
      </c>
      <c r="CU9" t="e">
        <f t="shared" si="2"/>
        <v>#DIV/0!</v>
      </c>
      <c r="CV9" t="e">
        <f t="shared" si="2"/>
        <v>#DIV/0!</v>
      </c>
      <c r="CW9" t="e">
        <f t="shared" si="2"/>
        <v>#DIV/0!</v>
      </c>
      <c r="CX9" t="e">
        <f t="shared" si="2"/>
        <v>#DIV/0!</v>
      </c>
      <c r="CY9" t="e">
        <f t="shared" si="2"/>
        <v>#DIV/0!</v>
      </c>
      <c r="CZ9" t="e">
        <f t="shared" si="2"/>
        <v>#N/A</v>
      </c>
      <c r="DA9" t="e">
        <f t="shared" si="2"/>
        <v>#N/A</v>
      </c>
      <c r="DB9" t="e">
        <f t="shared" si="2"/>
        <v>#N/A</v>
      </c>
      <c r="DC9" t="e">
        <f t="shared" si="2"/>
        <v>#N/A</v>
      </c>
      <c r="DD9" t="e">
        <f t="shared" si="2"/>
        <v>#N/A</v>
      </c>
    </row>
    <row r="10" spans="1:108" ht="20" customHeight="1" x14ac:dyDescent="0.2">
      <c r="A10" s="7" t="s">
        <v>5</v>
      </c>
      <c r="B10" s="14"/>
      <c r="C10" s="14"/>
      <c r="D10" s="14"/>
      <c r="E10" s="14"/>
      <c r="F10" s="14"/>
      <c r="G10" s="14">
        <v>132</v>
      </c>
      <c r="H10" s="14">
        <v>197</v>
      </c>
      <c r="I10" s="14">
        <v>177</v>
      </c>
      <c r="J10" s="14">
        <v>72</v>
      </c>
      <c r="K10" s="14">
        <v>80</v>
      </c>
      <c r="L10" s="14">
        <v>109</v>
      </c>
      <c r="M10" s="14">
        <v>228</v>
      </c>
      <c r="N10" s="14">
        <v>112</v>
      </c>
      <c r="O10" s="14">
        <v>161</v>
      </c>
      <c r="P10" s="14">
        <v>112</v>
      </c>
      <c r="Q10" s="14">
        <v>149</v>
      </c>
      <c r="R10" s="14">
        <v>170</v>
      </c>
      <c r="S10" s="14"/>
      <c r="T10" s="14"/>
      <c r="U10" s="15">
        <v>25</v>
      </c>
      <c r="V10" s="15"/>
      <c r="W10" s="15"/>
      <c r="X10" s="15"/>
      <c r="Y10" s="15"/>
      <c r="Z10" s="15"/>
      <c r="AA10" s="15"/>
      <c r="AB10" s="15"/>
      <c r="AC10" s="15"/>
      <c r="AD10" s="15"/>
      <c r="AE10" s="124"/>
      <c r="AF10" s="124"/>
      <c r="AG10" s="124"/>
      <c r="AH10" s="124">
        <f>34</f>
        <v>34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3"/>
        <v>131.6</v>
      </c>
      <c r="BK10">
        <f t="shared" si="0"/>
        <v>127.83333333333333</v>
      </c>
      <c r="BL10">
        <f t="shared" si="0"/>
        <v>142.14285714285714</v>
      </c>
      <c r="BM10">
        <f t="shared" si="0"/>
        <v>138.375</v>
      </c>
      <c r="BN10">
        <f t="shared" si="0"/>
        <v>140.88888888888889</v>
      </c>
      <c r="BO10">
        <f t="shared" si="0"/>
        <v>138</v>
      </c>
      <c r="BP10">
        <f t="shared" si="0"/>
        <v>139.69999999999999</v>
      </c>
      <c r="BQ10">
        <f t="shared" si="0"/>
        <v>137</v>
      </c>
      <c r="BR10">
        <f t="shared" si="0"/>
        <v>132.55555555555554</v>
      </c>
      <c r="BS10">
        <f t="shared" si="0"/>
        <v>140.125</v>
      </c>
      <c r="BT10">
        <f t="shared" si="0"/>
        <v>133.25</v>
      </c>
      <c r="BU10">
        <f t="shared" si="0"/>
        <v>136.71428571428572</v>
      </c>
      <c r="BV10">
        <f t="shared" si="0"/>
        <v>121.5</v>
      </c>
      <c r="BW10">
        <f t="shared" si="0"/>
        <v>123.4</v>
      </c>
      <c r="BX10">
        <f t="shared" si="0"/>
        <v>114</v>
      </c>
      <c r="BY10">
        <f t="shared" si="0"/>
        <v>114.66666666666667</v>
      </c>
      <c r="BZ10">
        <f t="shared" si="0"/>
        <v>97.5</v>
      </c>
      <c r="CA10">
        <f t="shared" si="1"/>
        <v>25</v>
      </c>
      <c r="CB10">
        <f t="shared" si="1"/>
        <v>25</v>
      </c>
      <c r="CC10">
        <f t="shared" si="1"/>
        <v>25</v>
      </c>
      <c r="CD10" t="e">
        <f t="shared" si="1"/>
        <v>#DIV/0!</v>
      </c>
      <c r="CE10" t="e">
        <f t="shared" si="1"/>
        <v>#DIV/0!</v>
      </c>
      <c r="CF10" t="e">
        <f t="shared" si="1"/>
        <v>#DIV/0!</v>
      </c>
      <c r="CG10">
        <f t="shared" si="1"/>
        <v>34</v>
      </c>
      <c r="CH10">
        <f t="shared" si="1"/>
        <v>34</v>
      </c>
      <c r="CI10">
        <f t="shared" si="1"/>
        <v>34</v>
      </c>
      <c r="CJ10">
        <f t="shared" si="1"/>
        <v>34</v>
      </c>
      <c r="CK10">
        <f t="shared" si="1"/>
        <v>34</v>
      </c>
      <c r="CL10">
        <f t="shared" si="1"/>
        <v>34</v>
      </c>
      <c r="CM10">
        <f t="shared" si="1"/>
        <v>34</v>
      </c>
      <c r="CN10">
        <f t="shared" si="1"/>
        <v>34</v>
      </c>
      <c r="CO10">
        <f t="shared" si="1"/>
        <v>34</v>
      </c>
      <c r="CP10">
        <f t="shared" si="1"/>
        <v>34</v>
      </c>
      <c r="CQ10" t="e">
        <f t="shared" si="2"/>
        <v>#DIV/0!</v>
      </c>
      <c r="CR10" t="e">
        <f t="shared" si="2"/>
        <v>#DIV/0!</v>
      </c>
      <c r="CS10" t="e">
        <f t="shared" si="2"/>
        <v>#DIV/0!</v>
      </c>
      <c r="CT10" t="e">
        <f t="shared" si="2"/>
        <v>#DIV/0!</v>
      </c>
      <c r="CU10" t="e">
        <f t="shared" si="2"/>
        <v>#DIV/0!</v>
      </c>
      <c r="CV10" t="e">
        <f t="shared" si="2"/>
        <v>#DIV/0!</v>
      </c>
      <c r="CW10" t="e">
        <f t="shared" si="2"/>
        <v>#DIV/0!</v>
      </c>
      <c r="CX10" t="e">
        <f t="shared" si="2"/>
        <v>#DIV/0!</v>
      </c>
      <c r="CY10" t="e">
        <f t="shared" si="2"/>
        <v>#DIV/0!</v>
      </c>
      <c r="CZ10" t="e">
        <f t="shared" si="2"/>
        <v>#N/A</v>
      </c>
      <c r="DA10" t="e">
        <f t="shared" si="2"/>
        <v>#N/A</v>
      </c>
      <c r="DB10" t="e">
        <f t="shared" si="2"/>
        <v>#N/A</v>
      </c>
      <c r="DC10" t="e">
        <f t="shared" si="2"/>
        <v>#N/A</v>
      </c>
      <c r="DD10" t="e">
        <f t="shared" si="2"/>
        <v>#N/A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>
        <v>269</v>
      </c>
      <c r="H11" s="16">
        <v>200</v>
      </c>
      <c r="I11" s="16">
        <v>301</v>
      </c>
      <c r="J11" s="16">
        <v>119</v>
      </c>
      <c r="K11" s="16">
        <v>179</v>
      </c>
      <c r="L11" s="16">
        <v>241</v>
      </c>
      <c r="M11" s="16">
        <v>289</v>
      </c>
      <c r="N11" s="16">
        <v>314</v>
      </c>
      <c r="O11" s="16">
        <v>207</v>
      </c>
      <c r="P11" s="16">
        <v>279</v>
      </c>
      <c r="Q11" s="16">
        <v>243</v>
      </c>
      <c r="R11" s="16">
        <v>263</v>
      </c>
      <c r="S11" s="16"/>
      <c r="T11" s="16"/>
      <c r="U11" s="17">
        <v>216</v>
      </c>
      <c r="V11" s="17"/>
      <c r="W11" s="17"/>
      <c r="X11" s="17"/>
      <c r="Y11" s="17"/>
      <c r="Z11" s="17"/>
      <c r="AA11" s="17"/>
      <c r="AB11" s="17"/>
      <c r="AC11" s="17"/>
      <c r="AD11" s="17"/>
      <c r="AG11" s="10">
        <f>58+48+23+57</f>
        <v>186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3"/>
        <v>213.6</v>
      </c>
      <c r="BK11">
        <f t="shared" si="0"/>
        <v>218.16666666666666</v>
      </c>
      <c r="BL11">
        <f t="shared" si="0"/>
        <v>228.28571428571428</v>
      </c>
      <c r="BM11">
        <f t="shared" si="0"/>
        <v>239</v>
      </c>
      <c r="BN11">
        <f t="shared" si="0"/>
        <v>235.44444444444446</v>
      </c>
      <c r="BO11">
        <f t="shared" si="0"/>
        <v>239.8</v>
      </c>
      <c r="BP11">
        <f t="shared" si="0"/>
        <v>237.2</v>
      </c>
      <c r="BQ11">
        <f t="shared" si="0"/>
        <v>243.5</v>
      </c>
      <c r="BR11">
        <f t="shared" si="0"/>
        <v>237.11111111111111</v>
      </c>
      <c r="BS11">
        <f t="shared" si="0"/>
        <v>251.875</v>
      </c>
      <c r="BT11">
        <f t="shared" si="0"/>
        <v>256.5</v>
      </c>
      <c r="BU11">
        <f t="shared" si="0"/>
        <v>258.71428571428572</v>
      </c>
      <c r="BV11">
        <f t="shared" si="0"/>
        <v>253.66666666666666</v>
      </c>
      <c r="BW11">
        <f t="shared" si="0"/>
        <v>241.6</v>
      </c>
      <c r="BX11">
        <f t="shared" si="0"/>
        <v>250.25</v>
      </c>
      <c r="BY11">
        <f t="shared" si="0"/>
        <v>240.66666666666666</v>
      </c>
      <c r="BZ11">
        <f t="shared" si="0"/>
        <v>239.5</v>
      </c>
      <c r="CA11">
        <f t="shared" si="1"/>
        <v>216</v>
      </c>
      <c r="CB11">
        <f t="shared" si="1"/>
        <v>216</v>
      </c>
      <c r="CC11">
        <f t="shared" si="1"/>
        <v>216</v>
      </c>
      <c r="CD11" t="e">
        <f t="shared" si="1"/>
        <v>#DIV/0!</v>
      </c>
      <c r="CE11" t="e">
        <f t="shared" si="1"/>
        <v>#DIV/0!</v>
      </c>
      <c r="CF11">
        <f>AVERAGE(X11:AG11)</f>
        <v>186</v>
      </c>
      <c r="CG11">
        <f t="shared" si="1"/>
        <v>186</v>
      </c>
      <c r="CH11">
        <f t="shared" si="1"/>
        <v>186</v>
      </c>
      <c r="CI11">
        <f t="shared" si="1"/>
        <v>186</v>
      </c>
      <c r="CJ11">
        <f t="shared" si="1"/>
        <v>186</v>
      </c>
      <c r="CK11">
        <f t="shared" si="1"/>
        <v>186</v>
      </c>
      <c r="CL11">
        <f t="shared" si="1"/>
        <v>186</v>
      </c>
      <c r="CM11">
        <f t="shared" si="1"/>
        <v>186</v>
      </c>
      <c r="CN11">
        <f t="shared" si="1"/>
        <v>186</v>
      </c>
      <c r="CO11">
        <f>AVERAGE(AG11:AP11)</f>
        <v>186</v>
      </c>
      <c r="CP11" t="e">
        <f t="shared" si="1"/>
        <v>#DIV/0!</v>
      </c>
      <c r="CQ11" t="e">
        <f t="shared" si="2"/>
        <v>#DIV/0!</v>
      </c>
      <c r="CR11" t="e">
        <f t="shared" si="2"/>
        <v>#DIV/0!</v>
      </c>
      <c r="CS11" t="e">
        <f t="shared" si="2"/>
        <v>#DIV/0!</v>
      </c>
      <c r="CT11" t="e">
        <f t="shared" si="2"/>
        <v>#DIV/0!</v>
      </c>
      <c r="CU11" t="e">
        <f t="shared" si="2"/>
        <v>#DIV/0!</v>
      </c>
      <c r="CV11" t="e">
        <f t="shared" si="2"/>
        <v>#DIV/0!</v>
      </c>
      <c r="CW11" t="e">
        <f t="shared" si="2"/>
        <v>#DIV/0!</v>
      </c>
      <c r="CX11" t="e">
        <f t="shared" si="2"/>
        <v>#DIV/0!</v>
      </c>
      <c r="CY11" t="e">
        <f t="shared" si="2"/>
        <v>#DIV/0!</v>
      </c>
      <c r="CZ11" t="e">
        <f t="shared" si="2"/>
        <v>#N/A</v>
      </c>
      <c r="DA11" t="e">
        <f t="shared" si="2"/>
        <v>#N/A</v>
      </c>
      <c r="DB11" t="e">
        <f t="shared" si="2"/>
        <v>#N/A</v>
      </c>
      <c r="DC11" t="e">
        <f t="shared" si="2"/>
        <v>#N/A</v>
      </c>
      <c r="DD11" t="e">
        <f t="shared" si="2"/>
        <v>#N/A</v>
      </c>
    </row>
    <row r="12" spans="1:108" ht="20" customHeight="1" x14ac:dyDescent="0.2">
      <c r="A12" s="7" t="s">
        <v>7</v>
      </c>
      <c r="B12" s="14"/>
      <c r="C12" s="14"/>
      <c r="D12" s="14"/>
      <c r="E12" s="14"/>
      <c r="F12" s="14"/>
      <c r="G12" s="14">
        <v>193</v>
      </c>
      <c r="H12" s="14">
        <v>254</v>
      </c>
      <c r="I12" s="14">
        <v>268</v>
      </c>
      <c r="J12" s="14">
        <v>208</v>
      </c>
      <c r="K12" s="14">
        <v>235</v>
      </c>
      <c r="L12" s="14">
        <v>140</v>
      </c>
      <c r="M12" s="14">
        <v>186</v>
      </c>
      <c r="N12" s="14">
        <v>213</v>
      </c>
      <c r="O12" s="14">
        <v>216</v>
      </c>
      <c r="P12" s="14">
        <v>136</v>
      </c>
      <c r="Q12" s="14">
        <v>214</v>
      </c>
      <c r="R12" s="14">
        <v>226</v>
      </c>
      <c r="S12" s="14"/>
      <c r="T12" s="14"/>
      <c r="U12" s="15">
        <v>257</v>
      </c>
      <c r="V12" s="15"/>
      <c r="W12" s="15"/>
      <c r="X12" s="15"/>
      <c r="Y12" s="15"/>
      <c r="Z12" s="15"/>
      <c r="AA12" s="15"/>
      <c r="AB12" s="15"/>
      <c r="AC12" s="15"/>
      <c r="AD12" s="15"/>
      <c r="AE12" s="124"/>
      <c r="AF12" s="124"/>
      <c r="AG12" s="124">
        <f>29+47+55+69+60+39+2</f>
        <v>301</v>
      </c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3"/>
        <v>231.6</v>
      </c>
      <c r="BK12">
        <f t="shared" si="0"/>
        <v>216.33333333333334</v>
      </c>
      <c r="BL12">
        <f t="shared" si="0"/>
        <v>212</v>
      </c>
      <c r="BM12">
        <f t="shared" si="0"/>
        <v>212.125</v>
      </c>
      <c r="BN12">
        <f t="shared" si="0"/>
        <v>212.55555555555554</v>
      </c>
      <c r="BO12">
        <f t="shared" si="0"/>
        <v>204.9</v>
      </c>
      <c r="BP12">
        <f t="shared" si="0"/>
        <v>207</v>
      </c>
      <c r="BQ12">
        <f t="shared" si="0"/>
        <v>204.2</v>
      </c>
      <c r="BR12">
        <f t="shared" si="0"/>
        <v>197.11111111111111</v>
      </c>
      <c r="BS12">
        <f t="shared" si="0"/>
        <v>195.75</v>
      </c>
      <c r="BT12">
        <f t="shared" si="0"/>
        <v>198.5</v>
      </c>
      <c r="BU12">
        <f t="shared" si="0"/>
        <v>206.85714285714286</v>
      </c>
      <c r="BV12">
        <f t="shared" si="0"/>
        <v>210.33333333333334</v>
      </c>
      <c r="BW12">
        <f t="shared" si="0"/>
        <v>209.8</v>
      </c>
      <c r="BX12">
        <f t="shared" si="0"/>
        <v>208.25</v>
      </c>
      <c r="BY12">
        <f t="shared" si="0"/>
        <v>232.33333333333334</v>
      </c>
      <c r="BZ12">
        <f t="shared" si="0"/>
        <v>241.5</v>
      </c>
      <c r="CA12">
        <f t="shared" si="1"/>
        <v>257</v>
      </c>
      <c r="CB12">
        <f t="shared" si="1"/>
        <v>257</v>
      </c>
      <c r="CC12">
        <f t="shared" si="1"/>
        <v>257</v>
      </c>
      <c r="CD12" t="e">
        <f t="shared" si="1"/>
        <v>#DIV/0!</v>
      </c>
      <c r="CE12" t="e">
        <f t="shared" si="1"/>
        <v>#DIV/0!</v>
      </c>
      <c r="CF12">
        <f t="shared" si="1"/>
        <v>301</v>
      </c>
      <c r="CG12">
        <f t="shared" si="1"/>
        <v>301</v>
      </c>
      <c r="CH12">
        <f t="shared" si="1"/>
        <v>301</v>
      </c>
      <c r="CI12">
        <f t="shared" si="1"/>
        <v>301</v>
      </c>
      <c r="CJ12">
        <f t="shared" si="1"/>
        <v>301</v>
      </c>
      <c r="CK12">
        <f t="shared" si="1"/>
        <v>301</v>
      </c>
      <c r="CL12">
        <f t="shared" si="1"/>
        <v>301</v>
      </c>
      <c r="CM12">
        <f t="shared" si="1"/>
        <v>301</v>
      </c>
      <c r="CN12">
        <f t="shared" si="1"/>
        <v>301</v>
      </c>
      <c r="CO12">
        <f t="shared" si="1"/>
        <v>301</v>
      </c>
      <c r="CP12" t="e">
        <f t="shared" si="1"/>
        <v>#DIV/0!</v>
      </c>
      <c r="CQ12" t="e">
        <f t="shared" si="2"/>
        <v>#DIV/0!</v>
      </c>
      <c r="CR12" t="e">
        <f t="shared" si="2"/>
        <v>#DIV/0!</v>
      </c>
      <c r="CS12" t="e">
        <f t="shared" si="2"/>
        <v>#DIV/0!</v>
      </c>
      <c r="CT12" t="e">
        <f t="shared" si="2"/>
        <v>#DIV/0!</v>
      </c>
      <c r="CU12" t="e">
        <f t="shared" si="2"/>
        <v>#DIV/0!</v>
      </c>
      <c r="CV12" t="e">
        <f t="shared" si="2"/>
        <v>#DIV/0!</v>
      </c>
      <c r="CW12" t="e">
        <f t="shared" si="2"/>
        <v>#DIV/0!</v>
      </c>
      <c r="CX12" t="e">
        <f t="shared" si="2"/>
        <v>#DIV/0!</v>
      </c>
      <c r="CY12" t="e">
        <f t="shared" si="2"/>
        <v>#DIV/0!</v>
      </c>
      <c r="CZ12" t="e">
        <f t="shared" si="2"/>
        <v>#N/A</v>
      </c>
      <c r="DA12" t="e">
        <f t="shared" si="2"/>
        <v>#N/A</v>
      </c>
      <c r="DB12" t="e">
        <f t="shared" si="2"/>
        <v>#N/A</v>
      </c>
      <c r="DC12" t="e">
        <f t="shared" si="2"/>
        <v>#N/A</v>
      </c>
      <c r="DD12" t="e">
        <f t="shared" si="2"/>
        <v>#N/A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>
        <v>155</v>
      </c>
      <c r="H13" s="16">
        <v>137</v>
      </c>
      <c r="I13" s="16">
        <v>207</v>
      </c>
      <c r="J13" s="16">
        <v>243</v>
      </c>
      <c r="K13" s="16">
        <v>160</v>
      </c>
      <c r="L13" s="16">
        <v>186</v>
      </c>
      <c r="M13" s="16">
        <v>188</v>
      </c>
      <c r="N13" s="16">
        <v>163</v>
      </c>
      <c r="O13" s="16">
        <v>190</v>
      </c>
      <c r="P13" s="16">
        <v>153</v>
      </c>
      <c r="Q13" s="16">
        <v>206</v>
      </c>
      <c r="R13" s="16">
        <v>194</v>
      </c>
      <c r="S13" s="16"/>
      <c r="T13" s="16"/>
      <c r="U13" s="17">
        <v>213</v>
      </c>
      <c r="V13" s="17"/>
      <c r="W13" s="17"/>
      <c r="X13" s="17"/>
      <c r="Y13" s="17"/>
      <c r="Z13" s="17"/>
      <c r="AA13" s="17"/>
      <c r="AB13" s="17"/>
      <c r="AC13" s="17"/>
      <c r="AD13" s="17"/>
      <c r="AG13" s="10">
        <f>4+39+49+38+19</f>
        <v>149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3"/>
        <v>180.4</v>
      </c>
      <c r="BK13">
        <f t="shared" si="0"/>
        <v>181.33333333333334</v>
      </c>
      <c r="BL13">
        <f t="shared" si="0"/>
        <v>182.28571428571428</v>
      </c>
      <c r="BM13">
        <f t="shared" si="0"/>
        <v>179.875</v>
      </c>
      <c r="BN13">
        <f t="shared" si="0"/>
        <v>181</v>
      </c>
      <c r="BO13">
        <f t="shared" si="0"/>
        <v>178.2</v>
      </c>
      <c r="BP13">
        <f t="shared" si="0"/>
        <v>183.3</v>
      </c>
      <c r="BQ13">
        <f t="shared" si="0"/>
        <v>189</v>
      </c>
      <c r="BR13">
        <f t="shared" si="0"/>
        <v>187</v>
      </c>
      <c r="BS13">
        <f t="shared" si="0"/>
        <v>180</v>
      </c>
      <c r="BT13">
        <f t="shared" si="0"/>
        <v>186.625</v>
      </c>
      <c r="BU13">
        <f t="shared" si="0"/>
        <v>186.71428571428572</v>
      </c>
      <c r="BV13">
        <f t="shared" si="0"/>
        <v>186.5</v>
      </c>
      <c r="BW13">
        <f t="shared" si="0"/>
        <v>191.2</v>
      </c>
      <c r="BX13">
        <f t="shared" si="0"/>
        <v>191.5</v>
      </c>
      <c r="BY13">
        <f t="shared" si="0"/>
        <v>204.33333333333334</v>
      </c>
      <c r="BZ13">
        <f t="shared" si="0"/>
        <v>203.5</v>
      </c>
      <c r="CA13">
        <f t="shared" si="1"/>
        <v>213</v>
      </c>
      <c r="CB13">
        <f t="shared" si="1"/>
        <v>213</v>
      </c>
      <c r="CC13">
        <f t="shared" si="1"/>
        <v>213</v>
      </c>
      <c r="CD13" t="e">
        <f t="shared" si="1"/>
        <v>#DIV/0!</v>
      </c>
      <c r="CE13" t="e">
        <f t="shared" si="1"/>
        <v>#DIV/0!</v>
      </c>
      <c r="CF13">
        <f t="shared" si="1"/>
        <v>149</v>
      </c>
      <c r="CG13">
        <f t="shared" si="1"/>
        <v>149</v>
      </c>
      <c r="CH13">
        <f t="shared" si="1"/>
        <v>149</v>
      </c>
      <c r="CI13">
        <f t="shared" si="1"/>
        <v>149</v>
      </c>
      <c r="CJ13">
        <f t="shared" si="1"/>
        <v>149</v>
      </c>
      <c r="CK13">
        <f t="shared" si="1"/>
        <v>149</v>
      </c>
      <c r="CL13">
        <f t="shared" si="1"/>
        <v>149</v>
      </c>
      <c r="CM13">
        <f t="shared" si="1"/>
        <v>149</v>
      </c>
      <c r="CN13">
        <f t="shared" si="1"/>
        <v>149</v>
      </c>
      <c r="CO13">
        <f t="shared" si="1"/>
        <v>149</v>
      </c>
      <c r="CP13" t="e">
        <f t="shared" si="1"/>
        <v>#DIV/0!</v>
      </c>
      <c r="CQ13" t="e">
        <f t="shared" si="2"/>
        <v>#DIV/0!</v>
      </c>
      <c r="CR13" t="e">
        <f t="shared" si="2"/>
        <v>#DIV/0!</v>
      </c>
      <c r="CS13" t="e">
        <f t="shared" si="2"/>
        <v>#DIV/0!</v>
      </c>
      <c r="CT13" t="e">
        <f t="shared" si="2"/>
        <v>#DIV/0!</v>
      </c>
      <c r="CU13" t="e">
        <f t="shared" si="2"/>
        <v>#DIV/0!</v>
      </c>
      <c r="CV13" t="e">
        <f t="shared" si="2"/>
        <v>#DIV/0!</v>
      </c>
      <c r="CW13" t="e">
        <f t="shared" si="2"/>
        <v>#DIV/0!</v>
      </c>
      <c r="CX13" t="e">
        <f t="shared" si="2"/>
        <v>#DIV/0!</v>
      </c>
      <c r="CY13" t="e">
        <f t="shared" si="2"/>
        <v>#DIV/0!</v>
      </c>
      <c r="CZ13" t="e">
        <f t="shared" si="2"/>
        <v>#N/A</v>
      </c>
      <c r="DA13" t="e">
        <f t="shared" si="2"/>
        <v>#N/A</v>
      </c>
      <c r="DB13" t="e">
        <f t="shared" si="2"/>
        <v>#N/A</v>
      </c>
      <c r="DC13" t="e">
        <f t="shared" si="2"/>
        <v>#N/A</v>
      </c>
      <c r="DD13" t="e">
        <f t="shared" si="2"/>
        <v>#N/A</v>
      </c>
    </row>
    <row r="14" spans="1:108" ht="20" customHeight="1" x14ac:dyDescent="0.2">
      <c r="A14" s="7" t="s">
        <v>9</v>
      </c>
      <c r="B14" s="14"/>
      <c r="C14" s="14"/>
      <c r="D14" s="14"/>
      <c r="E14" s="14"/>
      <c r="F14" s="14"/>
      <c r="G14" s="14">
        <v>247</v>
      </c>
      <c r="H14" s="14">
        <v>254</v>
      </c>
      <c r="I14" s="14">
        <v>288</v>
      </c>
      <c r="J14" s="14">
        <v>215</v>
      </c>
      <c r="K14" s="14">
        <v>238</v>
      </c>
      <c r="L14" s="14">
        <v>234</v>
      </c>
      <c r="M14" s="14">
        <v>181</v>
      </c>
      <c r="N14" s="14">
        <v>199</v>
      </c>
      <c r="O14" s="14">
        <v>247</v>
      </c>
      <c r="P14" s="14">
        <v>170</v>
      </c>
      <c r="Q14" s="14">
        <v>344</v>
      </c>
      <c r="R14" s="14">
        <v>244</v>
      </c>
      <c r="S14" s="14"/>
      <c r="T14" s="14"/>
      <c r="U14" s="15">
        <v>380</v>
      </c>
      <c r="V14" s="15"/>
      <c r="W14" s="15"/>
      <c r="X14" s="15"/>
      <c r="Y14" s="15"/>
      <c r="Z14" s="15"/>
      <c r="AA14" s="15"/>
      <c r="AB14" s="15"/>
      <c r="AC14" s="15"/>
      <c r="AD14" s="15"/>
      <c r="AE14" s="124"/>
      <c r="AF14" s="124"/>
      <c r="AG14" s="124">
        <f>33+19+44+14+4+10</f>
        <v>124</v>
      </c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3"/>
        <v>248.4</v>
      </c>
      <c r="BK14">
        <f t="shared" si="0"/>
        <v>246</v>
      </c>
      <c r="BL14">
        <f t="shared" si="0"/>
        <v>236.71428571428572</v>
      </c>
      <c r="BM14">
        <f t="shared" si="0"/>
        <v>232</v>
      </c>
      <c r="BN14">
        <f t="shared" si="0"/>
        <v>233.66666666666666</v>
      </c>
      <c r="BO14">
        <f t="shared" si="0"/>
        <v>227.3</v>
      </c>
      <c r="BP14">
        <f t="shared" si="0"/>
        <v>237</v>
      </c>
      <c r="BQ14">
        <f t="shared" si="0"/>
        <v>236</v>
      </c>
      <c r="BR14">
        <f t="shared" si="0"/>
        <v>230.22222222222223</v>
      </c>
      <c r="BS14">
        <f t="shared" si="0"/>
        <v>232.125</v>
      </c>
      <c r="BT14">
        <f t="shared" si="0"/>
        <v>249.875</v>
      </c>
      <c r="BU14">
        <f t="shared" si="0"/>
        <v>252.14285714285714</v>
      </c>
      <c r="BV14">
        <f t="shared" si="0"/>
        <v>264</v>
      </c>
      <c r="BW14">
        <f t="shared" si="0"/>
        <v>277</v>
      </c>
      <c r="BX14">
        <f t="shared" si="0"/>
        <v>284.5</v>
      </c>
      <c r="BY14">
        <f t="shared" si="0"/>
        <v>322.66666666666669</v>
      </c>
      <c r="BZ14">
        <f t="shared" si="0"/>
        <v>312</v>
      </c>
      <c r="CA14">
        <f t="shared" si="1"/>
        <v>380</v>
      </c>
      <c r="CB14">
        <f t="shared" si="1"/>
        <v>380</v>
      </c>
      <c r="CC14">
        <f t="shared" si="1"/>
        <v>380</v>
      </c>
      <c r="CD14" t="e">
        <f t="shared" si="1"/>
        <v>#DIV/0!</v>
      </c>
      <c r="CE14" t="e">
        <f t="shared" si="1"/>
        <v>#DIV/0!</v>
      </c>
      <c r="CF14">
        <f t="shared" si="1"/>
        <v>124</v>
      </c>
      <c r="CG14">
        <f t="shared" si="1"/>
        <v>124</v>
      </c>
      <c r="CH14">
        <f t="shared" si="1"/>
        <v>124</v>
      </c>
      <c r="CI14">
        <f t="shared" si="1"/>
        <v>124</v>
      </c>
      <c r="CJ14">
        <f t="shared" si="1"/>
        <v>124</v>
      </c>
      <c r="CK14">
        <f t="shared" si="1"/>
        <v>124</v>
      </c>
      <c r="CL14">
        <f t="shared" si="1"/>
        <v>124</v>
      </c>
      <c r="CM14">
        <f t="shared" si="1"/>
        <v>124</v>
      </c>
      <c r="CN14">
        <f t="shared" si="1"/>
        <v>124</v>
      </c>
      <c r="CO14">
        <f t="shared" si="1"/>
        <v>124</v>
      </c>
      <c r="CP14" t="e">
        <f t="shared" si="1"/>
        <v>#DIV/0!</v>
      </c>
      <c r="CQ14" t="e">
        <f t="shared" si="2"/>
        <v>#DIV/0!</v>
      </c>
      <c r="CR14" t="e">
        <f t="shared" si="2"/>
        <v>#DIV/0!</v>
      </c>
      <c r="CS14" t="e">
        <f t="shared" si="2"/>
        <v>#DIV/0!</v>
      </c>
      <c r="CT14" t="e">
        <f t="shared" si="2"/>
        <v>#DIV/0!</v>
      </c>
      <c r="CU14" t="e">
        <f t="shared" si="2"/>
        <v>#DIV/0!</v>
      </c>
      <c r="CV14" t="e">
        <f t="shared" si="2"/>
        <v>#DIV/0!</v>
      </c>
      <c r="CW14" t="e">
        <f t="shared" si="2"/>
        <v>#DIV/0!</v>
      </c>
      <c r="CX14" t="e">
        <f t="shared" si="2"/>
        <v>#DIV/0!</v>
      </c>
      <c r="CY14" t="e">
        <f t="shared" si="2"/>
        <v>#DIV/0!</v>
      </c>
      <c r="CZ14" t="e">
        <f t="shared" si="2"/>
        <v>#N/A</v>
      </c>
      <c r="DA14" t="e">
        <f t="shared" si="2"/>
        <v>#N/A</v>
      </c>
      <c r="DB14" t="e">
        <f t="shared" si="2"/>
        <v>#N/A</v>
      </c>
      <c r="DC14" t="e">
        <f t="shared" si="2"/>
        <v>#N/A</v>
      </c>
      <c r="DD14" t="e">
        <f t="shared" si="2"/>
        <v>#N/A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>
        <v>113</v>
      </c>
      <c r="H15" s="16">
        <v>62</v>
      </c>
      <c r="I15" s="16">
        <v>146</v>
      </c>
      <c r="J15" s="16">
        <v>91</v>
      </c>
      <c r="K15" s="16">
        <v>130</v>
      </c>
      <c r="L15" s="16">
        <v>112</v>
      </c>
      <c r="M15" s="16">
        <v>104</v>
      </c>
      <c r="N15" s="16">
        <v>90</v>
      </c>
      <c r="O15" s="16">
        <v>62</v>
      </c>
      <c r="P15" s="16">
        <v>136</v>
      </c>
      <c r="Q15" s="16">
        <v>157</v>
      </c>
      <c r="R15" s="16">
        <v>118</v>
      </c>
      <c r="S15" s="16"/>
      <c r="T15" s="16"/>
      <c r="U15" s="17">
        <v>123</v>
      </c>
      <c r="V15" s="17"/>
      <c r="W15" s="17"/>
      <c r="X15" s="17"/>
      <c r="Y15" s="17"/>
      <c r="Z15" s="17"/>
      <c r="AA15" s="17"/>
      <c r="AB15" s="17"/>
      <c r="AC15" s="17"/>
      <c r="AD15" s="17"/>
      <c r="AG15" s="10">
        <f>26+29+14+8+9</f>
        <v>86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3"/>
        <v>108.4</v>
      </c>
      <c r="BK15">
        <f t="shared" si="0"/>
        <v>109</v>
      </c>
      <c r="BL15">
        <f t="shared" si="0"/>
        <v>108.28571428571429</v>
      </c>
      <c r="BM15">
        <f t="shared" si="0"/>
        <v>106</v>
      </c>
      <c r="BN15">
        <f t="shared" si="0"/>
        <v>101.11111111111111</v>
      </c>
      <c r="BO15">
        <f t="shared" si="0"/>
        <v>104.6</v>
      </c>
      <c r="BP15">
        <f t="shared" si="0"/>
        <v>109</v>
      </c>
      <c r="BQ15">
        <f t="shared" si="0"/>
        <v>114.6</v>
      </c>
      <c r="BR15">
        <f t="shared" si="0"/>
        <v>111.11111111111111</v>
      </c>
      <c r="BS15">
        <f t="shared" si="0"/>
        <v>113.625</v>
      </c>
      <c r="BT15">
        <f t="shared" si="0"/>
        <v>112.75</v>
      </c>
      <c r="BU15">
        <f t="shared" si="0"/>
        <v>112.85714285714286</v>
      </c>
      <c r="BV15">
        <f t="shared" si="0"/>
        <v>114.33333333333333</v>
      </c>
      <c r="BW15">
        <f t="shared" si="0"/>
        <v>119.2</v>
      </c>
      <c r="BX15">
        <f t="shared" si="0"/>
        <v>133.5</v>
      </c>
      <c r="BY15">
        <f t="shared" si="0"/>
        <v>132.66666666666666</v>
      </c>
      <c r="BZ15">
        <f t="shared" si="0"/>
        <v>120.5</v>
      </c>
      <c r="CA15">
        <f t="shared" si="1"/>
        <v>123</v>
      </c>
      <c r="CB15">
        <f t="shared" si="1"/>
        <v>123</v>
      </c>
      <c r="CC15">
        <f t="shared" si="1"/>
        <v>123</v>
      </c>
      <c r="CD15" t="e">
        <f t="shared" si="1"/>
        <v>#DIV/0!</v>
      </c>
      <c r="CE15" t="e">
        <f t="shared" si="1"/>
        <v>#DIV/0!</v>
      </c>
      <c r="CF15">
        <f t="shared" si="1"/>
        <v>86</v>
      </c>
      <c r="CG15">
        <f t="shared" si="1"/>
        <v>86</v>
      </c>
      <c r="CH15">
        <f t="shared" si="1"/>
        <v>86</v>
      </c>
      <c r="CI15">
        <f t="shared" si="1"/>
        <v>86</v>
      </c>
      <c r="CJ15">
        <f t="shared" si="1"/>
        <v>86</v>
      </c>
      <c r="CK15">
        <f t="shared" si="1"/>
        <v>86</v>
      </c>
      <c r="CL15">
        <f t="shared" si="1"/>
        <v>86</v>
      </c>
      <c r="CM15">
        <f t="shared" si="1"/>
        <v>86</v>
      </c>
      <c r="CN15">
        <f t="shared" si="1"/>
        <v>86</v>
      </c>
      <c r="CO15">
        <f t="shared" si="1"/>
        <v>86</v>
      </c>
      <c r="CP15" t="e">
        <f t="shared" si="1"/>
        <v>#DIV/0!</v>
      </c>
      <c r="CQ15" t="e">
        <f t="shared" si="2"/>
        <v>#DIV/0!</v>
      </c>
      <c r="CR15" t="e">
        <f t="shared" si="2"/>
        <v>#DIV/0!</v>
      </c>
      <c r="CS15" t="e">
        <f t="shared" si="2"/>
        <v>#DIV/0!</v>
      </c>
      <c r="CT15" t="e">
        <f t="shared" si="2"/>
        <v>#DIV/0!</v>
      </c>
      <c r="CU15" t="e">
        <f t="shared" si="2"/>
        <v>#DIV/0!</v>
      </c>
      <c r="CV15" t="e">
        <f t="shared" si="2"/>
        <v>#DIV/0!</v>
      </c>
      <c r="CW15" t="e">
        <f t="shared" si="2"/>
        <v>#DIV/0!</v>
      </c>
      <c r="CX15" t="e">
        <f t="shared" si="2"/>
        <v>#DIV/0!</v>
      </c>
      <c r="CY15" t="e">
        <f t="shared" si="2"/>
        <v>#DIV/0!</v>
      </c>
      <c r="CZ15" t="e">
        <f t="shared" si="2"/>
        <v>#N/A</v>
      </c>
      <c r="DA15" t="e">
        <f t="shared" si="2"/>
        <v>#N/A</v>
      </c>
      <c r="DB15" t="e">
        <f t="shared" si="2"/>
        <v>#N/A</v>
      </c>
      <c r="DC15" t="e">
        <f t="shared" si="2"/>
        <v>#N/A</v>
      </c>
      <c r="DD15" t="e">
        <f t="shared" si="2"/>
        <v>#N/A</v>
      </c>
    </row>
    <row r="16" spans="1:108" ht="20" customHeight="1" x14ac:dyDescent="0.2">
      <c r="A16" s="7" t="s">
        <v>11</v>
      </c>
      <c r="B16" s="14"/>
      <c r="C16" s="14"/>
      <c r="D16" s="14"/>
      <c r="E16" s="14"/>
      <c r="F16" s="14"/>
      <c r="G16" s="14">
        <v>35</v>
      </c>
      <c r="H16" s="14">
        <v>70</v>
      </c>
      <c r="I16" s="14">
        <v>62</v>
      </c>
      <c r="J16" s="14">
        <v>81</v>
      </c>
      <c r="K16" s="14">
        <v>48</v>
      </c>
      <c r="L16" s="14">
        <v>54</v>
      </c>
      <c r="M16" s="14">
        <v>88</v>
      </c>
      <c r="N16" s="14">
        <v>33</v>
      </c>
      <c r="O16" s="14">
        <v>55</v>
      </c>
      <c r="P16" s="14">
        <v>47</v>
      </c>
      <c r="Q16" s="14">
        <v>125</v>
      </c>
      <c r="R16" s="14">
        <v>53</v>
      </c>
      <c r="S16" s="14"/>
      <c r="T16" s="14"/>
      <c r="U16" s="15">
        <v>75</v>
      </c>
      <c r="V16" s="15"/>
      <c r="W16" s="15"/>
      <c r="X16" s="15"/>
      <c r="Y16" s="15"/>
      <c r="Z16" s="15"/>
      <c r="AA16" s="15"/>
      <c r="AB16" s="15"/>
      <c r="AC16" s="15"/>
      <c r="AD16" s="15"/>
      <c r="AE16" s="124"/>
      <c r="AF16" s="124"/>
      <c r="AG16" s="124">
        <f>7+24+1</f>
        <v>32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3"/>
        <v>59.2</v>
      </c>
      <c r="BK16">
        <f t="shared" si="0"/>
        <v>58.333333333333336</v>
      </c>
      <c r="BL16">
        <f t="shared" si="0"/>
        <v>62.571428571428569</v>
      </c>
      <c r="BM16">
        <f t="shared" si="0"/>
        <v>58.875</v>
      </c>
      <c r="BN16">
        <f t="shared" si="0"/>
        <v>58.444444444444443</v>
      </c>
      <c r="BO16">
        <f t="shared" si="0"/>
        <v>57.3</v>
      </c>
      <c r="BP16">
        <f t="shared" si="0"/>
        <v>66.3</v>
      </c>
      <c r="BQ16">
        <f t="shared" si="0"/>
        <v>64.599999999999994</v>
      </c>
      <c r="BR16">
        <f t="shared" si="0"/>
        <v>64.888888888888886</v>
      </c>
      <c r="BS16">
        <f t="shared" si="0"/>
        <v>62.875</v>
      </c>
      <c r="BT16">
        <f t="shared" si="0"/>
        <v>66.25</v>
      </c>
      <c r="BU16">
        <f t="shared" si="0"/>
        <v>68</v>
      </c>
      <c r="BV16">
        <f t="shared" si="0"/>
        <v>64.666666666666671</v>
      </c>
      <c r="BW16">
        <f t="shared" si="0"/>
        <v>71</v>
      </c>
      <c r="BX16">
        <f t="shared" si="0"/>
        <v>75</v>
      </c>
      <c r="BY16">
        <f t="shared" si="0"/>
        <v>84.333333333333329</v>
      </c>
      <c r="BZ16">
        <f t="shared" si="0"/>
        <v>64</v>
      </c>
      <c r="CA16">
        <f t="shared" si="1"/>
        <v>75</v>
      </c>
      <c r="CB16">
        <f t="shared" si="1"/>
        <v>75</v>
      </c>
      <c r="CC16">
        <f t="shared" si="1"/>
        <v>75</v>
      </c>
      <c r="CD16" t="e">
        <f t="shared" si="1"/>
        <v>#DIV/0!</v>
      </c>
      <c r="CE16" t="e">
        <f t="shared" si="1"/>
        <v>#DIV/0!</v>
      </c>
      <c r="CF16">
        <f t="shared" si="1"/>
        <v>32</v>
      </c>
      <c r="CG16">
        <f t="shared" si="1"/>
        <v>32</v>
      </c>
      <c r="CH16">
        <f t="shared" si="1"/>
        <v>32</v>
      </c>
      <c r="CI16">
        <f t="shared" si="1"/>
        <v>32</v>
      </c>
      <c r="CJ16">
        <f t="shared" si="1"/>
        <v>32</v>
      </c>
      <c r="CK16">
        <f t="shared" si="1"/>
        <v>32</v>
      </c>
      <c r="CL16">
        <f t="shared" si="1"/>
        <v>32</v>
      </c>
      <c r="CM16">
        <f t="shared" si="1"/>
        <v>32</v>
      </c>
      <c r="CN16">
        <f t="shared" si="1"/>
        <v>32</v>
      </c>
      <c r="CO16">
        <f t="shared" si="1"/>
        <v>32</v>
      </c>
      <c r="CP16" t="e">
        <f t="shared" si="1"/>
        <v>#DIV/0!</v>
      </c>
      <c r="CQ16" t="e">
        <f t="shared" si="2"/>
        <v>#DIV/0!</v>
      </c>
      <c r="CR16" t="e">
        <f t="shared" si="2"/>
        <v>#DIV/0!</v>
      </c>
      <c r="CS16" t="e">
        <f t="shared" si="2"/>
        <v>#DIV/0!</v>
      </c>
      <c r="CT16" t="e">
        <f t="shared" si="2"/>
        <v>#DIV/0!</v>
      </c>
      <c r="CU16" t="e">
        <f t="shared" si="2"/>
        <v>#DIV/0!</v>
      </c>
      <c r="CV16" t="e">
        <f t="shared" si="2"/>
        <v>#DIV/0!</v>
      </c>
      <c r="CW16" t="e">
        <f t="shared" si="2"/>
        <v>#DIV/0!</v>
      </c>
      <c r="CX16" t="e">
        <f t="shared" si="2"/>
        <v>#DIV/0!</v>
      </c>
      <c r="CY16" t="e">
        <f t="shared" si="2"/>
        <v>#DIV/0!</v>
      </c>
      <c r="CZ16" t="e">
        <f t="shared" si="2"/>
        <v>#N/A</v>
      </c>
      <c r="DA16" t="e">
        <f t="shared" si="2"/>
        <v>#N/A</v>
      </c>
      <c r="DB16" t="e">
        <f t="shared" si="2"/>
        <v>#N/A</v>
      </c>
      <c r="DC16" t="e">
        <f t="shared" si="2"/>
        <v>#N/A</v>
      </c>
      <c r="DD16" t="e">
        <f t="shared" si="2"/>
        <v>#N/A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4">SUM(C5:C16)</f>
        <v>0</v>
      </c>
      <c r="D18" s="22">
        <f t="shared" si="4"/>
        <v>0</v>
      </c>
      <c r="E18" s="22">
        <f t="shared" si="4"/>
        <v>0</v>
      </c>
      <c r="F18" s="22">
        <f t="shared" si="4"/>
        <v>0</v>
      </c>
      <c r="G18" s="22">
        <f t="shared" si="4"/>
        <v>1274</v>
      </c>
      <c r="H18" s="22">
        <f t="shared" si="4"/>
        <v>1705</v>
      </c>
      <c r="I18" s="22">
        <f t="shared" si="4"/>
        <v>2141</v>
      </c>
      <c r="J18" s="22">
        <f t="shared" si="4"/>
        <v>1579</v>
      </c>
      <c r="K18" s="22">
        <f t="shared" si="4"/>
        <v>1461</v>
      </c>
      <c r="L18" s="22">
        <f t="shared" si="4"/>
        <v>1549</v>
      </c>
      <c r="M18" s="22">
        <f t="shared" si="4"/>
        <v>1889</v>
      </c>
      <c r="N18" s="22">
        <f t="shared" si="4"/>
        <v>1588</v>
      </c>
      <c r="O18" s="22">
        <f t="shared" si="4"/>
        <v>1703</v>
      </c>
      <c r="P18" s="22">
        <f t="shared" si="4"/>
        <v>1502</v>
      </c>
      <c r="Q18" s="22">
        <f t="shared" si="4"/>
        <v>1906</v>
      </c>
      <c r="R18" s="22">
        <f t="shared" si="4"/>
        <v>1705</v>
      </c>
      <c r="S18" s="22">
        <f t="shared" si="4"/>
        <v>0</v>
      </c>
      <c r="T18" s="22">
        <f t="shared" si="4"/>
        <v>0</v>
      </c>
      <c r="U18" s="22">
        <f t="shared" si="4"/>
        <v>1544</v>
      </c>
      <c r="V18" s="22">
        <f t="shared" si="4"/>
        <v>0</v>
      </c>
      <c r="W18" s="22">
        <f t="shared" si="4"/>
        <v>0</v>
      </c>
      <c r="X18" s="22">
        <f t="shared" si="4"/>
        <v>0</v>
      </c>
      <c r="Y18" s="22">
        <f t="shared" si="4"/>
        <v>0</v>
      </c>
      <c r="Z18" s="22">
        <f t="shared" si="4"/>
        <v>0</v>
      </c>
      <c r="AA18" s="22">
        <f t="shared" si="4"/>
        <v>0</v>
      </c>
      <c r="AB18" s="22">
        <f t="shared" si="4"/>
        <v>0</v>
      </c>
      <c r="AC18" s="22">
        <f t="shared" si="4"/>
        <v>0</v>
      </c>
      <c r="AD18" s="22">
        <f t="shared" si="4"/>
        <v>0</v>
      </c>
      <c r="AE18" s="22">
        <f t="shared" si="4"/>
        <v>0</v>
      </c>
      <c r="AF18" s="22">
        <f t="shared" si="4"/>
        <v>0</v>
      </c>
      <c r="AG18" s="22">
        <f t="shared" si="4"/>
        <v>878</v>
      </c>
      <c r="AH18" s="22">
        <f t="shared" si="4"/>
        <v>512</v>
      </c>
      <c r="AI18" s="22">
        <f t="shared" si="4"/>
        <v>0</v>
      </c>
      <c r="AJ18" s="22">
        <f t="shared" si="4"/>
        <v>0</v>
      </c>
      <c r="AK18" s="22">
        <f t="shared" si="4"/>
        <v>0</v>
      </c>
      <c r="AL18" s="22">
        <f t="shared" si="4"/>
        <v>0</v>
      </c>
      <c r="AM18" s="22">
        <f t="shared" si="4"/>
        <v>0</v>
      </c>
      <c r="AN18" s="22">
        <f t="shared" si="4"/>
        <v>0</v>
      </c>
      <c r="AO18" s="22">
        <f t="shared" si="4"/>
        <v>0</v>
      </c>
      <c r="AP18" s="22">
        <f t="shared" si="4"/>
        <v>0</v>
      </c>
      <c r="AQ18" s="22">
        <f t="shared" si="4"/>
        <v>0</v>
      </c>
      <c r="AR18" s="22">
        <f t="shared" si="4"/>
        <v>0</v>
      </c>
      <c r="AS18" s="22">
        <f t="shared" si="4"/>
        <v>0</v>
      </c>
      <c r="AT18" s="22">
        <f t="shared" si="4"/>
        <v>0</v>
      </c>
      <c r="AU18" s="22">
        <f t="shared" si="4"/>
        <v>0</v>
      </c>
      <c r="AV18" s="22">
        <f t="shared" si="4"/>
        <v>0</v>
      </c>
      <c r="AW18" s="22">
        <f t="shared" si="4"/>
        <v>0</v>
      </c>
      <c r="AX18" s="22">
        <f t="shared" si="4"/>
        <v>0</v>
      </c>
      <c r="AY18" s="22">
        <f t="shared" si="4"/>
        <v>0</v>
      </c>
      <c r="AZ18" s="22">
        <f t="shared" si="4"/>
        <v>0</v>
      </c>
      <c r="BA18" s="24"/>
      <c r="BY18" s="25">
        <f>AVERAGE(Q18:Z18)</f>
        <v>515.5</v>
      </c>
      <c r="BZ18" s="25">
        <f>AVERAGE(R18:AA18)</f>
        <v>324.89999999999998</v>
      </c>
      <c r="CA18" s="25">
        <f>AVERAGE(S18:AB18)</f>
        <v>154.4</v>
      </c>
      <c r="CB18" s="25">
        <f>AVERAGE(T18:AC18)</f>
        <v>154.4</v>
      </c>
      <c r="CC18" s="25">
        <f>AVERAGE(U18:AD18)</f>
        <v>154.4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4C2D-AC4B-4FEB-8178-78FF3A1B2F48}">
  <sheetPr transitionEvaluation="1" codeName="Sheet31">
    <tabColor theme="9" tint="0.39997558519241921"/>
  </sheetPr>
  <dimension ref="A1:DD192"/>
  <sheetViews>
    <sheetView defaultGridColor="0" colorId="22" zoomScale="70" zoomScaleNormal="70" workbookViewId="0">
      <pane xSplit="1" topLeftCell="W1" activePane="topRight" state="frozen"/>
      <selection activeCell="B1" sqref="B1:U1048576"/>
      <selection pane="topRight" activeCell="AW38" sqref="AW38"/>
    </sheetView>
  </sheetViews>
  <sheetFormatPr baseColWidth="10" defaultColWidth="9.42578125" defaultRowHeight="20" customHeight="1" x14ac:dyDescent="0.2"/>
  <cols>
    <col min="1" max="1" width="11.28515625" style="5" customWidth="1"/>
    <col min="2" max="22" width="5.7109375" style="5" hidden="1" customWidth="1"/>
    <col min="23" max="28" width="5.7109375" style="5" customWidth="1"/>
    <col min="29" max="29" width="6.42578125" style="5" customWidth="1"/>
    <col min="30" max="30" width="9.42578125" style="5" customWidth="1"/>
    <col min="31" max="52" width="9.42578125" customWidth="1"/>
    <col min="53" max="74" width="9.42578125" style="5" customWidth="1"/>
    <col min="75" max="75" width="4.7109375" style="5" customWidth="1"/>
    <col min="76" max="76" width="8.140625" style="5" customWidth="1"/>
    <col min="77" max="77" width="20.140625" style="5" customWidth="1"/>
    <col min="78" max="78" width="9.42578125" style="5" customWidth="1"/>
    <col min="79" max="79" width="16.42578125" style="5" customWidth="1"/>
    <col min="80" max="80" width="16.85546875" style="5" customWidth="1"/>
    <col min="81" max="81" width="17.5703125" style="5" customWidth="1"/>
    <col min="82" max="82" width="16.85546875" style="5" customWidth="1"/>
    <col min="83" max="108" width="9.42578125" style="5" hidden="1" customWidth="1"/>
    <col min="109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13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132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/>
      <c r="AZ3" s="114"/>
      <c r="BA3" s="38"/>
      <c r="BB3" s="30"/>
      <c r="BC3" s="30"/>
      <c r="BE3" s="30"/>
      <c r="BF3" s="30"/>
      <c r="BG3" s="30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7"/>
      <c r="BZ3" s="77"/>
      <c r="CA3" s="77"/>
      <c r="CB3" s="77"/>
      <c r="CC3" s="77"/>
      <c r="CD3" s="38"/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8" s="10" customFormat="1" ht="20" customHeight="1" x14ac:dyDescent="0.2">
      <c r="A5" s="9" t="s">
        <v>0</v>
      </c>
      <c r="B5" s="16"/>
      <c r="C5" s="16"/>
      <c r="D5" s="16"/>
      <c r="E5" s="16"/>
      <c r="F5" s="16"/>
      <c r="G5" s="16">
        <v>10</v>
      </c>
      <c r="H5" s="16">
        <v>26</v>
      </c>
      <c r="I5" s="16">
        <v>87</v>
      </c>
      <c r="J5" s="16">
        <v>71</v>
      </c>
      <c r="K5" s="16">
        <v>53</v>
      </c>
      <c r="L5" s="16">
        <v>53</v>
      </c>
      <c r="M5" s="16">
        <v>114</v>
      </c>
      <c r="N5" s="16">
        <v>51</v>
      </c>
      <c r="O5" s="16">
        <v>99</v>
      </c>
      <c r="P5" s="16">
        <v>53</v>
      </c>
      <c r="Q5" s="16">
        <v>42</v>
      </c>
      <c r="R5" s="16">
        <v>46</v>
      </c>
      <c r="S5" s="16"/>
      <c r="T5" s="16"/>
      <c r="U5" s="17">
        <v>0</v>
      </c>
      <c r="V5" s="17"/>
      <c r="W5" s="17"/>
      <c r="X5" s="17"/>
      <c r="Y5" s="17"/>
      <c r="Z5" s="17"/>
      <c r="AA5" s="17"/>
      <c r="AB5" s="17"/>
      <c r="AC5" s="17"/>
      <c r="AD5" s="17"/>
      <c r="AG5" s="10">
        <f>14+18</f>
        <v>32</v>
      </c>
      <c r="AH5" s="10">
        <f>47+34</f>
        <v>81</v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Z5"/>
      <c r="CA5"/>
      <c r="CB5"/>
      <c r="CC5"/>
      <c r="CD5"/>
      <c r="CE5" t="e">
        <f t="shared" ref="CE5:CE16" si="0">AVERAGE(W5:AE5)</f>
        <v>#DIV/0!</v>
      </c>
      <c r="CF5" t="e">
        <f t="shared" ref="CF5:CF16" si="1">AVERAGE(X5:AF5)</f>
        <v>#DIV/0!</v>
      </c>
      <c r="CG5">
        <f t="shared" ref="CG5:CG16" si="2">AVERAGE(Y5:AG5)</f>
        <v>32</v>
      </c>
      <c r="CH5">
        <f t="shared" ref="CH5:CH16" si="3">AVERAGE(Z5:AI5)</f>
        <v>56.5</v>
      </c>
      <c r="CI5">
        <f t="shared" ref="CI5:CI16" si="4">AVERAGE(AA5:AJ5)</f>
        <v>56.5</v>
      </c>
      <c r="CJ5">
        <f t="shared" ref="CJ5:CJ16" si="5">AVERAGE(AB5:AK5)</f>
        <v>56.5</v>
      </c>
      <c r="CK5">
        <f t="shared" ref="CK5:CK16" si="6">AVERAGE(AC5:AL5)</f>
        <v>56.5</v>
      </c>
      <c r="CL5">
        <f t="shared" ref="CL5:CL16" si="7">AVERAGE(AD5:AM5)</f>
        <v>56.5</v>
      </c>
      <c r="CM5">
        <f t="shared" ref="CM5:CM16" si="8">AVERAGE(AE5:AN5)</f>
        <v>56.5</v>
      </c>
      <c r="CN5">
        <f t="shared" ref="CN5:CN16" si="9">AVERAGE(AF5:AO5)</f>
        <v>56.5</v>
      </c>
      <c r="CO5">
        <f t="shared" ref="CO5:CO16" si="10">AVERAGE(AF5:AP5)</f>
        <v>56.5</v>
      </c>
      <c r="CP5">
        <f t="shared" ref="CP5:CP16" si="11">AVERAGE(AG5:AQ5)</f>
        <v>56.5</v>
      </c>
      <c r="CQ5" t="e">
        <f t="shared" ref="CQ5:CQ16" si="12">AVERAGE(AI5:AR5)</f>
        <v>#DIV/0!</v>
      </c>
      <c r="CR5" t="e">
        <f t="shared" ref="CR5:CR16" si="13">AVERAGE(AJ5:AS5)</f>
        <v>#DIV/0!</v>
      </c>
      <c r="CS5" t="e">
        <f t="shared" ref="CS5:CS16" si="14">AVERAGE(AK5:AT5)</f>
        <v>#DIV/0!</v>
      </c>
      <c r="CT5" t="e">
        <f t="shared" ref="CT5:CT16" si="15">AVERAGE(AL5:AU5)</f>
        <v>#DIV/0!</v>
      </c>
      <c r="CU5" t="e">
        <f t="shared" ref="CU5:CU16" si="16">AVERAGE(AM5:AV5)</f>
        <v>#DIV/0!</v>
      </c>
      <c r="CV5" t="e">
        <f t="shared" ref="CV5:CV16" si="17">AVERAGE(AN5:AW5)</f>
        <v>#DIV/0!</v>
      </c>
      <c r="CW5" t="e">
        <f t="shared" ref="CW5:CW16" si="18">AVERAGE(AO5:AX5)</f>
        <v>#DIV/0!</v>
      </c>
      <c r="CX5" t="e">
        <f t="shared" ref="CX5:CX16" si="19">AVERAGE(AP5:AY5)</f>
        <v>#DIV/0!</v>
      </c>
      <c r="CY5" t="e">
        <f t="shared" ref="CY5:CY16" si="20">AVERAGE(AQ5:AZ5)</f>
        <v>#DIV/0!</v>
      </c>
      <c r="CZ5" t="e">
        <f t="shared" ref="CZ5:CZ16" si="21">AVERAGE(AR5:BA5)</f>
        <v>#DIV/0!</v>
      </c>
      <c r="DA5" t="e">
        <f t="shared" ref="DA5:DA16" si="22">AVERAGE(AS5:BB5)</f>
        <v>#DIV/0!</v>
      </c>
      <c r="DB5" t="e">
        <f t="shared" ref="DB5:DB16" si="23">AVERAGE(AT5:BC5)</f>
        <v>#DIV/0!</v>
      </c>
      <c r="DC5" t="e">
        <f t="shared" ref="DC5:DC16" si="24">AVERAGE(AU5:BD5)</f>
        <v>#DIV/0!</v>
      </c>
      <c r="DD5" t="e">
        <f t="shared" ref="DD5:DD16" si="25">AVERAGE(AV5:BE5)</f>
        <v>#DIV/0!</v>
      </c>
    </row>
    <row r="6" spans="1:108" ht="20" customHeight="1" x14ac:dyDescent="0.2">
      <c r="A6" s="7" t="s">
        <v>1</v>
      </c>
      <c r="B6" s="14"/>
      <c r="C6" s="14"/>
      <c r="D6" s="14"/>
      <c r="E6" s="14"/>
      <c r="F6" s="14"/>
      <c r="G6" s="14">
        <v>10</v>
      </c>
      <c r="H6" s="14">
        <v>45</v>
      </c>
      <c r="I6" s="14">
        <v>89</v>
      </c>
      <c r="J6" s="14">
        <v>62</v>
      </c>
      <c r="K6" s="14">
        <v>60</v>
      </c>
      <c r="L6" s="14">
        <v>23</v>
      </c>
      <c r="M6" s="14">
        <v>100</v>
      </c>
      <c r="N6" s="14">
        <v>50</v>
      </c>
      <c r="O6" s="14">
        <v>85</v>
      </c>
      <c r="P6" s="14">
        <v>60</v>
      </c>
      <c r="Q6" s="14">
        <v>71</v>
      </c>
      <c r="R6" s="14">
        <v>45</v>
      </c>
      <c r="S6" s="14"/>
      <c r="T6" s="14"/>
      <c r="U6" s="15">
        <v>0</v>
      </c>
      <c r="V6" s="15"/>
      <c r="W6" s="15"/>
      <c r="X6" s="15"/>
      <c r="Y6" s="15"/>
      <c r="Z6" s="15"/>
      <c r="AA6" s="15"/>
      <c r="AB6" s="15"/>
      <c r="AC6" s="15"/>
      <c r="AD6" s="15"/>
      <c r="AE6" s="124"/>
      <c r="AF6" s="124"/>
      <c r="AG6" s="124">
        <f>8+8</f>
        <v>16</v>
      </c>
      <c r="AH6" s="124">
        <f>11+28+36</f>
        <v>75</v>
      </c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Z6"/>
      <c r="CA6"/>
      <c r="CB6"/>
      <c r="CC6"/>
      <c r="CD6"/>
      <c r="CE6" t="e">
        <f t="shared" si="0"/>
        <v>#DIV/0!</v>
      </c>
      <c r="CF6" t="e">
        <f t="shared" si="1"/>
        <v>#DIV/0!</v>
      </c>
      <c r="CG6">
        <f t="shared" si="2"/>
        <v>16</v>
      </c>
      <c r="CH6">
        <f t="shared" si="3"/>
        <v>45.5</v>
      </c>
      <c r="CI6">
        <f t="shared" si="4"/>
        <v>45.5</v>
      </c>
      <c r="CJ6">
        <f t="shared" si="5"/>
        <v>45.5</v>
      </c>
      <c r="CK6">
        <f t="shared" si="6"/>
        <v>45.5</v>
      </c>
      <c r="CL6">
        <f t="shared" si="7"/>
        <v>45.5</v>
      </c>
      <c r="CM6">
        <f t="shared" si="8"/>
        <v>45.5</v>
      </c>
      <c r="CN6">
        <f t="shared" si="9"/>
        <v>45.5</v>
      </c>
      <c r="CO6">
        <f t="shared" si="10"/>
        <v>45.5</v>
      </c>
      <c r="CP6">
        <f t="shared" si="11"/>
        <v>45.5</v>
      </c>
      <c r="CQ6" t="e">
        <f t="shared" si="12"/>
        <v>#DIV/0!</v>
      </c>
      <c r="CR6" t="e">
        <f t="shared" si="13"/>
        <v>#DIV/0!</v>
      </c>
      <c r="CS6" t="e">
        <f t="shared" si="14"/>
        <v>#DIV/0!</v>
      </c>
      <c r="CT6" t="e">
        <f t="shared" si="15"/>
        <v>#DIV/0!</v>
      </c>
      <c r="CU6" t="e">
        <f t="shared" si="16"/>
        <v>#DIV/0!</v>
      </c>
      <c r="CV6" t="e">
        <f t="shared" si="17"/>
        <v>#DIV/0!</v>
      </c>
      <c r="CW6" t="e">
        <f t="shared" si="18"/>
        <v>#DIV/0!</v>
      </c>
      <c r="CX6" t="e">
        <f t="shared" si="19"/>
        <v>#DIV/0!</v>
      </c>
      <c r="CY6" t="e">
        <f t="shared" si="20"/>
        <v>#DIV/0!</v>
      </c>
      <c r="CZ6" t="e">
        <f t="shared" si="21"/>
        <v>#DIV/0!</v>
      </c>
      <c r="DA6" t="e">
        <f t="shared" si="22"/>
        <v>#DIV/0!</v>
      </c>
      <c r="DB6" t="e">
        <f t="shared" si="23"/>
        <v>#DIV/0!</v>
      </c>
      <c r="DC6" t="e">
        <f t="shared" si="24"/>
        <v>#DIV/0!</v>
      </c>
      <c r="DD6" t="e">
        <f t="shared" si="25"/>
        <v>#DIV/0!</v>
      </c>
    </row>
    <row r="7" spans="1:108" s="10" customFormat="1" ht="20" customHeight="1" x14ac:dyDescent="0.2">
      <c r="A7" s="9" t="s">
        <v>2</v>
      </c>
      <c r="B7" s="16"/>
      <c r="C7" s="16"/>
      <c r="D7" s="16"/>
      <c r="E7" s="16"/>
      <c r="F7" s="16"/>
      <c r="G7" s="16">
        <v>10</v>
      </c>
      <c r="H7" s="16">
        <v>67</v>
      </c>
      <c r="I7" s="16">
        <v>93</v>
      </c>
      <c r="J7" s="16">
        <v>73</v>
      </c>
      <c r="K7" s="16">
        <v>107</v>
      </c>
      <c r="L7" s="16">
        <v>52</v>
      </c>
      <c r="M7" s="16">
        <v>108</v>
      </c>
      <c r="N7" s="16">
        <v>46</v>
      </c>
      <c r="O7" s="16">
        <v>43</v>
      </c>
      <c r="P7" s="16">
        <v>65</v>
      </c>
      <c r="Q7" s="16">
        <v>73</v>
      </c>
      <c r="R7" s="16">
        <v>59</v>
      </c>
      <c r="S7" s="16"/>
      <c r="T7" s="16"/>
      <c r="U7" s="17">
        <v>0</v>
      </c>
      <c r="V7" s="17"/>
      <c r="W7" s="17"/>
      <c r="X7" s="17"/>
      <c r="Y7" s="17"/>
      <c r="Z7" s="17"/>
      <c r="AA7" s="17"/>
      <c r="AB7" s="17"/>
      <c r="AC7" s="17"/>
      <c r="AD7" s="17"/>
      <c r="AG7" s="10">
        <f>26+18+2</f>
        <v>46</v>
      </c>
      <c r="AH7" s="10">
        <f>42+14+6</f>
        <v>62</v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Z7"/>
      <c r="CA7"/>
      <c r="CB7"/>
      <c r="CC7"/>
      <c r="CD7"/>
      <c r="CE7" t="e">
        <f t="shared" si="0"/>
        <v>#DIV/0!</v>
      </c>
      <c r="CF7" t="e">
        <f t="shared" si="1"/>
        <v>#DIV/0!</v>
      </c>
      <c r="CG7">
        <f t="shared" si="2"/>
        <v>46</v>
      </c>
      <c r="CH7">
        <f t="shared" si="3"/>
        <v>54</v>
      </c>
      <c r="CI7">
        <f t="shared" si="4"/>
        <v>54</v>
      </c>
      <c r="CJ7">
        <f t="shared" si="5"/>
        <v>54</v>
      </c>
      <c r="CK7">
        <f t="shared" si="6"/>
        <v>54</v>
      </c>
      <c r="CL7">
        <f t="shared" si="7"/>
        <v>54</v>
      </c>
      <c r="CM7">
        <f t="shared" si="8"/>
        <v>54</v>
      </c>
      <c r="CN7">
        <f t="shared" si="9"/>
        <v>54</v>
      </c>
      <c r="CO7">
        <f t="shared" si="10"/>
        <v>54</v>
      </c>
      <c r="CP7">
        <f t="shared" si="11"/>
        <v>54</v>
      </c>
      <c r="CQ7" t="e">
        <f t="shared" si="12"/>
        <v>#DIV/0!</v>
      </c>
      <c r="CR7" t="e">
        <f t="shared" si="13"/>
        <v>#DIV/0!</v>
      </c>
      <c r="CS7" t="e">
        <f t="shared" si="14"/>
        <v>#DIV/0!</v>
      </c>
      <c r="CT7" t="e">
        <f t="shared" si="15"/>
        <v>#DIV/0!</v>
      </c>
      <c r="CU7" t="e">
        <f t="shared" si="16"/>
        <v>#DIV/0!</v>
      </c>
      <c r="CV7" t="e">
        <f t="shared" si="17"/>
        <v>#DIV/0!</v>
      </c>
      <c r="CW7" t="e">
        <f t="shared" si="18"/>
        <v>#DIV/0!</v>
      </c>
      <c r="CX7" t="e">
        <f t="shared" si="19"/>
        <v>#DIV/0!</v>
      </c>
      <c r="CY7" t="e">
        <f t="shared" si="20"/>
        <v>#DIV/0!</v>
      </c>
      <c r="CZ7" t="e">
        <f t="shared" si="21"/>
        <v>#DIV/0!</v>
      </c>
      <c r="DA7" t="e">
        <f t="shared" si="22"/>
        <v>#DIV/0!</v>
      </c>
      <c r="DB7" t="e">
        <f t="shared" si="23"/>
        <v>#DIV/0!</v>
      </c>
      <c r="DC7" t="e">
        <f t="shared" si="24"/>
        <v>#DIV/0!</v>
      </c>
      <c r="DD7" t="e">
        <f t="shared" si="25"/>
        <v>#DIV/0!</v>
      </c>
    </row>
    <row r="8" spans="1:108" ht="20" customHeight="1" x14ac:dyDescent="0.2">
      <c r="A8" s="7" t="s">
        <v>3</v>
      </c>
      <c r="B8" s="14"/>
      <c r="C8" s="14"/>
      <c r="D8" s="14"/>
      <c r="E8" s="14"/>
      <c r="F8" s="14"/>
      <c r="G8" s="14">
        <v>50</v>
      </c>
      <c r="H8" s="14">
        <v>153</v>
      </c>
      <c r="I8" s="14">
        <v>168</v>
      </c>
      <c r="J8" s="14">
        <v>157</v>
      </c>
      <c r="K8" s="14">
        <v>70</v>
      </c>
      <c r="L8" s="14">
        <v>139</v>
      </c>
      <c r="M8" s="14">
        <v>128</v>
      </c>
      <c r="N8" s="14">
        <v>130</v>
      </c>
      <c r="O8" s="14">
        <v>144</v>
      </c>
      <c r="P8" s="14">
        <v>72</v>
      </c>
      <c r="Q8" s="14">
        <v>160</v>
      </c>
      <c r="R8" s="14">
        <v>94</v>
      </c>
      <c r="S8" s="14"/>
      <c r="T8" s="14"/>
      <c r="U8" s="15">
        <v>37</v>
      </c>
      <c r="V8" s="15"/>
      <c r="W8" s="15"/>
      <c r="X8" s="15"/>
      <c r="Y8" s="15"/>
      <c r="Z8" s="15"/>
      <c r="AA8" s="15"/>
      <c r="AB8" s="15"/>
      <c r="AC8" s="15"/>
      <c r="AD8" s="15"/>
      <c r="AE8" s="124"/>
      <c r="AF8" s="124">
        <f>51+59+42</f>
        <v>152</v>
      </c>
      <c r="AG8" s="124">
        <f>27+37+11+60+39</f>
        <v>174</v>
      </c>
      <c r="AH8" s="124">
        <f>22+33+46+47+18+2</f>
        <v>168</v>
      </c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Z8"/>
      <c r="CA8"/>
      <c r="CB8"/>
      <c r="CC8"/>
      <c r="CD8"/>
      <c r="CE8" t="e">
        <f t="shared" si="0"/>
        <v>#DIV/0!</v>
      </c>
      <c r="CF8">
        <f t="shared" si="1"/>
        <v>152</v>
      </c>
      <c r="CG8">
        <f t="shared" si="2"/>
        <v>163</v>
      </c>
      <c r="CH8">
        <f t="shared" si="3"/>
        <v>164.66666666666666</v>
      </c>
      <c r="CI8">
        <f t="shared" si="4"/>
        <v>164.66666666666666</v>
      </c>
      <c r="CJ8">
        <f t="shared" si="5"/>
        <v>164.66666666666666</v>
      </c>
      <c r="CK8">
        <f t="shared" si="6"/>
        <v>164.66666666666666</v>
      </c>
      <c r="CL8">
        <f t="shared" si="7"/>
        <v>164.66666666666666</v>
      </c>
      <c r="CM8">
        <f t="shared" si="8"/>
        <v>164.66666666666666</v>
      </c>
      <c r="CN8">
        <f t="shared" si="9"/>
        <v>164.66666666666666</v>
      </c>
      <c r="CO8">
        <f t="shared" si="10"/>
        <v>164.66666666666666</v>
      </c>
      <c r="CP8">
        <f t="shared" si="11"/>
        <v>171</v>
      </c>
      <c r="CQ8" t="e">
        <f t="shared" si="12"/>
        <v>#DIV/0!</v>
      </c>
      <c r="CR8" t="e">
        <f t="shared" si="13"/>
        <v>#DIV/0!</v>
      </c>
      <c r="CS8" t="e">
        <f t="shared" si="14"/>
        <v>#DIV/0!</v>
      </c>
      <c r="CT8" t="e">
        <f t="shared" si="15"/>
        <v>#DIV/0!</v>
      </c>
      <c r="CU8" t="e">
        <f t="shared" si="16"/>
        <v>#DIV/0!</v>
      </c>
      <c r="CV8" t="e">
        <f t="shared" si="17"/>
        <v>#DIV/0!</v>
      </c>
      <c r="CW8" t="e">
        <f t="shared" si="18"/>
        <v>#DIV/0!</v>
      </c>
      <c r="CX8" t="e">
        <f t="shared" si="19"/>
        <v>#DIV/0!</v>
      </c>
      <c r="CY8" t="e">
        <f t="shared" si="20"/>
        <v>#DIV/0!</v>
      </c>
      <c r="CZ8" t="e">
        <f t="shared" si="21"/>
        <v>#DIV/0!</v>
      </c>
      <c r="DA8" t="e">
        <f t="shared" si="22"/>
        <v>#DIV/0!</v>
      </c>
      <c r="DB8" t="e">
        <f t="shared" si="23"/>
        <v>#DIV/0!</v>
      </c>
      <c r="DC8" t="e">
        <f t="shared" si="24"/>
        <v>#DIV/0!</v>
      </c>
      <c r="DD8" t="e">
        <f t="shared" si="25"/>
        <v>#DIV/0!</v>
      </c>
    </row>
    <row r="9" spans="1:108" s="10" customFormat="1" ht="20" customHeight="1" x14ac:dyDescent="0.2">
      <c r="A9" s="9" t="s">
        <v>4</v>
      </c>
      <c r="B9" s="16"/>
      <c r="C9" s="16"/>
      <c r="D9" s="16"/>
      <c r="E9" s="16"/>
      <c r="F9" s="16"/>
      <c r="G9" s="16">
        <v>50</v>
      </c>
      <c r="H9" s="16">
        <v>240</v>
      </c>
      <c r="I9" s="16">
        <v>255</v>
      </c>
      <c r="J9" s="16">
        <v>187</v>
      </c>
      <c r="K9" s="16">
        <v>101</v>
      </c>
      <c r="L9" s="16">
        <v>206</v>
      </c>
      <c r="M9" s="16">
        <v>175</v>
      </c>
      <c r="N9" s="16">
        <v>187</v>
      </c>
      <c r="O9" s="16">
        <v>194</v>
      </c>
      <c r="P9" s="16">
        <v>219</v>
      </c>
      <c r="Q9" s="16">
        <v>122</v>
      </c>
      <c r="R9" s="16">
        <v>193</v>
      </c>
      <c r="S9" s="16"/>
      <c r="T9" s="16"/>
      <c r="U9" s="17">
        <v>218</v>
      </c>
      <c r="V9" s="17"/>
      <c r="W9" s="17"/>
      <c r="X9" s="17"/>
      <c r="Y9" s="17"/>
      <c r="Z9" s="17"/>
      <c r="AA9" s="17"/>
      <c r="AB9" s="17"/>
      <c r="AC9" s="17"/>
      <c r="AD9" s="17"/>
      <c r="AF9" s="10">
        <f>47+43</f>
        <v>90</v>
      </c>
      <c r="AG9" s="10">
        <f>20+55+55+17+2+36+27+41+75+36</f>
        <v>364</v>
      </c>
      <c r="AH9" s="10">
        <f>13+41+57+1+8+16</f>
        <v>136</v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Z9"/>
      <c r="CA9"/>
      <c r="CB9"/>
      <c r="CC9"/>
      <c r="CD9"/>
      <c r="CE9" t="e">
        <f t="shared" si="0"/>
        <v>#DIV/0!</v>
      </c>
      <c r="CF9">
        <f t="shared" si="1"/>
        <v>90</v>
      </c>
      <c r="CG9">
        <f t="shared" si="2"/>
        <v>227</v>
      </c>
      <c r="CH9">
        <f t="shared" si="3"/>
        <v>196.66666666666666</v>
      </c>
      <c r="CI9">
        <f t="shared" si="4"/>
        <v>196.66666666666666</v>
      </c>
      <c r="CJ9">
        <f t="shared" si="5"/>
        <v>196.66666666666666</v>
      </c>
      <c r="CK9">
        <f t="shared" si="6"/>
        <v>196.66666666666666</v>
      </c>
      <c r="CL9">
        <f t="shared" si="7"/>
        <v>196.66666666666666</v>
      </c>
      <c r="CM9">
        <f t="shared" si="8"/>
        <v>196.66666666666666</v>
      </c>
      <c r="CN9">
        <f t="shared" si="9"/>
        <v>196.66666666666666</v>
      </c>
      <c r="CO9">
        <f t="shared" si="10"/>
        <v>196.66666666666666</v>
      </c>
      <c r="CP9">
        <f t="shared" si="11"/>
        <v>250</v>
      </c>
      <c r="CQ9" t="e">
        <f t="shared" si="12"/>
        <v>#DIV/0!</v>
      </c>
      <c r="CR9" t="e">
        <f t="shared" si="13"/>
        <v>#DIV/0!</v>
      </c>
      <c r="CS9" t="e">
        <f t="shared" si="14"/>
        <v>#DIV/0!</v>
      </c>
      <c r="CT9" t="e">
        <f t="shared" si="15"/>
        <v>#DIV/0!</v>
      </c>
      <c r="CU9" t="e">
        <f t="shared" si="16"/>
        <v>#DIV/0!</v>
      </c>
      <c r="CV9" t="e">
        <f t="shared" si="17"/>
        <v>#DIV/0!</v>
      </c>
      <c r="CW9" t="e">
        <f t="shared" si="18"/>
        <v>#DIV/0!</v>
      </c>
      <c r="CX9" t="e">
        <f t="shared" si="19"/>
        <v>#DIV/0!</v>
      </c>
      <c r="CY9" t="e">
        <f t="shared" si="20"/>
        <v>#DIV/0!</v>
      </c>
      <c r="CZ9" t="e">
        <f t="shared" si="21"/>
        <v>#DIV/0!</v>
      </c>
      <c r="DA9" t="e">
        <f t="shared" si="22"/>
        <v>#DIV/0!</v>
      </c>
      <c r="DB9" t="e">
        <f t="shared" si="23"/>
        <v>#DIV/0!</v>
      </c>
      <c r="DC9" t="e">
        <f t="shared" si="24"/>
        <v>#DIV/0!</v>
      </c>
      <c r="DD9" t="e">
        <f t="shared" si="25"/>
        <v>#DIV/0!</v>
      </c>
    </row>
    <row r="10" spans="1:108" ht="20" customHeight="1" x14ac:dyDescent="0.2">
      <c r="A10" s="7" t="s">
        <v>5</v>
      </c>
      <c r="B10" s="14"/>
      <c r="C10" s="14"/>
      <c r="D10" s="14"/>
      <c r="E10" s="14"/>
      <c r="F10" s="14"/>
      <c r="G10" s="14">
        <v>132</v>
      </c>
      <c r="H10" s="14">
        <v>197</v>
      </c>
      <c r="I10" s="14">
        <v>177</v>
      </c>
      <c r="J10" s="14">
        <v>72</v>
      </c>
      <c r="K10" s="14">
        <v>80</v>
      </c>
      <c r="L10" s="14">
        <v>109</v>
      </c>
      <c r="M10" s="14">
        <v>228</v>
      </c>
      <c r="N10" s="14">
        <v>112</v>
      </c>
      <c r="O10" s="14">
        <v>161</v>
      </c>
      <c r="P10" s="14">
        <v>112</v>
      </c>
      <c r="Q10" s="14">
        <v>149</v>
      </c>
      <c r="R10" s="14">
        <v>170</v>
      </c>
      <c r="S10" s="14"/>
      <c r="T10" s="14"/>
      <c r="U10" s="15">
        <v>25</v>
      </c>
      <c r="V10" s="15"/>
      <c r="W10" s="15"/>
      <c r="X10" s="15"/>
      <c r="Y10" s="15"/>
      <c r="Z10" s="15"/>
      <c r="AA10" s="15"/>
      <c r="AB10" s="15"/>
      <c r="AC10" s="15"/>
      <c r="AD10" s="15"/>
      <c r="AE10" s="124"/>
      <c r="AF10" s="124">
        <f>34+42+36+9</f>
        <v>121</v>
      </c>
      <c r="AG10" s="124">
        <f>26+53+51+5+6+14+26+54+16</f>
        <v>251</v>
      </c>
      <c r="AH10" s="124">
        <f>15+3+46+52+27</f>
        <v>143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Z10"/>
      <c r="CA10"/>
      <c r="CB10"/>
      <c r="CC10"/>
      <c r="CD10"/>
      <c r="CE10" t="e">
        <f t="shared" si="0"/>
        <v>#DIV/0!</v>
      </c>
      <c r="CF10">
        <f t="shared" si="1"/>
        <v>121</v>
      </c>
      <c r="CG10">
        <f t="shared" si="2"/>
        <v>186</v>
      </c>
      <c r="CH10">
        <f t="shared" si="3"/>
        <v>171.66666666666666</v>
      </c>
      <c r="CI10">
        <f t="shared" si="4"/>
        <v>171.66666666666666</v>
      </c>
      <c r="CJ10">
        <f t="shared" si="5"/>
        <v>171.66666666666666</v>
      </c>
      <c r="CK10">
        <f t="shared" si="6"/>
        <v>171.66666666666666</v>
      </c>
      <c r="CL10">
        <f t="shared" si="7"/>
        <v>171.66666666666666</v>
      </c>
      <c r="CM10">
        <f t="shared" si="8"/>
        <v>171.66666666666666</v>
      </c>
      <c r="CN10">
        <f t="shared" si="9"/>
        <v>171.66666666666666</v>
      </c>
      <c r="CO10">
        <f t="shared" si="10"/>
        <v>171.66666666666666</v>
      </c>
      <c r="CP10">
        <f t="shared" si="11"/>
        <v>197</v>
      </c>
      <c r="CQ10" t="e">
        <f t="shared" si="12"/>
        <v>#DIV/0!</v>
      </c>
      <c r="CR10" t="e">
        <f t="shared" si="13"/>
        <v>#DIV/0!</v>
      </c>
      <c r="CS10" t="e">
        <f t="shared" si="14"/>
        <v>#DIV/0!</v>
      </c>
      <c r="CT10" t="e">
        <f t="shared" si="15"/>
        <v>#DIV/0!</v>
      </c>
      <c r="CU10" t="e">
        <f t="shared" si="16"/>
        <v>#DIV/0!</v>
      </c>
      <c r="CV10" t="e">
        <f t="shared" si="17"/>
        <v>#DIV/0!</v>
      </c>
      <c r="CW10" t="e">
        <f t="shared" si="18"/>
        <v>#DIV/0!</v>
      </c>
      <c r="CX10" t="e">
        <f t="shared" si="19"/>
        <v>#DIV/0!</v>
      </c>
      <c r="CY10" t="e">
        <f t="shared" si="20"/>
        <v>#DIV/0!</v>
      </c>
      <c r="CZ10" t="e">
        <f t="shared" si="21"/>
        <v>#DIV/0!</v>
      </c>
      <c r="DA10" t="e">
        <f t="shared" si="22"/>
        <v>#DIV/0!</v>
      </c>
      <c r="DB10" t="e">
        <f t="shared" si="23"/>
        <v>#DIV/0!</v>
      </c>
      <c r="DC10" t="e">
        <f t="shared" si="24"/>
        <v>#DIV/0!</v>
      </c>
      <c r="DD10" t="e">
        <f t="shared" si="25"/>
        <v>#DIV/0!</v>
      </c>
    </row>
    <row r="11" spans="1:108" s="10" customFormat="1" ht="20" customHeight="1" x14ac:dyDescent="0.2">
      <c r="A11" s="9" t="s">
        <v>6</v>
      </c>
      <c r="B11" s="16"/>
      <c r="C11" s="16"/>
      <c r="D11" s="16"/>
      <c r="E11" s="16"/>
      <c r="F11" s="16"/>
      <c r="G11" s="16">
        <v>269</v>
      </c>
      <c r="H11" s="16">
        <v>200</v>
      </c>
      <c r="I11" s="16">
        <v>301</v>
      </c>
      <c r="J11" s="16">
        <v>119</v>
      </c>
      <c r="K11" s="16">
        <v>179</v>
      </c>
      <c r="L11" s="16">
        <v>241</v>
      </c>
      <c r="M11" s="16">
        <v>289</v>
      </c>
      <c r="N11" s="16">
        <v>314</v>
      </c>
      <c r="O11" s="16">
        <v>207</v>
      </c>
      <c r="P11" s="16">
        <v>279</v>
      </c>
      <c r="Q11" s="16">
        <v>243</v>
      </c>
      <c r="R11" s="16">
        <v>263</v>
      </c>
      <c r="S11" s="16"/>
      <c r="T11" s="16"/>
      <c r="U11" s="17">
        <v>216</v>
      </c>
      <c r="V11" s="17"/>
      <c r="W11" s="17"/>
      <c r="X11" s="17"/>
      <c r="Y11" s="17"/>
      <c r="Z11" s="17"/>
      <c r="AA11" s="17"/>
      <c r="AB11" s="17"/>
      <c r="AC11" s="17"/>
      <c r="AD11" s="17"/>
      <c r="AF11" s="10">
        <f>50+48+45+11</f>
        <v>154</v>
      </c>
      <c r="AG11" s="10">
        <f>44+54+26+58+48+54+44+13+30+60+44+4+51+1+29+51+72+12+9</f>
        <v>704</v>
      </c>
      <c r="AH11" s="10">
        <f>15+13+33+46+42+44+43+35+58</f>
        <v>329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Z11"/>
      <c r="CA11"/>
      <c r="CB11"/>
      <c r="CC11"/>
      <c r="CD11"/>
      <c r="CE11" t="e">
        <f t="shared" si="0"/>
        <v>#DIV/0!</v>
      </c>
      <c r="CF11">
        <f t="shared" si="1"/>
        <v>154</v>
      </c>
      <c r="CG11">
        <f t="shared" si="2"/>
        <v>429</v>
      </c>
      <c r="CH11">
        <f t="shared" si="3"/>
        <v>395.66666666666669</v>
      </c>
      <c r="CI11">
        <f t="shared" si="4"/>
        <v>395.66666666666669</v>
      </c>
      <c r="CJ11">
        <f t="shared" si="5"/>
        <v>395.66666666666669</v>
      </c>
      <c r="CK11">
        <f t="shared" si="6"/>
        <v>395.66666666666669</v>
      </c>
      <c r="CL11">
        <f t="shared" si="7"/>
        <v>395.66666666666669</v>
      </c>
      <c r="CM11">
        <f t="shared" si="8"/>
        <v>395.66666666666669</v>
      </c>
      <c r="CN11">
        <f t="shared" si="9"/>
        <v>395.66666666666669</v>
      </c>
      <c r="CO11">
        <f t="shared" si="10"/>
        <v>395.66666666666669</v>
      </c>
      <c r="CP11">
        <f t="shared" si="11"/>
        <v>516.5</v>
      </c>
      <c r="CQ11" t="e">
        <f t="shared" si="12"/>
        <v>#DIV/0!</v>
      </c>
      <c r="CR11" t="e">
        <f t="shared" si="13"/>
        <v>#DIV/0!</v>
      </c>
      <c r="CS11" t="e">
        <f t="shared" si="14"/>
        <v>#DIV/0!</v>
      </c>
      <c r="CT11" t="e">
        <f t="shared" si="15"/>
        <v>#DIV/0!</v>
      </c>
      <c r="CU11" t="e">
        <f t="shared" si="16"/>
        <v>#DIV/0!</v>
      </c>
      <c r="CV11" t="e">
        <f t="shared" si="17"/>
        <v>#DIV/0!</v>
      </c>
      <c r="CW11" t="e">
        <f t="shared" si="18"/>
        <v>#DIV/0!</v>
      </c>
      <c r="CX11" t="e">
        <f t="shared" si="19"/>
        <v>#DIV/0!</v>
      </c>
      <c r="CY11" t="e">
        <f t="shared" si="20"/>
        <v>#DIV/0!</v>
      </c>
      <c r="CZ11" t="e">
        <f t="shared" si="21"/>
        <v>#DIV/0!</v>
      </c>
      <c r="DA11" t="e">
        <f t="shared" si="22"/>
        <v>#DIV/0!</v>
      </c>
      <c r="DB11" t="e">
        <f t="shared" si="23"/>
        <v>#DIV/0!</v>
      </c>
      <c r="DC11" t="e">
        <f t="shared" si="24"/>
        <v>#DIV/0!</v>
      </c>
      <c r="DD11" t="e">
        <f t="shared" si="25"/>
        <v>#DIV/0!</v>
      </c>
    </row>
    <row r="12" spans="1:108" ht="20" customHeight="1" x14ac:dyDescent="0.2">
      <c r="A12" s="7" t="s">
        <v>7</v>
      </c>
      <c r="B12" s="14"/>
      <c r="C12" s="14"/>
      <c r="D12" s="14"/>
      <c r="E12" s="14"/>
      <c r="F12" s="14"/>
      <c r="G12" s="14">
        <v>193</v>
      </c>
      <c r="H12" s="14">
        <v>254</v>
      </c>
      <c r="I12" s="14">
        <v>268</v>
      </c>
      <c r="J12" s="14">
        <v>208</v>
      </c>
      <c r="K12" s="14">
        <v>235</v>
      </c>
      <c r="L12" s="14">
        <v>140</v>
      </c>
      <c r="M12" s="14">
        <v>186</v>
      </c>
      <c r="N12" s="14">
        <v>213</v>
      </c>
      <c r="O12" s="14">
        <v>216</v>
      </c>
      <c r="P12" s="14">
        <v>136</v>
      </c>
      <c r="Q12" s="14">
        <v>214</v>
      </c>
      <c r="R12" s="14">
        <v>226</v>
      </c>
      <c r="S12" s="14"/>
      <c r="T12" s="14"/>
      <c r="U12" s="15">
        <v>257</v>
      </c>
      <c r="V12" s="15"/>
      <c r="W12" s="15"/>
      <c r="X12" s="15"/>
      <c r="Y12" s="15"/>
      <c r="Z12" s="15"/>
      <c r="AA12" s="15"/>
      <c r="AB12" s="15"/>
      <c r="AC12" s="15"/>
      <c r="AD12" s="15"/>
      <c r="AE12" s="124"/>
      <c r="AF12" s="124">
        <f>39+57+58+21</f>
        <v>175</v>
      </c>
      <c r="AG12" s="124">
        <f>24+39+39+45+49+45+41+48+11</f>
        <v>341</v>
      </c>
      <c r="AH12" s="124">
        <f>27+24+36+43+67</f>
        <v>197</v>
      </c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Z12"/>
      <c r="CA12"/>
      <c r="CB12"/>
      <c r="CC12"/>
      <c r="CD12"/>
      <c r="CE12" t="e">
        <f t="shared" si="0"/>
        <v>#DIV/0!</v>
      </c>
      <c r="CF12">
        <f t="shared" si="1"/>
        <v>175</v>
      </c>
      <c r="CG12">
        <f t="shared" si="2"/>
        <v>258</v>
      </c>
      <c r="CH12">
        <f t="shared" si="3"/>
        <v>237.66666666666666</v>
      </c>
      <c r="CI12">
        <f t="shared" si="4"/>
        <v>237.66666666666666</v>
      </c>
      <c r="CJ12">
        <f t="shared" si="5"/>
        <v>237.66666666666666</v>
      </c>
      <c r="CK12">
        <f t="shared" si="6"/>
        <v>237.66666666666666</v>
      </c>
      <c r="CL12">
        <f t="shared" si="7"/>
        <v>237.66666666666666</v>
      </c>
      <c r="CM12">
        <f t="shared" si="8"/>
        <v>237.66666666666666</v>
      </c>
      <c r="CN12">
        <f t="shared" si="9"/>
        <v>237.66666666666666</v>
      </c>
      <c r="CO12">
        <f t="shared" si="10"/>
        <v>237.66666666666666</v>
      </c>
      <c r="CP12">
        <f t="shared" si="11"/>
        <v>269</v>
      </c>
      <c r="CQ12" t="e">
        <f t="shared" si="12"/>
        <v>#DIV/0!</v>
      </c>
      <c r="CR12" t="e">
        <f t="shared" si="13"/>
        <v>#DIV/0!</v>
      </c>
      <c r="CS12" t="e">
        <f t="shared" si="14"/>
        <v>#DIV/0!</v>
      </c>
      <c r="CT12" t="e">
        <f t="shared" si="15"/>
        <v>#DIV/0!</v>
      </c>
      <c r="CU12" t="e">
        <f t="shared" si="16"/>
        <v>#DIV/0!</v>
      </c>
      <c r="CV12" t="e">
        <f t="shared" si="17"/>
        <v>#DIV/0!</v>
      </c>
      <c r="CW12" t="e">
        <f t="shared" si="18"/>
        <v>#DIV/0!</v>
      </c>
      <c r="CX12" t="e">
        <f t="shared" si="19"/>
        <v>#DIV/0!</v>
      </c>
      <c r="CY12" t="e">
        <f t="shared" si="20"/>
        <v>#DIV/0!</v>
      </c>
      <c r="CZ12" t="e">
        <f t="shared" si="21"/>
        <v>#DIV/0!</v>
      </c>
      <c r="DA12" t="e">
        <f t="shared" si="22"/>
        <v>#DIV/0!</v>
      </c>
      <c r="DB12" t="e">
        <f t="shared" si="23"/>
        <v>#DIV/0!</v>
      </c>
      <c r="DC12" t="e">
        <f t="shared" si="24"/>
        <v>#DIV/0!</v>
      </c>
      <c r="DD12" t="e">
        <f t="shared" si="25"/>
        <v>#DIV/0!</v>
      </c>
    </row>
    <row r="13" spans="1:108" s="10" customFormat="1" ht="20" customHeight="1" x14ac:dyDescent="0.2">
      <c r="A13" s="9" t="s">
        <v>8</v>
      </c>
      <c r="B13" s="16"/>
      <c r="C13" s="16"/>
      <c r="D13" s="16"/>
      <c r="E13" s="16"/>
      <c r="F13" s="16"/>
      <c r="G13" s="16">
        <v>155</v>
      </c>
      <c r="H13" s="16">
        <v>137</v>
      </c>
      <c r="I13" s="16">
        <v>207</v>
      </c>
      <c r="J13" s="16">
        <v>243</v>
      </c>
      <c r="K13" s="16">
        <v>160</v>
      </c>
      <c r="L13" s="16">
        <v>186</v>
      </c>
      <c r="M13" s="16">
        <v>188</v>
      </c>
      <c r="N13" s="16">
        <v>163</v>
      </c>
      <c r="O13" s="16">
        <v>190</v>
      </c>
      <c r="P13" s="16">
        <v>153</v>
      </c>
      <c r="Q13" s="16">
        <v>206</v>
      </c>
      <c r="R13" s="16">
        <v>194</v>
      </c>
      <c r="S13" s="16"/>
      <c r="T13" s="16"/>
      <c r="U13" s="17">
        <v>213</v>
      </c>
      <c r="V13" s="17"/>
      <c r="W13" s="17"/>
      <c r="X13" s="17"/>
      <c r="Y13" s="17"/>
      <c r="Z13" s="17"/>
      <c r="AA13" s="17"/>
      <c r="AB13" s="17"/>
      <c r="AC13" s="17"/>
      <c r="AD13" s="17"/>
      <c r="AF13" s="10">
        <f>18+55+24</f>
        <v>97</v>
      </c>
      <c r="AG13" s="10">
        <f>49+51+39+31</f>
        <v>170</v>
      </c>
      <c r="AH13" s="10">
        <v>2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Z13"/>
      <c r="CA13"/>
      <c r="CB13"/>
      <c r="CC13"/>
      <c r="CD13"/>
      <c r="CE13" t="e">
        <f t="shared" si="0"/>
        <v>#DIV/0!</v>
      </c>
      <c r="CF13">
        <f t="shared" si="1"/>
        <v>97</v>
      </c>
      <c r="CG13">
        <f t="shared" si="2"/>
        <v>133.5</v>
      </c>
      <c r="CH13">
        <f t="shared" si="3"/>
        <v>89.666666666666671</v>
      </c>
      <c r="CI13">
        <f t="shared" si="4"/>
        <v>89.666666666666671</v>
      </c>
      <c r="CJ13">
        <f t="shared" si="5"/>
        <v>89.666666666666671</v>
      </c>
      <c r="CK13">
        <f t="shared" si="6"/>
        <v>89.666666666666671</v>
      </c>
      <c r="CL13">
        <f t="shared" si="7"/>
        <v>89.666666666666671</v>
      </c>
      <c r="CM13">
        <f t="shared" si="8"/>
        <v>89.666666666666671</v>
      </c>
      <c r="CN13">
        <f t="shared" si="9"/>
        <v>89.666666666666671</v>
      </c>
      <c r="CO13">
        <f t="shared" si="10"/>
        <v>89.666666666666671</v>
      </c>
      <c r="CP13">
        <f t="shared" si="11"/>
        <v>86</v>
      </c>
      <c r="CQ13" t="e">
        <f t="shared" si="12"/>
        <v>#DIV/0!</v>
      </c>
      <c r="CR13" t="e">
        <f t="shared" si="13"/>
        <v>#DIV/0!</v>
      </c>
      <c r="CS13" t="e">
        <f t="shared" si="14"/>
        <v>#DIV/0!</v>
      </c>
      <c r="CT13" t="e">
        <f t="shared" si="15"/>
        <v>#DIV/0!</v>
      </c>
      <c r="CU13" t="e">
        <f t="shared" si="16"/>
        <v>#DIV/0!</v>
      </c>
      <c r="CV13" t="e">
        <f t="shared" si="17"/>
        <v>#DIV/0!</v>
      </c>
      <c r="CW13" t="e">
        <f t="shared" si="18"/>
        <v>#DIV/0!</v>
      </c>
      <c r="CX13" t="e">
        <f t="shared" si="19"/>
        <v>#DIV/0!</v>
      </c>
      <c r="CY13" t="e">
        <f t="shared" si="20"/>
        <v>#DIV/0!</v>
      </c>
      <c r="CZ13" t="e">
        <f t="shared" si="21"/>
        <v>#DIV/0!</v>
      </c>
      <c r="DA13" t="e">
        <f t="shared" si="22"/>
        <v>#DIV/0!</v>
      </c>
      <c r="DB13" t="e">
        <f t="shared" si="23"/>
        <v>#DIV/0!</v>
      </c>
      <c r="DC13" t="e">
        <f t="shared" si="24"/>
        <v>#DIV/0!</v>
      </c>
      <c r="DD13" t="e">
        <f t="shared" si="25"/>
        <v>#DIV/0!</v>
      </c>
    </row>
    <row r="14" spans="1:108" ht="20" customHeight="1" x14ac:dyDescent="0.2">
      <c r="A14" s="7" t="s">
        <v>9</v>
      </c>
      <c r="B14" s="14"/>
      <c r="C14" s="14"/>
      <c r="D14" s="14"/>
      <c r="E14" s="14"/>
      <c r="F14" s="14"/>
      <c r="G14" s="14">
        <v>247</v>
      </c>
      <c r="H14" s="14">
        <v>254</v>
      </c>
      <c r="I14" s="14">
        <v>288</v>
      </c>
      <c r="J14" s="14">
        <v>215</v>
      </c>
      <c r="K14" s="14">
        <v>238</v>
      </c>
      <c r="L14" s="14">
        <v>234</v>
      </c>
      <c r="M14" s="14">
        <v>181</v>
      </c>
      <c r="N14" s="14">
        <v>199</v>
      </c>
      <c r="O14" s="14">
        <v>247</v>
      </c>
      <c r="P14" s="14">
        <v>170</v>
      </c>
      <c r="Q14" s="14">
        <v>344</v>
      </c>
      <c r="R14" s="14">
        <v>244</v>
      </c>
      <c r="S14" s="14"/>
      <c r="T14" s="14"/>
      <c r="U14" s="15">
        <v>380</v>
      </c>
      <c r="V14" s="15"/>
      <c r="W14" s="15"/>
      <c r="X14" s="15"/>
      <c r="Y14" s="15"/>
      <c r="Z14" s="15"/>
      <c r="AA14" s="15"/>
      <c r="AB14" s="15"/>
      <c r="AC14" s="15"/>
      <c r="AD14" s="15"/>
      <c r="AE14" s="124"/>
      <c r="AF14" s="124">
        <f>30+48+37</f>
        <v>115</v>
      </c>
      <c r="AG14" s="124">
        <f>16+48+8+35+54+47+29</f>
        <v>237</v>
      </c>
      <c r="AH14" s="124">
        <v>16</v>
      </c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Z14"/>
      <c r="CA14"/>
      <c r="CB14"/>
      <c r="CC14"/>
      <c r="CD14"/>
      <c r="CE14" t="e">
        <f t="shared" si="0"/>
        <v>#DIV/0!</v>
      </c>
      <c r="CF14">
        <f t="shared" si="1"/>
        <v>115</v>
      </c>
      <c r="CG14">
        <f t="shared" si="2"/>
        <v>176</v>
      </c>
      <c r="CH14">
        <f t="shared" si="3"/>
        <v>122.66666666666667</v>
      </c>
      <c r="CI14">
        <f t="shared" si="4"/>
        <v>122.66666666666667</v>
      </c>
      <c r="CJ14">
        <f t="shared" si="5"/>
        <v>122.66666666666667</v>
      </c>
      <c r="CK14">
        <f t="shared" si="6"/>
        <v>122.66666666666667</v>
      </c>
      <c r="CL14">
        <f t="shared" si="7"/>
        <v>122.66666666666667</v>
      </c>
      <c r="CM14">
        <f t="shared" si="8"/>
        <v>122.66666666666667</v>
      </c>
      <c r="CN14">
        <f t="shared" si="9"/>
        <v>122.66666666666667</v>
      </c>
      <c r="CO14">
        <f t="shared" si="10"/>
        <v>122.66666666666667</v>
      </c>
      <c r="CP14">
        <f t="shared" si="11"/>
        <v>126.5</v>
      </c>
      <c r="CQ14" t="e">
        <f t="shared" si="12"/>
        <v>#DIV/0!</v>
      </c>
      <c r="CR14" t="e">
        <f t="shared" si="13"/>
        <v>#DIV/0!</v>
      </c>
      <c r="CS14" t="e">
        <f t="shared" si="14"/>
        <v>#DIV/0!</v>
      </c>
      <c r="CT14" t="e">
        <f t="shared" si="15"/>
        <v>#DIV/0!</v>
      </c>
      <c r="CU14" t="e">
        <f t="shared" si="16"/>
        <v>#DIV/0!</v>
      </c>
      <c r="CV14" t="e">
        <f t="shared" si="17"/>
        <v>#DIV/0!</v>
      </c>
      <c r="CW14" t="e">
        <f t="shared" si="18"/>
        <v>#DIV/0!</v>
      </c>
      <c r="CX14" t="e">
        <f t="shared" si="19"/>
        <v>#DIV/0!</v>
      </c>
      <c r="CY14" t="e">
        <f t="shared" si="20"/>
        <v>#DIV/0!</v>
      </c>
      <c r="CZ14" t="e">
        <f t="shared" si="21"/>
        <v>#DIV/0!</v>
      </c>
      <c r="DA14" t="e">
        <f t="shared" si="22"/>
        <v>#DIV/0!</v>
      </c>
      <c r="DB14" t="e">
        <f t="shared" si="23"/>
        <v>#DIV/0!</v>
      </c>
      <c r="DC14" t="e">
        <f t="shared" si="24"/>
        <v>#DIV/0!</v>
      </c>
      <c r="DD14" t="e">
        <f t="shared" si="25"/>
        <v>#DIV/0!</v>
      </c>
    </row>
    <row r="15" spans="1:108" s="10" customFormat="1" ht="20" customHeight="1" x14ac:dyDescent="0.2">
      <c r="A15" s="9" t="s">
        <v>10</v>
      </c>
      <c r="B15" s="16"/>
      <c r="C15" s="16"/>
      <c r="D15" s="16"/>
      <c r="E15" s="16"/>
      <c r="F15" s="16"/>
      <c r="G15" s="16">
        <v>113</v>
      </c>
      <c r="H15" s="16">
        <v>62</v>
      </c>
      <c r="I15" s="16">
        <v>146</v>
      </c>
      <c r="J15" s="16">
        <v>91</v>
      </c>
      <c r="K15" s="16">
        <v>130</v>
      </c>
      <c r="L15" s="16">
        <v>112</v>
      </c>
      <c r="M15" s="16">
        <v>104</v>
      </c>
      <c r="N15" s="16">
        <v>90</v>
      </c>
      <c r="O15" s="16">
        <v>62</v>
      </c>
      <c r="P15" s="16">
        <v>136</v>
      </c>
      <c r="Q15" s="16">
        <v>157</v>
      </c>
      <c r="R15" s="16">
        <v>118</v>
      </c>
      <c r="S15" s="16"/>
      <c r="T15" s="16"/>
      <c r="U15" s="17">
        <v>123</v>
      </c>
      <c r="V15" s="17"/>
      <c r="W15" s="17"/>
      <c r="X15" s="17"/>
      <c r="Y15" s="17"/>
      <c r="Z15" s="17"/>
      <c r="AA15" s="17"/>
      <c r="AB15" s="17"/>
      <c r="AC15" s="17"/>
      <c r="AD15" s="17"/>
      <c r="AF15" s="10">
        <f>1+50+19</f>
        <v>70</v>
      </c>
      <c r="AG15" s="10">
        <f>17+40+29</f>
        <v>86</v>
      </c>
      <c r="AH15" s="10">
        <v>1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Z15"/>
      <c r="CA15"/>
      <c r="CB15"/>
      <c r="CC15"/>
      <c r="CD15"/>
      <c r="CE15" t="e">
        <f t="shared" si="0"/>
        <v>#DIV/0!</v>
      </c>
      <c r="CF15">
        <f t="shared" si="1"/>
        <v>70</v>
      </c>
      <c r="CG15">
        <f t="shared" si="2"/>
        <v>78</v>
      </c>
      <c r="CH15">
        <f t="shared" si="3"/>
        <v>52.333333333333336</v>
      </c>
      <c r="CI15">
        <f t="shared" si="4"/>
        <v>52.333333333333336</v>
      </c>
      <c r="CJ15">
        <f t="shared" si="5"/>
        <v>52.333333333333336</v>
      </c>
      <c r="CK15">
        <f t="shared" si="6"/>
        <v>52.333333333333336</v>
      </c>
      <c r="CL15">
        <f t="shared" si="7"/>
        <v>52.333333333333336</v>
      </c>
      <c r="CM15">
        <f t="shared" si="8"/>
        <v>52.333333333333336</v>
      </c>
      <c r="CN15">
        <f t="shared" si="9"/>
        <v>52.333333333333336</v>
      </c>
      <c r="CO15">
        <f t="shared" si="10"/>
        <v>52.333333333333336</v>
      </c>
      <c r="CP15">
        <f t="shared" si="11"/>
        <v>43.5</v>
      </c>
      <c r="CQ15" t="e">
        <f t="shared" si="12"/>
        <v>#DIV/0!</v>
      </c>
      <c r="CR15" t="e">
        <f t="shared" si="13"/>
        <v>#DIV/0!</v>
      </c>
      <c r="CS15" t="e">
        <f t="shared" si="14"/>
        <v>#DIV/0!</v>
      </c>
      <c r="CT15" t="e">
        <f t="shared" si="15"/>
        <v>#DIV/0!</v>
      </c>
      <c r="CU15" t="e">
        <f t="shared" si="16"/>
        <v>#DIV/0!</v>
      </c>
      <c r="CV15" t="e">
        <f t="shared" si="17"/>
        <v>#DIV/0!</v>
      </c>
      <c r="CW15" t="e">
        <f t="shared" si="18"/>
        <v>#DIV/0!</v>
      </c>
      <c r="CX15" t="e">
        <f t="shared" si="19"/>
        <v>#DIV/0!</v>
      </c>
      <c r="CY15" t="e">
        <f t="shared" si="20"/>
        <v>#DIV/0!</v>
      </c>
      <c r="CZ15" t="e">
        <f t="shared" si="21"/>
        <v>#DIV/0!</v>
      </c>
      <c r="DA15" t="e">
        <f t="shared" si="22"/>
        <v>#DIV/0!</v>
      </c>
      <c r="DB15" t="e">
        <f t="shared" si="23"/>
        <v>#DIV/0!</v>
      </c>
      <c r="DC15" t="e">
        <f t="shared" si="24"/>
        <v>#DIV/0!</v>
      </c>
      <c r="DD15" t="e">
        <f t="shared" si="25"/>
        <v>#DIV/0!</v>
      </c>
    </row>
    <row r="16" spans="1:108" ht="20" customHeight="1" x14ac:dyDescent="0.2">
      <c r="A16" s="7" t="s">
        <v>11</v>
      </c>
      <c r="B16" s="14"/>
      <c r="C16" s="14"/>
      <c r="D16" s="14"/>
      <c r="E16" s="14"/>
      <c r="F16" s="14"/>
      <c r="G16" s="14">
        <v>35</v>
      </c>
      <c r="H16" s="14">
        <v>70</v>
      </c>
      <c r="I16" s="14">
        <v>62</v>
      </c>
      <c r="J16" s="14">
        <v>81</v>
      </c>
      <c r="K16" s="14">
        <v>48</v>
      </c>
      <c r="L16" s="14">
        <v>54</v>
      </c>
      <c r="M16" s="14">
        <v>88</v>
      </c>
      <c r="N16" s="14">
        <v>33</v>
      </c>
      <c r="O16" s="14">
        <v>55</v>
      </c>
      <c r="P16" s="14">
        <v>47</v>
      </c>
      <c r="Q16" s="14">
        <v>125</v>
      </c>
      <c r="R16" s="14">
        <v>53</v>
      </c>
      <c r="S16" s="14"/>
      <c r="T16" s="14"/>
      <c r="U16" s="15">
        <v>75</v>
      </c>
      <c r="V16" s="15"/>
      <c r="W16" s="15"/>
      <c r="X16" s="15"/>
      <c r="Y16" s="15"/>
      <c r="Z16" s="15"/>
      <c r="AA16" s="15"/>
      <c r="AB16" s="15"/>
      <c r="AC16" s="15"/>
      <c r="AD16" s="15"/>
      <c r="AE16" s="124"/>
      <c r="AF16" s="124">
        <f>22+29</f>
        <v>51</v>
      </c>
      <c r="AG16" s="124">
        <f>16+46+6</f>
        <v>68</v>
      </c>
      <c r="AH16" s="124">
        <v>7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Z16"/>
      <c r="CA16"/>
      <c r="CB16"/>
      <c r="CC16"/>
      <c r="CD16"/>
      <c r="CE16" t="e">
        <f t="shared" si="0"/>
        <v>#DIV/0!</v>
      </c>
      <c r="CF16">
        <f t="shared" si="1"/>
        <v>51</v>
      </c>
      <c r="CG16">
        <f t="shared" si="2"/>
        <v>59.5</v>
      </c>
      <c r="CH16">
        <f t="shared" si="3"/>
        <v>42</v>
      </c>
      <c r="CI16">
        <f t="shared" si="4"/>
        <v>42</v>
      </c>
      <c r="CJ16">
        <f t="shared" si="5"/>
        <v>42</v>
      </c>
      <c r="CK16">
        <f t="shared" si="6"/>
        <v>42</v>
      </c>
      <c r="CL16">
        <f t="shared" si="7"/>
        <v>42</v>
      </c>
      <c r="CM16">
        <f t="shared" si="8"/>
        <v>42</v>
      </c>
      <c r="CN16">
        <f t="shared" si="9"/>
        <v>42</v>
      </c>
      <c r="CO16">
        <f t="shared" si="10"/>
        <v>42</v>
      </c>
      <c r="CP16">
        <f t="shared" si="11"/>
        <v>37.5</v>
      </c>
      <c r="CQ16" t="e">
        <f t="shared" si="12"/>
        <v>#DIV/0!</v>
      </c>
      <c r="CR16" t="e">
        <f t="shared" si="13"/>
        <v>#DIV/0!</v>
      </c>
      <c r="CS16" t="e">
        <f t="shared" si="14"/>
        <v>#DIV/0!</v>
      </c>
      <c r="CT16" t="e">
        <f t="shared" si="15"/>
        <v>#DIV/0!</v>
      </c>
      <c r="CU16" t="e">
        <f t="shared" si="16"/>
        <v>#DIV/0!</v>
      </c>
      <c r="CV16" t="e">
        <f t="shared" si="17"/>
        <v>#DIV/0!</v>
      </c>
      <c r="CW16" t="e">
        <f t="shared" si="18"/>
        <v>#DIV/0!</v>
      </c>
      <c r="CX16" t="e">
        <f t="shared" si="19"/>
        <v>#DIV/0!</v>
      </c>
      <c r="CY16" t="e">
        <f t="shared" si="20"/>
        <v>#DIV/0!</v>
      </c>
      <c r="CZ16" t="e">
        <f t="shared" si="21"/>
        <v>#DIV/0!</v>
      </c>
      <c r="DA16" t="e">
        <f t="shared" si="22"/>
        <v>#DIV/0!</v>
      </c>
      <c r="DB16" t="e">
        <f t="shared" si="23"/>
        <v>#DIV/0!</v>
      </c>
      <c r="DC16" t="e">
        <f t="shared" si="24"/>
        <v>#DIV/0!</v>
      </c>
      <c r="DD16" t="e">
        <f t="shared" si="25"/>
        <v>#DIV/0!</v>
      </c>
    </row>
    <row r="17" spans="1:81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1" s="25" customFormat="1" ht="20" customHeight="1" x14ac:dyDescent="0.2">
      <c r="A18" s="21" t="s">
        <v>32</v>
      </c>
      <c r="B18" s="22">
        <f>SUM(B5:B16)</f>
        <v>0</v>
      </c>
      <c r="C18" s="22">
        <f t="shared" ref="C18:AE18" si="26">SUM(C5:C16)</f>
        <v>0</v>
      </c>
      <c r="D18" s="22">
        <f t="shared" si="26"/>
        <v>0</v>
      </c>
      <c r="E18" s="22">
        <f t="shared" si="26"/>
        <v>0</v>
      </c>
      <c r="F18" s="22">
        <f t="shared" si="26"/>
        <v>0</v>
      </c>
      <c r="G18" s="22">
        <f t="shared" si="26"/>
        <v>1274</v>
      </c>
      <c r="H18" s="22">
        <f t="shared" si="26"/>
        <v>1705</v>
      </c>
      <c r="I18" s="22">
        <f t="shared" si="26"/>
        <v>2141</v>
      </c>
      <c r="J18" s="22">
        <f t="shared" si="26"/>
        <v>1579</v>
      </c>
      <c r="K18" s="22">
        <f t="shared" si="26"/>
        <v>1461</v>
      </c>
      <c r="L18" s="22">
        <f t="shared" si="26"/>
        <v>1549</v>
      </c>
      <c r="M18" s="22">
        <f t="shared" si="26"/>
        <v>1889</v>
      </c>
      <c r="N18" s="22">
        <f t="shared" si="26"/>
        <v>1588</v>
      </c>
      <c r="O18" s="22">
        <f t="shared" si="26"/>
        <v>1703</v>
      </c>
      <c r="P18" s="22">
        <f t="shared" si="26"/>
        <v>1502</v>
      </c>
      <c r="Q18" s="22">
        <f t="shared" si="26"/>
        <v>1906</v>
      </c>
      <c r="R18" s="22">
        <f t="shared" si="26"/>
        <v>1705</v>
      </c>
      <c r="S18" s="22">
        <f t="shared" si="26"/>
        <v>0</v>
      </c>
      <c r="T18" s="22">
        <f t="shared" si="26"/>
        <v>0</v>
      </c>
      <c r="U18" s="22">
        <f t="shared" si="26"/>
        <v>1544</v>
      </c>
      <c r="V18" s="22">
        <f t="shared" si="26"/>
        <v>0</v>
      </c>
      <c r="W18" s="22">
        <f t="shared" si="26"/>
        <v>0</v>
      </c>
      <c r="X18" s="22">
        <f t="shared" si="26"/>
        <v>0</v>
      </c>
      <c r="Y18" s="22">
        <f t="shared" si="26"/>
        <v>0</v>
      </c>
      <c r="Z18" s="22">
        <f t="shared" si="26"/>
        <v>0</v>
      </c>
      <c r="AA18" s="22">
        <f t="shared" si="26"/>
        <v>0</v>
      </c>
      <c r="AB18" s="22">
        <f t="shared" si="26"/>
        <v>0</v>
      </c>
      <c r="AC18" s="22">
        <f t="shared" si="26"/>
        <v>0</v>
      </c>
      <c r="AD18" s="22">
        <f t="shared" si="26"/>
        <v>0</v>
      </c>
      <c r="AE18" s="22">
        <f t="shared" si="26"/>
        <v>0</v>
      </c>
      <c r="AF18" s="22">
        <f>SUM(AF4:AF16)</f>
        <v>1025</v>
      </c>
      <c r="AG18" s="22">
        <f>SUM(AF5:AF16)</f>
        <v>1025</v>
      </c>
      <c r="AH18" s="22">
        <f>SUM(AH5:AH16)</f>
        <v>1217</v>
      </c>
      <c r="AI18" s="22">
        <f t="shared" ref="AI18:AZ18" si="27">SUM(AI5:AI16)</f>
        <v>0</v>
      </c>
      <c r="AJ18" s="22">
        <f t="shared" si="27"/>
        <v>0</v>
      </c>
      <c r="AK18" s="22">
        <f t="shared" si="27"/>
        <v>0</v>
      </c>
      <c r="AL18" s="22">
        <f t="shared" si="27"/>
        <v>0</v>
      </c>
      <c r="AM18" s="22">
        <f t="shared" si="27"/>
        <v>0</v>
      </c>
      <c r="AN18" s="22">
        <f t="shared" si="27"/>
        <v>0</v>
      </c>
      <c r="AO18" s="22">
        <f t="shared" si="27"/>
        <v>0</v>
      </c>
      <c r="AP18" s="22">
        <f t="shared" si="27"/>
        <v>0</v>
      </c>
      <c r="AQ18" s="22">
        <f t="shared" si="27"/>
        <v>0</v>
      </c>
      <c r="AR18" s="22">
        <f t="shared" si="27"/>
        <v>0</v>
      </c>
      <c r="AS18" s="22">
        <f t="shared" si="27"/>
        <v>0</v>
      </c>
      <c r="AT18" s="22">
        <f t="shared" si="27"/>
        <v>0</v>
      </c>
      <c r="AU18" s="22">
        <f t="shared" si="27"/>
        <v>0</v>
      </c>
      <c r="AV18" s="22">
        <f t="shared" si="27"/>
        <v>0</v>
      </c>
      <c r="AW18" s="22">
        <f t="shared" si="27"/>
        <v>0</v>
      </c>
      <c r="AX18" s="22">
        <f t="shared" si="27"/>
        <v>0</v>
      </c>
      <c r="AY18" s="22">
        <f t="shared" si="27"/>
        <v>0</v>
      </c>
      <c r="AZ18" s="22">
        <f t="shared" si="27"/>
        <v>0</v>
      </c>
      <c r="BA18" s="24"/>
      <c r="BY18" s="25">
        <f>AVERAGE(Q18:Z18)</f>
        <v>515.5</v>
      </c>
      <c r="BZ18" s="25">
        <f>AVERAGE(R18:AA18)</f>
        <v>324.89999999999998</v>
      </c>
      <c r="CA18" s="25">
        <f>AVERAGE(S18:AB18)</f>
        <v>154.4</v>
      </c>
      <c r="CB18" s="25">
        <f>AVERAGE(T18:AC18)</f>
        <v>154.4</v>
      </c>
      <c r="CC18" s="25">
        <f>AVERAGE(U18:AD18)</f>
        <v>154.4</v>
      </c>
    </row>
    <row r="19" spans="1:81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1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1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1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1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1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1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1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1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1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1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1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1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1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 codeName="Sheet32">
    <tabColor theme="9" tint="0.39997558519241921"/>
  </sheetPr>
  <dimension ref="A1:DF192"/>
  <sheetViews>
    <sheetView defaultGridColor="0" colorId="22" zoomScale="70" zoomScaleNormal="70" workbookViewId="0">
      <pane xSplit="1" topLeftCell="B1" activePane="topRight" state="frozen"/>
      <selection activeCell="AT39" sqref="AT39"/>
      <selection pane="topRight" activeCell="AG12" sqref="AG12"/>
    </sheetView>
  </sheetViews>
  <sheetFormatPr baseColWidth="10" defaultColWidth="9.42578125" defaultRowHeight="20" customHeight="1" x14ac:dyDescent="0.2"/>
  <cols>
    <col min="1" max="1" width="11.28515625" style="5" customWidth="1"/>
    <col min="2" max="16" width="5.7109375" style="5" hidden="1" customWidth="1"/>
    <col min="17" max="17" width="6.5703125" style="5" hidden="1" customWidth="1"/>
    <col min="18" max="22" width="5.7109375" style="5" hidden="1" customWidth="1"/>
    <col min="23" max="29" width="5.7109375" style="5" customWidth="1"/>
    <col min="30" max="30" width="6.7109375" style="5" customWidth="1"/>
    <col min="31" max="32" width="9.42578125" customWidth="1"/>
    <col min="33" max="33" width="11.28515625" customWidth="1"/>
    <col min="34" max="52" width="9.42578125" hidden="1" customWidth="1"/>
    <col min="53" max="74" width="9.42578125" style="5" hidden="1" customWidth="1"/>
    <col min="75" max="75" width="4.7109375" style="5" hidden="1" customWidth="1"/>
    <col min="76" max="76" width="8.42578125" style="5" hidden="1" customWidth="1"/>
    <col min="77" max="77" width="8.42578125" style="5" customWidth="1"/>
    <col min="78" max="78" width="21" style="5" customWidth="1"/>
    <col min="79" max="79" width="20.28515625" style="5" customWidth="1"/>
    <col min="80" max="81" width="16.42578125" style="5" customWidth="1"/>
    <col min="82" max="82" width="17.7109375" style="5" customWidth="1"/>
    <col min="83" max="83" width="16.85546875" style="5" customWidth="1"/>
    <col min="84" max="110" width="9.42578125" style="5" hidden="1" customWidth="1"/>
    <col min="111" max="115" width="9.42578125" style="5" customWidth="1"/>
    <col min="116" max="16384" width="9.42578125" style="5"/>
  </cols>
  <sheetData>
    <row r="1" spans="1:109" s="34" customFormat="1" ht="25" customHeight="1" x14ac:dyDescent="0.2">
      <c r="A1" s="31" t="s">
        <v>13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BA1" s="35"/>
      <c r="BE1" s="35"/>
    </row>
    <row r="2" spans="1:109" s="34" customFormat="1" ht="25" customHeight="1" x14ac:dyDescent="0.25">
      <c r="A2" s="36" t="s">
        <v>49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BA2" s="35"/>
      <c r="BB2" s="35"/>
      <c r="BE2" s="35"/>
    </row>
    <row r="3" spans="1:109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28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114">
        <v>2023</v>
      </c>
      <c r="BZ3" s="77" t="s">
        <v>81</v>
      </c>
      <c r="CA3" s="77" t="s">
        <v>83</v>
      </c>
      <c r="CB3" s="77" t="s">
        <v>92</v>
      </c>
      <c r="CC3" s="77" t="s">
        <v>96</v>
      </c>
      <c r="CD3" s="77" t="s">
        <v>102</v>
      </c>
      <c r="CE3" s="38" t="s">
        <v>101</v>
      </c>
      <c r="CF3" s="114">
        <v>2021</v>
      </c>
      <c r="CG3" s="114">
        <v>2022</v>
      </c>
      <c r="CH3" s="114">
        <v>2023</v>
      </c>
      <c r="CI3" s="114">
        <v>2024</v>
      </c>
      <c r="CJ3" s="114">
        <v>2025</v>
      </c>
      <c r="CK3" s="114">
        <v>2026</v>
      </c>
      <c r="CL3" s="114">
        <v>2027</v>
      </c>
      <c r="CM3" s="114">
        <v>2028</v>
      </c>
      <c r="CN3" s="114">
        <v>2029</v>
      </c>
      <c r="CO3" s="114">
        <v>2030</v>
      </c>
      <c r="CP3" s="114">
        <v>2031</v>
      </c>
      <c r="CQ3" s="114">
        <v>2032</v>
      </c>
      <c r="CR3" s="114">
        <v>2033</v>
      </c>
      <c r="CS3" s="114">
        <v>2034</v>
      </c>
      <c r="CT3" s="114">
        <v>2035</v>
      </c>
      <c r="CU3" s="114">
        <v>2036</v>
      </c>
      <c r="CV3" s="114">
        <v>2037</v>
      </c>
      <c r="CW3" s="114">
        <v>2038</v>
      </c>
      <c r="CX3" s="114">
        <v>2039</v>
      </c>
      <c r="CY3" s="114">
        <v>2040</v>
      </c>
      <c r="CZ3" s="114">
        <v>2041</v>
      </c>
      <c r="DA3" s="114">
        <v>2042</v>
      </c>
      <c r="DB3" s="114">
        <v>2043</v>
      </c>
      <c r="DC3" s="114">
        <v>2044</v>
      </c>
      <c r="DD3" s="114">
        <v>2045</v>
      </c>
      <c r="DE3" s="114">
        <v>2046</v>
      </c>
    </row>
    <row r="4" spans="1:109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  <c r="BY4" s="124"/>
    </row>
    <row r="5" spans="1:109" s="10" customFormat="1" ht="20" customHeight="1" x14ac:dyDescent="0.2">
      <c r="A5" s="9" t="s">
        <v>0</v>
      </c>
      <c r="B5" s="16">
        <v>67</v>
      </c>
      <c r="C5" s="16">
        <v>33</v>
      </c>
      <c r="D5" s="16">
        <v>34</v>
      </c>
      <c r="E5" s="16">
        <v>25</v>
      </c>
      <c r="F5" s="16">
        <v>64</v>
      </c>
      <c r="G5" s="16">
        <v>17</v>
      </c>
      <c r="H5" s="16">
        <v>27</v>
      </c>
      <c r="I5" s="16">
        <v>70</v>
      </c>
      <c r="J5" s="16">
        <v>33</v>
      </c>
      <c r="K5" s="16">
        <v>59</v>
      </c>
      <c r="L5" s="16">
        <v>25</v>
      </c>
      <c r="M5" s="16">
        <v>75</v>
      </c>
      <c r="N5" s="16">
        <v>19</v>
      </c>
      <c r="O5" s="16">
        <v>5</v>
      </c>
      <c r="P5" s="16">
        <v>29</v>
      </c>
      <c r="Q5" s="16">
        <v>22</v>
      </c>
      <c r="R5" s="16">
        <v>26</v>
      </c>
      <c r="S5" s="16"/>
      <c r="T5" s="16"/>
      <c r="U5" s="17">
        <v>14</v>
      </c>
      <c r="V5" s="17"/>
      <c r="W5" s="17">
        <v>56</v>
      </c>
      <c r="X5" s="17">
        <v>50</v>
      </c>
      <c r="Y5" s="17">
        <v>44</v>
      </c>
      <c r="Z5" s="17">
        <v>29</v>
      </c>
      <c r="AA5" s="17">
        <v>88</v>
      </c>
      <c r="AB5" s="17">
        <v>12</v>
      </c>
      <c r="AC5" s="17">
        <v>78</v>
      </c>
      <c r="AD5" s="17">
        <v>20</v>
      </c>
      <c r="AE5" s="99">
        <v>36.666666666666664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 t="shared" ref="BJ5:BJ16" si="0">AVERAGE(B5:K5)</f>
        <v>42.9</v>
      </c>
      <c r="BK5">
        <f t="shared" ref="BK5:BK16" si="1">AVERAGE(C5:L5)</f>
        <v>38.700000000000003</v>
      </c>
      <c r="BL5">
        <f t="shared" ref="BL5:BL16" si="2">AVERAGE(D5:M5)</f>
        <v>42.9</v>
      </c>
      <c r="BM5">
        <f t="shared" ref="BM5:BM16" si="3">AVERAGE(E5:N5)</f>
        <v>41.4</v>
      </c>
      <c r="BN5">
        <f t="shared" ref="BN5:BN16" si="4">AVERAGE(F5:O5)</f>
        <v>39.4</v>
      </c>
      <c r="BO5">
        <f t="shared" ref="BO5:BO16" si="5">AVERAGE(G5:P5)</f>
        <v>35.9</v>
      </c>
      <c r="BP5">
        <f t="shared" ref="BP5:BP16" si="6">AVERAGE(H5:Q5)</f>
        <v>36.4</v>
      </c>
      <c r="BQ5">
        <f t="shared" ref="BQ5:BQ16" si="7">AVERAGE(I5:R5)</f>
        <v>36.299999999999997</v>
      </c>
      <c r="BR5">
        <f t="shared" ref="BR5:BR16" si="8">AVERAGE(J5:S5)</f>
        <v>32.555555555555557</v>
      </c>
      <c r="BS5">
        <f t="shared" ref="BS5:BS16" si="9">AVERAGE(K5:T5)</f>
        <v>32.5</v>
      </c>
      <c r="BT5">
        <f t="shared" ref="BT5:BT16" si="10">AVERAGE(L5:U5)</f>
        <v>26.875</v>
      </c>
      <c r="BU5">
        <f t="shared" ref="BU5:BU16" si="11">AVERAGE(M5:V5)</f>
        <v>27.142857142857142</v>
      </c>
      <c r="BV5">
        <f t="shared" ref="BV5:BV16" si="12">AVERAGE(N5:W5)</f>
        <v>24.428571428571427</v>
      </c>
      <c r="BW5">
        <f t="shared" ref="BW5:BW16" si="13">AVERAGE(O5:X5)</f>
        <v>28.857142857142858</v>
      </c>
      <c r="BX5">
        <f t="shared" ref="BX5:BX16" si="14">AVERAGE(P5:Y5)</f>
        <v>34.428571428571431</v>
      </c>
      <c r="BY5" s="10">
        <f>14+18</f>
        <v>32</v>
      </c>
      <c r="BZ5">
        <f t="shared" ref="BZ5:BZ16" si="15">AVERAGE(Q5:Z5)</f>
        <v>34.428571428571431</v>
      </c>
      <c r="CA5">
        <f t="shared" ref="CA5:CA16" si="16">AVERAGE(R5:AA5)</f>
        <v>43.857142857142854</v>
      </c>
      <c r="CB5">
        <f t="shared" ref="CB5:CB16" si="17">AVERAGE(S5:AB5)</f>
        <v>41.857142857142854</v>
      </c>
      <c r="CC5">
        <f t="shared" ref="CC5:CC16" si="18">AVERAGE(T5:AC5)</f>
        <v>46.375</v>
      </c>
      <c r="CD5">
        <f t="shared" ref="CD5:CD16" si="19">AVERAGE(U5:AD5)</f>
        <v>43.444444444444443</v>
      </c>
      <c r="CE5">
        <f t="shared" ref="CE5:CE16" si="20">AVERAGE(V5:AE5)</f>
        <v>45.962962962962962</v>
      </c>
      <c r="CF5">
        <f t="shared" ref="CF5:CF16" si="21">AVERAGE(W5:AF5)</f>
        <v>45.962962962962962</v>
      </c>
      <c r="CG5">
        <f t="shared" ref="CG5:CG16" si="22">AVERAGE(X5:AG5)</f>
        <v>44.708333333333336</v>
      </c>
      <c r="CH5">
        <f t="shared" ref="CH5:CH16" si="23">AVERAGE(Y5:AH5)</f>
        <v>43.952380952380956</v>
      </c>
      <c r="CI5">
        <f t="shared" ref="CI5:CI16" si="24">AVERAGE(Z5:AI5)</f>
        <v>43.94444444444445</v>
      </c>
      <c r="CJ5">
        <f t="shared" ref="CJ5:CJ16" si="25">AVERAGE(AA5:AJ5)</f>
        <v>46.93333333333333</v>
      </c>
      <c r="CK5">
        <f t="shared" ref="CK5:CK16" si="26">AVERAGE(AB5:AK5)</f>
        <v>36.666666666666664</v>
      </c>
      <c r="CL5">
        <f t="shared" ref="CL5:CL16" si="27">AVERAGE(AC5:AL5)</f>
        <v>44.888888888888886</v>
      </c>
      <c r="CM5">
        <f t="shared" ref="CM5:CM16" si="28">AVERAGE(AD5:AM5)</f>
        <v>28.333333333333332</v>
      </c>
      <c r="CN5">
        <f t="shared" ref="CN5:CN16" si="29">AVERAGE(AE5:AN5)</f>
        <v>36.666666666666664</v>
      </c>
      <c r="CO5" t="e">
        <f t="shared" ref="CO5:CO16" si="30">AVERAGE(AF5:AO5)</f>
        <v>#DIV/0!</v>
      </c>
      <c r="CP5" t="e">
        <f t="shared" ref="CP5:CP16" si="31">AVERAGE(AG5:AP5)</f>
        <v>#DIV/0!</v>
      </c>
      <c r="CQ5" t="e">
        <f t="shared" ref="CQ5:CQ16" si="32">AVERAGE(AH5:AQ5)</f>
        <v>#DIV/0!</v>
      </c>
      <c r="CR5" t="e">
        <f t="shared" ref="CR5:CR16" si="33">AVERAGE(AI5:AR5)</f>
        <v>#DIV/0!</v>
      </c>
      <c r="CS5" t="e">
        <f t="shared" ref="CS5:CS16" si="34">AVERAGE(AJ5:AS5)</f>
        <v>#DIV/0!</v>
      </c>
      <c r="CT5" t="e">
        <f t="shared" ref="CT5:CT16" si="35">AVERAGE(AK5:AT5)</f>
        <v>#DIV/0!</v>
      </c>
      <c r="CU5" t="e">
        <f t="shared" ref="CU5:CU16" si="36">AVERAGE(AL5:AU5)</f>
        <v>#DIV/0!</v>
      </c>
      <c r="CV5" t="e">
        <f t="shared" ref="CV5:CV16" si="37">AVERAGE(AM5:AV5)</f>
        <v>#DIV/0!</v>
      </c>
      <c r="CW5" t="e">
        <f t="shared" ref="CW5:CW16" si="38">AVERAGE(AN5:AW5)</f>
        <v>#DIV/0!</v>
      </c>
      <c r="CX5" t="e">
        <f t="shared" ref="CX5:CX16" si="39">AVERAGE(AO5:AX5)</f>
        <v>#DIV/0!</v>
      </c>
      <c r="CY5" t="e">
        <f t="shared" ref="CY5:CY16" si="40">AVERAGE(AP5:AY5)</f>
        <v>#DIV/0!</v>
      </c>
      <c r="CZ5" t="e">
        <f t="shared" ref="CZ5:CZ16" si="41">AVERAGE(AQ5:AZ5)</f>
        <v>#DIV/0!</v>
      </c>
      <c r="DA5" t="e">
        <f t="shared" ref="DA5:DA16" si="42">AVERAGE(AR5:BA5)</f>
        <v>#DIV/0!</v>
      </c>
      <c r="DB5" t="e">
        <f t="shared" ref="DB5:DB16" si="43">AVERAGE(AS5:BB5)</f>
        <v>#N/A</v>
      </c>
      <c r="DC5" t="e">
        <f t="shared" ref="DC5:DC16" si="44">AVERAGE(AT5:BC5)</f>
        <v>#N/A</v>
      </c>
      <c r="DD5" t="e">
        <f t="shared" ref="DD5:DD16" si="45">AVERAGE(AU5:BD5)</f>
        <v>#N/A</v>
      </c>
      <c r="DE5" t="e">
        <f t="shared" ref="DE5:DE16" si="46">AVERAGE(AV5:BE5)</f>
        <v>#N/A</v>
      </c>
    </row>
    <row r="6" spans="1:109" ht="20" customHeight="1" x14ac:dyDescent="0.2">
      <c r="A6" s="7" t="s">
        <v>1</v>
      </c>
      <c r="B6" s="14">
        <v>45</v>
      </c>
      <c r="C6" s="14">
        <v>14</v>
      </c>
      <c r="D6" s="14">
        <v>34</v>
      </c>
      <c r="E6" s="14">
        <v>62</v>
      </c>
      <c r="F6" s="14">
        <v>43</v>
      </c>
      <c r="G6" s="14">
        <v>33</v>
      </c>
      <c r="H6" s="14">
        <v>29</v>
      </c>
      <c r="I6" s="14">
        <v>66</v>
      </c>
      <c r="J6" s="14">
        <v>53</v>
      </c>
      <c r="K6" s="14">
        <v>21</v>
      </c>
      <c r="L6" s="14">
        <v>77</v>
      </c>
      <c r="M6" s="14">
        <v>69</v>
      </c>
      <c r="N6" s="14">
        <v>47</v>
      </c>
      <c r="O6" s="14">
        <v>19</v>
      </c>
      <c r="P6" s="14">
        <v>48</v>
      </c>
      <c r="Q6" s="14">
        <v>35</v>
      </c>
      <c r="R6" s="14">
        <v>43</v>
      </c>
      <c r="S6" s="14"/>
      <c r="T6" s="14"/>
      <c r="U6" s="15">
        <v>48</v>
      </c>
      <c r="V6" s="15"/>
      <c r="W6" s="15">
        <v>79</v>
      </c>
      <c r="X6" s="15">
        <v>44</v>
      </c>
      <c r="Y6" s="15">
        <v>22</v>
      </c>
      <c r="Z6" s="15">
        <v>21</v>
      </c>
      <c r="AA6" s="15">
        <v>70</v>
      </c>
      <c r="AB6" s="15">
        <v>86</v>
      </c>
      <c r="AC6" s="15">
        <v>96</v>
      </c>
      <c r="AD6" s="15">
        <v>39</v>
      </c>
      <c r="AE6" s="99">
        <v>73.666666666666671</v>
      </c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si="0"/>
        <v>40</v>
      </c>
      <c r="BK6">
        <f t="shared" si="1"/>
        <v>43.2</v>
      </c>
      <c r="BL6">
        <f t="shared" si="2"/>
        <v>48.7</v>
      </c>
      <c r="BM6">
        <f t="shared" si="3"/>
        <v>50</v>
      </c>
      <c r="BN6">
        <f t="shared" si="4"/>
        <v>45.7</v>
      </c>
      <c r="BO6">
        <f t="shared" si="5"/>
        <v>46.2</v>
      </c>
      <c r="BP6">
        <f t="shared" si="6"/>
        <v>46.4</v>
      </c>
      <c r="BQ6">
        <f t="shared" si="7"/>
        <v>47.8</v>
      </c>
      <c r="BR6">
        <f t="shared" si="8"/>
        <v>45.777777777777779</v>
      </c>
      <c r="BS6">
        <f t="shared" si="9"/>
        <v>44.875</v>
      </c>
      <c r="BT6">
        <f t="shared" si="10"/>
        <v>48.25</v>
      </c>
      <c r="BU6">
        <f t="shared" si="11"/>
        <v>44.142857142857146</v>
      </c>
      <c r="BV6">
        <f t="shared" si="12"/>
        <v>45.571428571428569</v>
      </c>
      <c r="BW6">
        <f t="shared" si="13"/>
        <v>45.142857142857146</v>
      </c>
      <c r="BX6">
        <f t="shared" si="14"/>
        <v>45.571428571428569</v>
      </c>
      <c r="BY6" s="124">
        <f>8+8</f>
        <v>16</v>
      </c>
      <c r="BZ6">
        <f t="shared" si="15"/>
        <v>41.714285714285715</v>
      </c>
      <c r="CA6">
        <f t="shared" si="16"/>
        <v>46.714285714285715</v>
      </c>
      <c r="CB6">
        <f t="shared" si="17"/>
        <v>52.857142857142854</v>
      </c>
      <c r="CC6">
        <f t="shared" si="18"/>
        <v>58.25</v>
      </c>
      <c r="CD6">
        <f t="shared" si="19"/>
        <v>56.111111111111114</v>
      </c>
      <c r="CE6">
        <f t="shared" si="20"/>
        <v>58.962962962962962</v>
      </c>
      <c r="CF6">
        <f t="shared" si="21"/>
        <v>58.962962962962962</v>
      </c>
      <c r="CG6">
        <f t="shared" si="22"/>
        <v>56.458333333333336</v>
      </c>
      <c r="CH6">
        <f t="shared" si="23"/>
        <v>58.238095238095241</v>
      </c>
      <c r="CI6">
        <f t="shared" si="24"/>
        <v>64.277777777777786</v>
      </c>
      <c r="CJ6">
        <f t="shared" si="25"/>
        <v>72.933333333333337</v>
      </c>
      <c r="CK6">
        <f t="shared" si="26"/>
        <v>73.666666666666671</v>
      </c>
      <c r="CL6">
        <f t="shared" si="27"/>
        <v>69.555555555555557</v>
      </c>
      <c r="CM6">
        <f t="shared" si="28"/>
        <v>56.333333333333336</v>
      </c>
      <c r="CN6">
        <f t="shared" si="29"/>
        <v>73.666666666666671</v>
      </c>
      <c r="CO6" t="e">
        <f t="shared" si="30"/>
        <v>#DIV/0!</v>
      </c>
      <c r="CP6" t="e">
        <f t="shared" si="31"/>
        <v>#DIV/0!</v>
      </c>
      <c r="CQ6" t="e">
        <f t="shared" si="32"/>
        <v>#DIV/0!</v>
      </c>
      <c r="CR6" t="e">
        <f t="shared" si="33"/>
        <v>#DIV/0!</v>
      </c>
      <c r="CS6" t="e">
        <f t="shared" si="34"/>
        <v>#DIV/0!</v>
      </c>
      <c r="CT6" t="e">
        <f t="shared" si="35"/>
        <v>#DIV/0!</v>
      </c>
      <c r="CU6" t="e">
        <f t="shared" si="36"/>
        <v>#DIV/0!</v>
      </c>
      <c r="CV6" t="e">
        <f t="shared" si="37"/>
        <v>#DIV/0!</v>
      </c>
      <c r="CW6" t="e">
        <f t="shared" si="38"/>
        <v>#DIV/0!</v>
      </c>
      <c r="CX6" t="e">
        <f t="shared" si="39"/>
        <v>#DIV/0!</v>
      </c>
      <c r="CY6" t="e">
        <f t="shared" si="40"/>
        <v>#DIV/0!</v>
      </c>
      <c r="CZ6" t="e">
        <f t="shared" si="41"/>
        <v>#DIV/0!</v>
      </c>
      <c r="DA6" t="e">
        <f t="shared" si="42"/>
        <v>#N/A</v>
      </c>
      <c r="DB6" t="e">
        <f t="shared" si="43"/>
        <v>#N/A</v>
      </c>
      <c r="DC6" t="e">
        <f t="shared" si="44"/>
        <v>#N/A</v>
      </c>
      <c r="DD6" t="e">
        <f t="shared" si="45"/>
        <v>#N/A</v>
      </c>
      <c r="DE6" t="e">
        <f t="shared" si="46"/>
        <v>#N/A</v>
      </c>
    </row>
    <row r="7" spans="1:109" s="10" customFormat="1" ht="20" customHeight="1" x14ac:dyDescent="0.2">
      <c r="A7" s="9" t="s">
        <v>2</v>
      </c>
      <c r="B7" s="16">
        <v>55</v>
      </c>
      <c r="C7" s="16">
        <v>1</v>
      </c>
      <c r="D7" s="16">
        <v>15</v>
      </c>
      <c r="E7" s="16">
        <v>42</v>
      </c>
      <c r="F7" s="16">
        <v>60</v>
      </c>
      <c r="G7" s="16">
        <v>84</v>
      </c>
      <c r="H7" s="16">
        <v>45</v>
      </c>
      <c r="I7" s="16">
        <v>93</v>
      </c>
      <c r="J7" s="16">
        <v>111</v>
      </c>
      <c r="K7" s="16">
        <v>55</v>
      </c>
      <c r="L7" s="16">
        <v>54</v>
      </c>
      <c r="M7" s="16">
        <v>54</v>
      </c>
      <c r="N7" s="16">
        <v>33</v>
      </c>
      <c r="O7" s="16">
        <v>50</v>
      </c>
      <c r="P7" s="16">
        <v>39</v>
      </c>
      <c r="Q7" s="16">
        <v>37</v>
      </c>
      <c r="R7" s="16">
        <v>65</v>
      </c>
      <c r="S7" s="16"/>
      <c r="T7" s="16"/>
      <c r="U7" s="17">
        <v>53</v>
      </c>
      <c r="V7" s="17"/>
      <c r="W7" s="17">
        <v>128</v>
      </c>
      <c r="X7" s="17">
        <v>64</v>
      </c>
      <c r="Y7" s="17">
        <v>57</v>
      </c>
      <c r="Z7" s="17">
        <v>22</v>
      </c>
      <c r="AA7" s="17">
        <v>178</v>
      </c>
      <c r="AB7" s="17">
        <v>46</v>
      </c>
      <c r="AC7" s="17">
        <v>98</v>
      </c>
      <c r="AD7" s="17">
        <v>81</v>
      </c>
      <c r="AE7" s="99">
        <v>75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0"/>
        <v>56.1</v>
      </c>
      <c r="BK7">
        <f t="shared" si="1"/>
        <v>56</v>
      </c>
      <c r="BL7">
        <f t="shared" si="2"/>
        <v>61.3</v>
      </c>
      <c r="BM7">
        <f t="shared" si="3"/>
        <v>63.1</v>
      </c>
      <c r="BN7">
        <f t="shared" si="4"/>
        <v>63.9</v>
      </c>
      <c r="BO7">
        <f t="shared" si="5"/>
        <v>61.8</v>
      </c>
      <c r="BP7">
        <f t="shared" si="6"/>
        <v>57.1</v>
      </c>
      <c r="BQ7">
        <f t="shared" si="7"/>
        <v>59.1</v>
      </c>
      <c r="BR7">
        <f t="shared" si="8"/>
        <v>55.333333333333336</v>
      </c>
      <c r="BS7">
        <f t="shared" si="9"/>
        <v>48.375</v>
      </c>
      <c r="BT7">
        <f t="shared" si="10"/>
        <v>48.125</v>
      </c>
      <c r="BU7">
        <f t="shared" si="11"/>
        <v>47.285714285714285</v>
      </c>
      <c r="BV7">
        <f t="shared" si="12"/>
        <v>57.857142857142854</v>
      </c>
      <c r="BW7">
        <f t="shared" si="13"/>
        <v>62.285714285714285</v>
      </c>
      <c r="BX7">
        <f t="shared" si="14"/>
        <v>63.285714285714285</v>
      </c>
      <c r="BY7" s="10">
        <f>26+18</f>
        <v>44</v>
      </c>
      <c r="BZ7">
        <f t="shared" si="15"/>
        <v>60.857142857142854</v>
      </c>
      <c r="CA7">
        <f t="shared" si="16"/>
        <v>81</v>
      </c>
      <c r="CB7">
        <f t="shared" si="17"/>
        <v>78.285714285714292</v>
      </c>
      <c r="CC7">
        <f t="shared" si="18"/>
        <v>80.75</v>
      </c>
      <c r="CD7">
        <f t="shared" si="19"/>
        <v>80.777777777777771</v>
      </c>
      <c r="CE7">
        <f t="shared" si="20"/>
        <v>83.222222222222229</v>
      </c>
      <c r="CF7">
        <f t="shared" si="21"/>
        <v>83.222222222222229</v>
      </c>
      <c r="CG7">
        <f t="shared" si="22"/>
        <v>77.625</v>
      </c>
      <c r="CH7">
        <f t="shared" si="23"/>
        <v>79.571428571428569</v>
      </c>
      <c r="CI7">
        <f t="shared" si="24"/>
        <v>83.333333333333329</v>
      </c>
      <c r="CJ7">
        <f t="shared" si="25"/>
        <v>95.6</v>
      </c>
      <c r="CK7">
        <f t="shared" si="26"/>
        <v>75</v>
      </c>
      <c r="CL7">
        <f t="shared" si="27"/>
        <v>84.666666666666671</v>
      </c>
      <c r="CM7">
        <f t="shared" si="28"/>
        <v>78</v>
      </c>
      <c r="CN7">
        <f t="shared" si="29"/>
        <v>75</v>
      </c>
      <c r="CO7" t="e">
        <f t="shared" si="30"/>
        <v>#DIV/0!</v>
      </c>
      <c r="CP7" t="e">
        <f t="shared" si="31"/>
        <v>#DIV/0!</v>
      </c>
      <c r="CQ7" t="e">
        <f t="shared" si="32"/>
        <v>#DIV/0!</v>
      </c>
      <c r="CR7" t="e">
        <f t="shared" si="33"/>
        <v>#DIV/0!</v>
      </c>
      <c r="CS7" t="e">
        <f t="shared" si="34"/>
        <v>#DIV/0!</v>
      </c>
      <c r="CT7" t="e">
        <f t="shared" si="35"/>
        <v>#DIV/0!</v>
      </c>
      <c r="CU7" t="e">
        <f t="shared" si="36"/>
        <v>#DIV/0!</v>
      </c>
      <c r="CV7" t="e">
        <f t="shared" si="37"/>
        <v>#DIV/0!</v>
      </c>
      <c r="CW7" t="e">
        <f t="shared" si="38"/>
        <v>#DIV/0!</v>
      </c>
      <c r="CX7" t="e">
        <f t="shared" si="39"/>
        <v>#DIV/0!</v>
      </c>
      <c r="CY7" t="e">
        <f t="shared" si="40"/>
        <v>#DIV/0!</v>
      </c>
      <c r="CZ7" t="e">
        <f t="shared" si="41"/>
        <v>#DIV/0!</v>
      </c>
      <c r="DA7" t="e">
        <f t="shared" si="42"/>
        <v>#N/A</v>
      </c>
      <c r="DB7" t="e">
        <f t="shared" si="43"/>
        <v>#N/A</v>
      </c>
      <c r="DC7" t="e">
        <f t="shared" si="44"/>
        <v>#N/A</v>
      </c>
      <c r="DD7" t="e">
        <f t="shared" si="45"/>
        <v>#N/A</v>
      </c>
      <c r="DE7" t="e">
        <f t="shared" si="46"/>
        <v>#N/A</v>
      </c>
    </row>
    <row r="8" spans="1:109" ht="20" customHeight="1" x14ac:dyDescent="0.2">
      <c r="A8" s="7" t="s">
        <v>3</v>
      </c>
      <c r="B8" s="14">
        <v>122</v>
      </c>
      <c r="C8" s="14">
        <v>66</v>
      </c>
      <c r="D8" s="14">
        <v>89</v>
      </c>
      <c r="E8" s="14">
        <v>121</v>
      </c>
      <c r="F8" s="14">
        <v>179</v>
      </c>
      <c r="G8" s="14">
        <v>169</v>
      </c>
      <c r="H8" s="14">
        <v>56</v>
      </c>
      <c r="I8" s="14">
        <v>105</v>
      </c>
      <c r="J8" s="14">
        <v>98</v>
      </c>
      <c r="K8" s="14">
        <v>89</v>
      </c>
      <c r="L8" s="14">
        <v>211</v>
      </c>
      <c r="M8" s="14">
        <v>94</v>
      </c>
      <c r="N8" s="14">
        <v>132</v>
      </c>
      <c r="O8" s="14">
        <v>128</v>
      </c>
      <c r="P8" s="14">
        <v>89</v>
      </c>
      <c r="Q8" s="14">
        <v>124</v>
      </c>
      <c r="R8" s="14">
        <v>95</v>
      </c>
      <c r="S8" s="14"/>
      <c r="T8" s="14"/>
      <c r="U8" s="15">
        <v>63</v>
      </c>
      <c r="V8" s="15"/>
      <c r="W8" s="15">
        <v>117</v>
      </c>
      <c r="X8" s="15">
        <v>139</v>
      </c>
      <c r="Y8" s="15">
        <v>182</v>
      </c>
      <c r="Z8" s="15">
        <v>122</v>
      </c>
      <c r="AA8" s="15">
        <v>196</v>
      </c>
      <c r="AB8" s="15">
        <v>313</v>
      </c>
      <c r="AC8" s="15">
        <v>190</v>
      </c>
      <c r="AD8" s="15">
        <v>211</v>
      </c>
      <c r="AE8" s="99">
        <v>238</v>
      </c>
      <c r="AF8" s="124"/>
      <c r="AG8" s="124">
        <f>51+59+42</f>
        <v>152</v>
      </c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0"/>
        <v>109.4</v>
      </c>
      <c r="BK8">
        <f t="shared" si="1"/>
        <v>118.3</v>
      </c>
      <c r="BL8">
        <f t="shared" si="2"/>
        <v>121.1</v>
      </c>
      <c r="BM8">
        <f t="shared" si="3"/>
        <v>125.4</v>
      </c>
      <c r="BN8">
        <f t="shared" si="4"/>
        <v>126.1</v>
      </c>
      <c r="BO8">
        <f t="shared" si="5"/>
        <v>117.1</v>
      </c>
      <c r="BP8">
        <f t="shared" si="6"/>
        <v>112.6</v>
      </c>
      <c r="BQ8">
        <f t="shared" si="7"/>
        <v>116.5</v>
      </c>
      <c r="BR8">
        <f t="shared" si="8"/>
        <v>117.77777777777777</v>
      </c>
      <c r="BS8">
        <f t="shared" si="9"/>
        <v>120.25</v>
      </c>
      <c r="BT8">
        <f t="shared" si="10"/>
        <v>117</v>
      </c>
      <c r="BU8">
        <f t="shared" si="11"/>
        <v>103.57142857142857</v>
      </c>
      <c r="BV8">
        <f t="shared" si="12"/>
        <v>106.85714285714286</v>
      </c>
      <c r="BW8">
        <f t="shared" si="13"/>
        <v>107.85714285714286</v>
      </c>
      <c r="BX8">
        <f t="shared" si="14"/>
        <v>115.57142857142857</v>
      </c>
      <c r="BY8" s="124">
        <f>27+37+11</f>
        <v>75</v>
      </c>
      <c r="BZ8">
        <f t="shared" si="15"/>
        <v>120.28571428571429</v>
      </c>
      <c r="CA8">
        <f t="shared" si="16"/>
        <v>130.57142857142858</v>
      </c>
      <c r="CB8">
        <f t="shared" si="17"/>
        <v>161.71428571428572</v>
      </c>
      <c r="CC8">
        <f t="shared" si="18"/>
        <v>165.25</v>
      </c>
      <c r="CD8">
        <f t="shared" si="19"/>
        <v>170.33333333333334</v>
      </c>
      <c r="CE8">
        <f t="shared" si="20"/>
        <v>189.77777777777777</v>
      </c>
      <c r="CF8">
        <f t="shared" si="21"/>
        <v>189.77777777777777</v>
      </c>
      <c r="CG8">
        <f t="shared" si="22"/>
        <v>193.66666666666666</v>
      </c>
      <c r="CH8">
        <f t="shared" si="23"/>
        <v>200.5</v>
      </c>
      <c r="CI8">
        <f t="shared" si="24"/>
        <v>203.14285714285714</v>
      </c>
      <c r="CJ8">
        <f t="shared" si="25"/>
        <v>216.66666666666666</v>
      </c>
      <c r="CK8">
        <f t="shared" si="26"/>
        <v>220.8</v>
      </c>
      <c r="CL8">
        <f t="shared" si="27"/>
        <v>197.75</v>
      </c>
      <c r="CM8">
        <f t="shared" si="28"/>
        <v>200.33333333333334</v>
      </c>
      <c r="CN8">
        <f t="shared" si="29"/>
        <v>195</v>
      </c>
      <c r="CO8">
        <f t="shared" si="30"/>
        <v>152</v>
      </c>
      <c r="CP8">
        <f t="shared" si="31"/>
        <v>152</v>
      </c>
      <c r="CQ8" t="e">
        <f t="shared" si="32"/>
        <v>#DIV/0!</v>
      </c>
      <c r="CR8" t="e">
        <f t="shared" si="33"/>
        <v>#DIV/0!</v>
      </c>
      <c r="CS8" t="e">
        <f t="shared" si="34"/>
        <v>#DIV/0!</v>
      </c>
      <c r="CT8" t="e">
        <f t="shared" si="35"/>
        <v>#DIV/0!</v>
      </c>
      <c r="CU8" t="e">
        <f t="shared" si="36"/>
        <v>#DIV/0!</v>
      </c>
      <c r="CV8" t="e">
        <f t="shared" si="37"/>
        <v>#DIV/0!</v>
      </c>
      <c r="CW8" t="e">
        <f t="shared" si="38"/>
        <v>#DIV/0!</v>
      </c>
      <c r="CX8" t="e">
        <f t="shared" si="39"/>
        <v>#DIV/0!</v>
      </c>
      <c r="CY8" t="e">
        <f t="shared" si="40"/>
        <v>#DIV/0!</v>
      </c>
      <c r="CZ8" t="e">
        <f t="shared" si="41"/>
        <v>#DIV/0!</v>
      </c>
      <c r="DA8" t="e">
        <f t="shared" si="42"/>
        <v>#N/A</v>
      </c>
      <c r="DB8" t="e">
        <f t="shared" si="43"/>
        <v>#N/A</v>
      </c>
      <c r="DC8" t="e">
        <f t="shared" si="44"/>
        <v>#N/A</v>
      </c>
      <c r="DD8" t="e">
        <f t="shared" si="45"/>
        <v>#N/A</v>
      </c>
      <c r="DE8" t="e">
        <f t="shared" si="46"/>
        <v>#N/A</v>
      </c>
    </row>
    <row r="9" spans="1:109" s="10" customFormat="1" ht="20" customHeight="1" x14ac:dyDescent="0.2">
      <c r="A9" s="9" t="s">
        <v>4</v>
      </c>
      <c r="B9" s="16">
        <v>130</v>
      </c>
      <c r="C9" s="16">
        <v>72</v>
      </c>
      <c r="D9" s="16">
        <v>218</v>
      </c>
      <c r="E9" s="16">
        <v>270</v>
      </c>
      <c r="F9" s="16">
        <v>265</v>
      </c>
      <c r="G9" s="16">
        <v>247</v>
      </c>
      <c r="H9" s="16">
        <v>274</v>
      </c>
      <c r="I9" s="16">
        <v>171</v>
      </c>
      <c r="J9" s="16">
        <v>225</v>
      </c>
      <c r="K9" s="16">
        <v>242</v>
      </c>
      <c r="L9" s="16">
        <v>141</v>
      </c>
      <c r="M9" s="16">
        <v>177</v>
      </c>
      <c r="N9" s="16">
        <v>83</v>
      </c>
      <c r="O9" s="16">
        <v>274</v>
      </c>
      <c r="P9" s="16">
        <v>162</v>
      </c>
      <c r="Q9" s="16">
        <v>267</v>
      </c>
      <c r="R9" s="16">
        <v>179</v>
      </c>
      <c r="S9" s="16"/>
      <c r="T9" s="16"/>
      <c r="U9" s="17">
        <v>251</v>
      </c>
      <c r="V9" s="17"/>
      <c r="W9" s="17">
        <v>191</v>
      </c>
      <c r="X9" s="17">
        <v>186</v>
      </c>
      <c r="Y9" s="17">
        <v>275</v>
      </c>
      <c r="Z9" s="17">
        <v>276</v>
      </c>
      <c r="AA9" s="17">
        <v>327</v>
      </c>
      <c r="AB9" s="17">
        <v>291</v>
      </c>
      <c r="AC9" s="17">
        <v>151</v>
      </c>
      <c r="AD9" s="17">
        <v>328</v>
      </c>
      <c r="AE9" s="99">
        <v>256.66666666666669</v>
      </c>
      <c r="AG9" s="10">
        <f>47+43</f>
        <v>90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0"/>
        <v>211.4</v>
      </c>
      <c r="BK9">
        <f t="shared" si="1"/>
        <v>212.5</v>
      </c>
      <c r="BL9">
        <f t="shared" si="2"/>
        <v>223</v>
      </c>
      <c r="BM9">
        <f t="shared" si="3"/>
        <v>209.5</v>
      </c>
      <c r="BN9">
        <f t="shared" si="4"/>
        <v>209.9</v>
      </c>
      <c r="BO9">
        <f t="shared" si="5"/>
        <v>199.6</v>
      </c>
      <c r="BP9">
        <f t="shared" si="6"/>
        <v>201.6</v>
      </c>
      <c r="BQ9">
        <f t="shared" si="7"/>
        <v>192.1</v>
      </c>
      <c r="BR9">
        <f t="shared" si="8"/>
        <v>194.44444444444446</v>
      </c>
      <c r="BS9">
        <f t="shared" si="9"/>
        <v>190.625</v>
      </c>
      <c r="BT9">
        <f t="shared" si="10"/>
        <v>191.75</v>
      </c>
      <c r="BU9">
        <f t="shared" si="11"/>
        <v>199</v>
      </c>
      <c r="BV9">
        <f t="shared" si="12"/>
        <v>201</v>
      </c>
      <c r="BW9">
        <f t="shared" si="13"/>
        <v>215.71428571428572</v>
      </c>
      <c r="BX9">
        <f t="shared" si="14"/>
        <v>215.85714285714286</v>
      </c>
      <c r="BY9" s="10">
        <f>20+55+55+17</f>
        <v>147</v>
      </c>
      <c r="BZ9">
        <f t="shared" si="15"/>
        <v>232.14285714285714</v>
      </c>
      <c r="CA9">
        <f t="shared" si="16"/>
        <v>240.71428571428572</v>
      </c>
      <c r="CB9">
        <f t="shared" si="17"/>
        <v>256.71428571428572</v>
      </c>
      <c r="CC9">
        <f t="shared" si="18"/>
        <v>243.5</v>
      </c>
      <c r="CD9">
        <f t="shared" si="19"/>
        <v>252.88888888888889</v>
      </c>
      <c r="CE9">
        <f t="shared" si="20"/>
        <v>253.5185185185185</v>
      </c>
      <c r="CF9">
        <f t="shared" si="21"/>
        <v>253.5185185185185</v>
      </c>
      <c r="CG9">
        <f t="shared" si="22"/>
        <v>242.29629629629628</v>
      </c>
      <c r="CH9">
        <f t="shared" si="23"/>
        <v>249.33333333333334</v>
      </c>
      <c r="CI9">
        <f t="shared" si="24"/>
        <v>245.66666666666669</v>
      </c>
      <c r="CJ9">
        <f t="shared" si="25"/>
        <v>240.61111111111111</v>
      </c>
      <c r="CK9">
        <f t="shared" si="26"/>
        <v>223.33333333333334</v>
      </c>
      <c r="CL9">
        <f t="shared" si="27"/>
        <v>206.41666666666669</v>
      </c>
      <c r="CM9">
        <f t="shared" si="28"/>
        <v>224.88888888888891</v>
      </c>
      <c r="CN9">
        <f t="shared" si="29"/>
        <v>173.33333333333334</v>
      </c>
      <c r="CO9">
        <f t="shared" si="30"/>
        <v>90</v>
      </c>
      <c r="CP9">
        <f t="shared" si="31"/>
        <v>90</v>
      </c>
      <c r="CQ9" t="e">
        <f t="shared" si="32"/>
        <v>#DIV/0!</v>
      </c>
      <c r="CR9" t="e">
        <f t="shared" si="33"/>
        <v>#DIV/0!</v>
      </c>
      <c r="CS9" t="e">
        <f t="shared" si="34"/>
        <v>#DIV/0!</v>
      </c>
      <c r="CT9" t="e">
        <f t="shared" si="35"/>
        <v>#DIV/0!</v>
      </c>
      <c r="CU9" t="e">
        <f t="shared" si="36"/>
        <v>#DIV/0!</v>
      </c>
      <c r="CV9" t="e">
        <f t="shared" si="37"/>
        <v>#DIV/0!</v>
      </c>
      <c r="CW9" t="e">
        <f t="shared" si="38"/>
        <v>#DIV/0!</v>
      </c>
      <c r="CX9" t="e">
        <f t="shared" si="39"/>
        <v>#DIV/0!</v>
      </c>
      <c r="CY9" t="e">
        <f t="shared" si="40"/>
        <v>#DIV/0!</v>
      </c>
      <c r="CZ9" t="e">
        <f t="shared" si="41"/>
        <v>#DIV/0!</v>
      </c>
      <c r="DA9" t="e">
        <f t="shared" si="42"/>
        <v>#N/A</v>
      </c>
      <c r="DB9" t="e">
        <f t="shared" si="43"/>
        <v>#N/A</v>
      </c>
      <c r="DC9" t="e">
        <f t="shared" si="44"/>
        <v>#N/A</v>
      </c>
      <c r="DD9" t="e">
        <f t="shared" si="45"/>
        <v>#N/A</v>
      </c>
      <c r="DE9" t="e">
        <f t="shared" si="46"/>
        <v>#N/A</v>
      </c>
    </row>
    <row r="10" spans="1:109" ht="20" customHeight="1" x14ac:dyDescent="0.2">
      <c r="A10" s="7" t="s">
        <v>5</v>
      </c>
      <c r="B10" s="14">
        <v>195</v>
      </c>
      <c r="C10" s="14">
        <v>99</v>
      </c>
      <c r="D10" s="14">
        <v>88</v>
      </c>
      <c r="E10" s="14">
        <v>109</v>
      </c>
      <c r="F10" s="14">
        <v>257</v>
      </c>
      <c r="G10" s="14">
        <v>191</v>
      </c>
      <c r="H10" s="14">
        <v>213</v>
      </c>
      <c r="I10" s="14">
        <v>168</v>
      </c>
      <c r="J10" s="14">
        <v>185</v>
      </c>
      <c r="K10" s="14">
        <v>161</v>
      </c>
      <c r="L10" s="14">
        <v>102</v>
      </c>
      <c r="M10" s="14">
        <v>201</v>
      </c>
      <c r="N10" s="14">
        <v>124</v>
      </c>
      <c r="O10" s="14">
        <v>192</v>
      </c>
      <c r="P10" s="14">
        <v>158</v>
      </c>
      <c r="Q10" s="14">
        <v>175</v>
      </c>
      <c r="R10" s="14">
        <v>227</v>
      </c>
      <c r="S10" s="14"/>
      <c r="T10" s="14"/>
      <c r="U10" s="15">
        <v>82</v>
      </c>
      <c r="V10" s="15"/>
      <c r="W10" s="15">
        <v>182</v>
      </c>
      <c r="X10" s="15">
        <v>198</v>
      </c>
      <c r="Y10" s="15">
        <v>259</v>
      </c>
      <c r="Z10" s="15">
        <v>177</v>
      </c>
      <c r="AA10" s="15">
        <v>440</v>
      </c>
      <c r="AB10" s="15">
        <v>382</v>
      </c>
      <c r="AC10" s="15">
        <v>382</v>
      </c>
      <c r="AD10" s="15">
        <v>363</v>
      </c>
      <c r="AE10" s="99">
        <v>375.66666666666669</v>
      </c>
      <c r="AF10" s="124"/>
      <c r="AG10" s="124">
        <f>34+42+36+9</f>
        <v>121</v>
      </c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0"/>
        <v>166.6</v>
      </c>
      <c r="BK10">
        <f t="shared" si="1"/>
        <v>157.30000000000001</v>
      </c>
      <c r="BL10">
        <f t="shared" si="2"/>
        <v>167.5</v>
      </c>
      <c r="BM10">
        <f t="shared" si="3"/>
        <v>171.1</v>
      </c>
      <c r="BN10">
        <f t="shared" si="4"/>
        <v>179.4</v>
      </c>
      <c r="BO10">
        <f t="shared" si="5"/>
        <v>169.5</v>
      </c>
      <c r="BP10">
        <f t="shared" si="6"/>
        <v>167.9</v>
      </c>
      <c r="BQ10">
        <f t="shared" si="7"/>
        <v>169.3</v>
      </c>
      <c r="BR10">
        <f t="shared" si="8"/>
        <v>169.44444444444446</v>
      </c>
      <c r="BS10">
        <f t="shared" si="9"/>
        <v>167.5</v>
      </c>
      <c r="BT10">
        <f t="shared" si="10"/>
        <v>157.625</v>
      </c>
      <c r="BU10">
        <f t="shared" si="11"/>
        <v>165.57142857142858</v>
      </c>
      <c r="BV10">
        <f t="shared" si="12"/>
        <v>162.85714285714286</v>
      </c>
      <c r="BW10">
        <f t="shared" si="13"/>
        <v>173.42857142857142</v>
      </c>
      <c r="BX10">
        <f t="shared" si="14"/>
        <v>183</v>
      </c>
      <c r="BY10" s="124">
        <f>26+53+51+5</f>
        <v>135</v>
      </c>
      <c r="BZ10">
        <f t="shared" si="15"/>
        <v>185.71428571428572</v>
      </c>
      <c r="CA10">
        <f t="shared" si="16"/>
        <v>223.57142857142858</v>
      </c>
      <c r="CB10">
        <f t="shared" si="17"/>
        <v>245.71428571428572</v>
      </c>
      <c r="CC10">
        <f t="shared" si="18"/>
        <v>262.75</v>
      </c>
      <c r="CD10">
        <f t="shared" si="19"/>
        <v>273.88888888888891</v>
      </c>
      <c r="CE10">
        <f t="shared" si="20"/>
        <v>306.51851851851848</v>
      </c>
      <c r="CF10">
        <f t="shared" si="21"/>
        <v>306.51851851851848</v>
      </c>
      <c r="CG10">
        <f t="shared" si="22"/>
        <v>299.7407407407407</v>
      </c>
      <c r="CH10">
        <f t="shared" si="23"/>
        <v>312.45833333333331</v>
      </c>
      <c r="CI10">
        <f t="shared" si="24"/>
        <v>320.09523809523807</v>
      </c>
      <c r="CJ10">
        <f t="shared" si="25"/>
        <v>343.94444444444451</v>
      </c>
      <c r="CK10">
        <f t="shared" si="26"/>
        <v>324.73333333333335</v>
      </c>
      <c r="CL10">
        <f t="shared" si="27"/>
        <v>310.41666666666669</v>
      </c>
      <c r="CM10">
        <f t="shared" si="28"/>
        <v>286.5555555555556</v>
      </c>
      <c r="CN10">
        <f t="shared" si="29"/>
        <v>248.33333333333334</v>
      </c>
      <c r="CO10">
        <f t="shared" si="30"/>
        <v>121</v>
      </c>
      <c r="CP10">
        <f t="shared" si="31"/>
        <v>121</v>
      </c>
      <c r="CQ10" t="e">
        <f t="shared" si="32"/>
        <v>#DIV/0!</v>
      </c>
      <c r="CR10" t="e">
        <f t="shared" si="33"/>
        <v>#DIV/0!</v>
      </c>
      <c r="CS10" t="e">
        <f t="shared" si="34"/>
        <v>#DIV/0!</v>
      </c>
      <c r="CT10" t="e">
        <f t="shared" si="35"/>
        <v>#DIV/0!</v>
      </c>
      <c r="CU10" t="e">
        <f t="shared" si="36"/>
        <v>#DIV/0!</v>
      </c>
      <c r="CV10" t="e">
        <f t="shared" si="37"/>
        <v>#DIV/0!</v>
      </c>
      <c r="CW10" t="e">
        <f t="shared" si="38"/>
        <v>#DIV/0!</v>
      </c>
      <c r="CX10" t="e">
        <f t="shared" si="39"/>
        <v>#DIV/0!</v>
      </c>
      <c r="CY10" t="e">
        <f t="shared" si="40"/>
        <v>#DIV/0!</v>
      </c>
      <c r="CZ10" t="e">
        <f t="shared" si="41"/>
        <v>#DIV/0!</v>
      </c>
      <c r="DA10" t="e">
        <f t="shared" si="42"/>
        <v>#N/A</v>
      </c>
      <c r="DB10" t="e">
        <f t="shared" si="43"/>
        <v>#N/A</v>
      </c>
      <c r="DC10" t="e">
        <f t="shared" si="44"/>
        <v>#N/A</v>
      </c>
      <c r="DD10" t="e">
        <f t="shared" si="45"/>
        <v>#N/A</v>
      </c>
      <c r="DE10" t="e">
        <f t="shared" si="46"/>
        <v>#N/A</v>
      </c>
    </row>
    <row r="11" spans="1:109" s="10" customFormat="1" ht="20" customHeight="1" x14ac:dyDescent="0.2">
      <c r="A11" s="9" t="s">
        <v>6</v>
      </c>
      <c r="B11" s="16">
        <v>192</v>
      </c>
      <c r="C11" s="16">
        <v>155</v>
      </c>
      <c r="D11" s="16">
        <v>208</v>
      </c>
      <c r="E11" s="16">
        <v>301</v>
      </c>
      <c r="F11" s="16">
        <v>465</v>
      </c>
      <c r="G11" s="16">
        <v>349</v>
      </c>
      <c r="H11" s="16">
        <v>471</v>
      </c>
      <c r="I11" s="16">
        <v>480</v>
      </c>
      <c r="J11" s="16">
        <v>390</v>
      </c>
      <c r="K11" s="16">
        <v>125</v>
      </c>
      <c r="L11" s="16">
        <v>347</v>
      </c>
      <c r="M11" s="16">
        <v>412</v>
      </c>
      <c r="N11" s="16">
        <v>278</v>
      </c>
      <c r="O11" s="16">
        <v>305</v>
      </c>
      <c r="P11" s="16">
        <v>316</v>
      </c>
      <c r="Q11" s="16">
        <v>304</v>
      </c>
      <c r="R11" s="16">
        <v>351</v>
      </c>
      <c r="S11" s="16"/>
      <c r="T11" s="16"/>
      <c r="U11" s="17">
        <v>0</v>
      </c>
      <c r="V11" s="17"/>
      <c r="W11" s="17">
        <v>366</v>
      </c>
      <c r="X11" s="17">
        <v>269</v>
      </c>
      <c r="Y11" s="17">
        <v>289</v>
      </c>
      <c r="Z11" s="17">
        <v>482</v>
      </c>
      <c r="AA11" s="17">
        <v>837</v>
      </c>
      <c r="AB11" s="17">
        <v>1004</v>
      </c>
      <c r="AC11" s="17">
        <v>759</v>
      </c>
      <c r="AD11" s="17">
        <v>647</v>
      </c>
      <c r="AE11" s="99">
        <v>803.33333333333337</v>
      </c>
      <c r="AG11" s="10">
        <f>50+48+45+11</f>
        <v>154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0"/>
        <v>313.60000000000002</v>
      </c>
      <c r="BK11">
        <f t="shared" si="1"/>
        <v>329.1</v>
      </c>
      <c r="BL11">
        <f t="shared" si="2"/>
        <v>354.8</v>
      </c>
      <c r="BM11">
        <f t="shared" si="3"/>
        <v>361.8</v>
      </c>
      <c r="BN11">
        <f t="shared" si="4"/>
        <v>362.2</v>
      </c>
      <c r="BO11">
        <f t="shared" si="5"/>
        <v>347.3</v>
      </c>
      <c r="BP11">
        <f t="shared" si="6"/>
        <v>342.8</v>
      </c>
      <c r="BQ11">
        <f t="shared" si="7"/>
        <v>330.8</v>
      </c>
      <c r="BR11">
        <f t="shared" si="8"/>
        <v>314.22222222222223</v>
      </c>
      <c r="BS11">
        <f t="shared" si="9"/>
        <v>304.75</v>
      </c>
      <c r="BT11">
        <f t="shared" si="10"/>
        <v>289.125</v>
      </c>
      <c r="BU11">
        <f t="shared" si="11"/>
        <v>280.85714285714283</v>
      </c>
      <c r="BV11">
        <f t="shared" si="12"/>
        <v>274.28571428571428</v>
      </c>
      <c r="BW11">
        <f t="shared" si="13"/>
        <v>273</v>
      </c>
      <c r="BX11">
        <f t="shared" si="14"/>
        <v>270.71428571428572</v>
      </c>
      <c r="BY11" s="10">
        <f>44+54+26</f>
        <v>124</v>
      </c>
      <c r="BZ11">
        <f t="shared" si="15"/>
        <v>294.42857142857144</v>
      </c>
      <c r="CA11">
        <f t="shared" si="16"/>
        <v>370.57142857142856</v>
      </c>
      <c r="CB11">
        <f t="shared" si="17"/>
        <v>463.85714285714283</v>
      </c>
      <c r="CC11">
        <f t="shared" si="18"/>
        <v>500.75</v>
      </c>
      <c r="CD11">
        <f t="shared" si="19"/>
        <v>517</v>
      </c>
      <c r="CE11">
        <f t="shared" si="20"/>
        <v>606.25925925925924</v>
      </c>
      <c r="CF11">
        <f t="shared" si="21"/>
        <v>606.25925925925924</v>
      </c>
      <c r="CG11">
        <f t="shared" si="22"/>
        <v>582.7037037037037</v>
      </c>
      <c r="CH11">
        <f t="shared" si="23"/>
        <v>621.91666666666663</v>
      </c>
      <c r="CI11">
        <f t="shared" si="24"/>
        <v>669.47619047619048</v>
      </c>
      <c r="CJ11">
        <f t="shared" si="25"/>
        <v>700.72222222222229</v>
      </c>
      <c r="CK11">
        <f t="shared" si="26"/>
        <v>673.4666666666667</v>
      </c>
      <c r="CL11">
        <f t="shared" si="27"/>
        <v>590.83333333333337</v>
      </c>
      <c r="CM11">
        <f t="shared" si="28"/>
        <v>534.77777777777783</v>
      </c>
      <c r="CN11">
        <f t="shared" si="29"/>
        <v>478.66666666666669</v>
      </c>
      <c r="CO11">
        <f t="shared" si="30"/>
        <v>154</v>
      </c>
      <c r="CP11">
        <f t="shared" si="31"/>
        <v>154</v>
      </c>
      <c r="CQ11" t="e">
        <f t="shared" si="32"/>
        <v>#DIV/0!</v>
      </c>
      <c r="CR11" t="e">
        <f t="shared" si="33"/>
        <v>#DIV/0!</v>
      </c>
      <c r="CS11" t="e">
        <f t="shared" si="34"/>
        <v>#DIV/0!</v>
      </c>
      <c r="CT11" t="e">
        <f t="shared" si="35"/>
        <v>#DIV/0!</v>
      </c>
      <c r="CU11" t="e">
        <f t="shared" si="36"/>
        <v>#DIV/0!</v>
      </c>
      <c r="CV11" t="e">
        <f t="shared" si="37"/>
        <v>#DIV/0!</v>
      </c>
      <c r="CW11" t="e">
        <f t="shared" si="38"/>
        <v>#DIV/0!</v>
      </c>
      <c r="CX11" t="e">
        <f t="shared" si="39"/>
        <v>#DIV/0!</v>
      </c>
      <c r="CY11" t="e">
        <f t="shared" si="40"/>
        <v>#DIV/0!</v>
      </c>
      <c r="CZ11" t="e">
        <f t="shared" si="41"/>
        <v>#DIV/0!</v>
      </c>
      <c r="DA11" t="e">
        <f t="shared" si="42"/>
        <v>#N/A</v>
      </c>
      <c r="DB11" t="e">
        <f t="shared" si="43"/>
        <v>#N/A</v>
      </c>
      <c r="DC11" t="e">
        <f t="shared" si="44"/>
        <v>#N/A</v>
      </c>
      <c r="DD11" t="e">
        <f t="shared" si="45"/>
        <v>#N/A</v>
      </c>
      <c r="DE11" t="e">
        <f t="shared" si="46"/>
        <v>#N/A</v>
      </c>
    </row>
    <row r="12" spans="1:109" ht="20" customHeight="1" x14ac:dyDescent="0.2">
      <c r="A12" s="7" t="s">
        <v>7</v>
      </c>
      <c r="B12" s="14">
        <v>169</v>
      </c>
      <c r="C12" s="14">
        <v>84</v>
      </c>
      <c r="D12" s="14">
        <v>200</v>
      </c>
      <c r="E12" s="14">
        <v>276</v>
      </c>
      <c r="F12" s="14">
        <v>437</v>
      </c>
      <c r="G12" s="14">
        <v>351</v>
      </c>
      <c r="H12" s="14">
        <v>489</v>
      </c>
      <c r="I12" s="14">
        <v>493</v>
      </c>
      <c r="J12" s="14">
        <v>308</v>
      </c>
      <c r="K12" s="14">
        <v>288</v>
      </c>
      <c r="L12" s="14">
        <v>282</v>
      </c>
      <c r="M12" s="14">
        <v>230</v>
      </c>
      <c r="N12" s="14">
        <v>290</v>
      </c>
      <c r="O12" s="14">
        <v>205</v>
      </c>
      <c r="P12" s="14">
        <v>233</v>
      </c>
      <c r="Q12" s="14">
        <v>294</v>
      </c>
      <c r="R12" s="14">
        <v>507</v>
      </c>
      <c r="S12" s="14"/>
      <c r="T12" s="14"/>
      <c r="U12" s="15"/>
      <c r="V12" s="15"/>
      <c r="W12" s="15">
        <v>433</v>
      </c>
      <c r="X12" s="15">
        <v>490</v>
      </c>
      <c r="Y12" s="15">
        <v>406</v>
      </c>
      <c r="Z12" s="15">
        <v>458</v>
      </c>
      <c r="AA12" s="15">
        <v>568</v>
      </c>
      <c r="AB12" s="15">
        <v>730</v>
      </c>
      <c r="AC12" s="15">
        <v>730</v>
      </c>
      <c r="AD12" s="15">
        <v>719</v>
      </c>
      <c r="AE12" s="99">
        <v>726.33333333333337</v>
      </c>
      <c r="AF12" s="124"/>
      <c r="AG12" s="124">
        <f>39+57+58+21</f>
        <v>175</v>
      </c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0"/>
        <v>309.5</v>
      </c>
      <c r="BK12">
        <f t="shared" si="1"/>
        <v>320.8</v>
      </c>
      <c r="BL12">
        <f t="shared" si="2"/>
        <v>335.4</v>
      </c>
      <c r="BM12">
        <f t="shared" si="3"/>
        <v>344.4</v>
      </c>
      <c r="BN12">
        <f t="shared" si="4"/>
        <v>337.3</v>
      </c>
      <c r="BO12">
        <f t="shared" si="5"/>
        <v>316.89999999999998</v>
      </c>
      <c r="BP12">
        <f t="shared" si="6"/>
        <v>311.2</v>
      </c>
      <c r="BQ12">
        <f t="shared" si="7"/>
        <v>313</v>
      </c>
      <c r="BR12">
        <f t="shared" si="8"/>
        <v>293</v>
      </c>
      <c r="BS12">
        <f t="shared" si="9"/>
        <v>291.125</v>
      </c>
      <c r="BT12">
        <f t="shared" si="10"/>
        <v>291.57142857142856</v>
      </c>
      <c r="BU12">
        <f t="shared" si="11"/>
        <v>293.16666666666669</v>
      </c>
      <c r="BV12">
        <f t="shared" si="12"/>
        <v>327</v>
      </c>
      <c r="BW12">
        <f t="shared" si="13"/>
        <v>360.33333333333331</v>
      </c>
      <c r="BX12">
        <f t="shared" si="14"/>
        <v>393.83333333333331</v>
      </c>
      <c r="BY12" s="124"/>
      <c r="BZ12">
        <f t="shared" si="15"/>
        <v>431.33333333333331</v>
      </c>
      <c r="CA12">
        <f t="shared" si="16"/>
        <v>477</v>
      </c>
      <c r="CB12">
        <f t="shared" si="17"/>
        <v>514.16666666666663</v>
      </c>
      <c r="CC12">
        <f t="shared" si="18"/>
        <v>545</v>
      </c>
      <c r="CD12">
        <f t="shared" si="19"/>
        <v>566.75</v>
      </c>
      <c r="CE12">
        <f t="shared" si="20"/>
        <v>584.48148148148141</v>
      </c>
      <c r="CF12">
        <f t="shared" si="21"/>
        <v>584.48148148148141</v>
      </c>
      <c r="CG12">
        <f t="shared" si="22"/>
        <v>555.81481481481478</v>
      </c>
      <c r="CH12">
        <f t="shared" si="23"/>
        <v>564.04166666666663</v>
      </c>
      <c r="CI12">
        <f t="shared" si="24"/>
        <v>586.61904761904771</v>
      </c>
      <c r="CJ12">
        <f t="shared" si="25"/>
        <v>608.05555555555554</v>
      </c>
      <c r="CK12">
        <f t="shared" si="26"/>
        <v>616.06666666666672</v>
      </c>
      <c r="CL12">
        <f t="shared" si="27"/>
        <v>587.58333333333337</v>
      </c>
      <c r="CM12">
        <f t="shared" si="28"/>
        <v>540.1111111111112</v>
      </c>
      <c r="CN12">
        <f t="shared" si="29"/>
        <v>450.66666666666669</v>
      </c>
      <c r="CO12">
        <f t="shared" si="30"/>
        <v>175</v>
      </c>
      <c r="CP12">
        <f t="shared" si="31"/>
        <v>175</v>
      </c>
      <c r="CQ12" t="e">
        <f t="shared" si="32"/>
        <v>#DIV/0!</v>
      </c>
      <c r="CR12" t="e">
        <f t="shared" si="33"/>
        <v>#DIV/0!</v>
      </c>
      <c r="CS12" t="e">
        <f t="shared" si="34"/>
        <v>#DIV/0!</v>
      </c>
      <c r="CT12" t="e">
        <f t="shared" si="35"/>
        <v>#DIV/0!</v>
      </c>
      <c r="CU12" t="e">
        <f t="shared" si="36"/>
        <v>#DIV/0!</v>
      </c>
      <c r="CV12" t="e">
        <f t="shared" si="37"/>
        <v>#DIV/0!</v>
      </c>
      <c r="CW12" t="e">
        <f t="shared" si="38"/>
        <v>#DIV/0!</v>
      </c>
      <c r="CX12" t="e">
        <f t="shared" si="39"/>
        <v>#DIV/0!</v>
      </c>
      <c r="CY12" t="e">
        <f t="shared" si="40"/>
        <v>#DIV/0!</v>
      </c>
      <c r="CZ12" t="e">
        <f t="shared" si="41"/>
        <v>#DIV/0!</v>
      </c>
      <c r="DA12" t="e">
        <f t="shared" si="42"/>
        <v>#N/A</v>
      </c>
      <c r="DB12" t="e">
        <f t="shared" si="43"/>
        <v>#N/A</v>
      </c>
      <c r="DC12" t="e">
        <f t="shared" si="44"/>
        <v>#N/A</v>
      </c>
      <c r="DD12" t="e">
        <f t="shared" si="45"/>
        <v>#N/A</v>
      </c>
      <c r="DE12" t="e">
        <f t="shared" si="46"/>
        <v>#N/A</v>
      </c>
    </row>
    <row r="13" spans="1:109" s="10" customFormat="1" ht="20" customHeight="1" x14ac:dyDescent="0.2">
      <c r="A13" s="9" t="s">
        <v>8</v>
      </c>
      <c r="B13" s="16">
        <v>130</v>
      </c>
      <c r="C13" s="16">
        <v>157</v>
      </c>
      <c r="D13" s="16">
        <v>174</v>
      </c>
      <c r="E13" s="16">
        <v>247</v>
      </c>
      <c r="F13" s="16">
        <v>208</v>
      </c>
      <c r="G13" s="16">
        <v>225</v>
      </c>
      <c r="H13" s="16">
        <v>128</v>
      </c>
      <c r="I13" s="16">
        <v>255</v>
      </c>
      <c r="J13" s="16">
        <v>171</v>
      </c>
      <c r="K13" s="16">
        <v>147</v>
      </c>
      <c r="L13" s="16">
        <v>229</v>
      </c>
      <c r="M13" s="16">
        <v>14</v>
      </c>
      <c r="N13" s="16">
        <v>119</v>
      </c>
      <c r="O13" s="16">
        <v>110</v>
      </c>
      <c r="P13" s="16">
        <v>233</v>
      </c>
      <c r="Q13" s="16">
        <v>143</v>
      </c>
      <c r="R13" s="16">
        <v>421</v>
      </c>
      <c r="S13" s="16"/>
      <c r="T13" s="16"/>
      <c r="U13" s="17">
        <v>284</v>
      </c>
      <c r="V13" s="17"/>
      <c r="W13" s="17">
        <v>188</v>
      </c>
      <c r="X13" s="17">
        <v>212</v>
      </c>
      <c r="Y13" s="17">
        <v>173</v>
      </c>
      <c r="Z13" s="17">
        <v>205</v>
      </c>
      <c r="AA13" s="17">
        <v>411</v>
      </c>
      <c r="AB13" s="17">
        <v>503</v>
      </c>
      <c r="AC13" s="17">
        <v>503</v>
      </c>
      <c r="AD13" s="17">
        <v>278</v>
      </c>
      <c r="AE13" s="99">
        <v>428</v>
      </c>
      <c r="AG13" s="10">
        <f>18+55+24</f>
        <v>97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0"/>
        <v>184.2</v>
      </c>
      <c r="BK13">
        <f t="shared" si="1"/>
        <v>194.1</v>
      </c>
      <c r="BL13">
        <f t="shared" si="2"/>
        <v>179.8</v>
      </c>
      <c r="BM13">
        <f t="shared" si="3"/>
        <v>174.3</v>
      </c>
      <c r="BN13">
        <f t="shared" si="4"/>
        <v>160.6</v>
      </c>
      <c r="BO13">
        <f t="shared" si="5"/>
        <v>163.1</v>
      </c>
      <c r="BP13">
        <f t="shared" si="6"/>
        <v>154.9</v>
      </c>
      <c r="BQ13">
        <f t="shared" si="7"/>
        <v>184.2</v>
      </c>
      <c r="BR13">
        <f t="shared" si="8"/>
        <v>176.33333333333334</v>
      </c>
      <c r="BS13">
        <f t="shared" si="9"/>
        <v>177</v>
      </c>
      <c r="BT13">
        <f t="shared" si="10"/>
        <v>194.125</v>
      </c>
      <c r="BU13">
        <f t="shared" si="11"/>
        <v>189.14285714285714</v>
      </c>
      <c r="BV13">
        <f t="shared" si="12"/>
        <v>214</v>
      </c>
      <c r="BW13">
        <f t="shared" si="13"/>
        <v>227.28571428571428</v>
      </c>
      <c r="BX13">
        <f t="shared" si="14"/>
        <v>236.28571428571428</v>
      </c>
      <c r="BZ13">
        <f t="shared" si="15"/>
        <v>232.28571428571428</v>
      </c>
      <c r="CA13">
        <f t="shared" si="16"/>
        <v>270.57142857142856</v>
      </c>
      <c r="CB13">
        <f t="shared" si="17"/>
        <v>282.28571428571428</v>
      </c>
      <c r="CC13">
        <f t="shared" si="18"/>
        <v>309.875</v>
      </c>
      <c r="CD13">
        <f t="shared" si="19"/>
        <v>306.33333333333331</v>
      </c>
      <c r="CE13">
        <f t="shared" si="20"/>
        <v>322.33333333333331</v>
      </c>
      <c r="CF13">
        <f t="shared" si="21"/>
        <v>322.33333333333331</v>
      </c>
      <c r="CG13">
        <f t="shared" si="22"/>
        <v>312.22222222222223</v>
      </c>
      <c r="CH13">
        <f t="shared" si="23"/>
        <v>324.75</v>
      </c>
      <c r="CI13">
        <f t="shared" si="24"/>
        <v>346.42857142857144</v>
      </c>
      <c r="CJ13">
        <f t="shared" si="25"/>
        <v>370</v>
      </c>
      <c r="CK13">
        <f t="shared" si="26"/>
        <v>361.8</v>
      </c>
      <c r="CL13">
        <f t="shared" si="27"/>
        <v>326.5</v>
      </c>
      <c r="CM13">
        <f t="shared" si="28"/>
        <v>267.66666666666669</v>
      </c>
      <c r="CN13">
        <f t="shared" si="29"/>
        <v>262.5</v>
      </c>
      <c r="CO13">
        <f t="shared" si="30"/>
        <v>97</v>
      </c>
      <c r="CP13">
        <f t="shared" si="31"/>
        <v>97</v>
      </c>
      <c r="CQ13" t="e">
        <f t="shared" si="32"/>
        <v>#DIV/0!</v>
      </c>
      <c r="CR13" t="e">
        <f t="shared" si="33"/>
        <v>#DIV/0!</v>
      </c>
      <c r="CS13" t="e">
        <f t="shared" si="34"/>
        <v>#DIV/0!</v>
      </c>
      <c r="CT13" t="e">
        <f t="shared" si="35"/>
        <v>#DIV/0!</v>
      </c>
      <c r="CU13" t="e">
        <f t="shared" si="36"/>
        <v>#DIV/0!</v>
      </c>
      <c r="CV13" t="e">
        <f t="shared" si="37"/>
        <v>#DIV/0!</v>
      </c>
      <c r="CW13" t="e">
        <f t="shared" si="38"/>
        <v>#DIV/0!</v>
      </c>
      <c r="CX13" t="e">
        <f t="shared" si="39"/>
        <v>#DIV/0!</v>
      </c>
      <c r="CY13" t="e">
        <f t="shared" si="40"/>
        <v>#DIV/0!</v>
      </c>
      <c r="CZ13" t="e">
        <f t="shared" si="41"/>
        <v>#DIV/0!</v>
      </c>
      <c r="DA13" t="e">
        <f t="shared" si="42"/>
        <v>#N/A</v>
      </c>
      <c r="DB13" t="e">
        <f t="shared" si="43"/>
        <v>#N/A</v>
      </c>
      <c r="DC13" t="e">
        <f t="shared" si="44"/>
        <v>#N/A</v>
      </c>
      <c r="DD13" t="e">
        <f t="shared" si="45"/>
        <v>#N/A</v>
      </c>
      <c r="DE13" t="e">
        <f t="shared" si="46"/>
        <v>#N/A</v>
      </c>
    </row>
    <row r="14" spans="1:109" ht="20" customHeight="1" x14ac:dyDescent="0.2">
      <c r="A14" s="7" t="s">
        <v>9</v>
      </c>
      <c r="B14" s="14">
        <v>169</v>
      </c>
      <c r="C14" s="14">
        <v>117</v>
      </c>
      <c r="D14" s="14">
        <v>256</v>
      </c>
      <c r="E14" s="14">
        <v>309</v>
      </c>
      <c r="F14" s="14">
        <v>131</v>
      </c>
      <c r="G14" s="14">
        <v>180</v>
      </c>
      <c r="H14" s="14">
        <v>253</v>
      </c>
      <c r="I14" s="14">
        <v>272</v>
      </c>
      <c r="J14" s="14">
        <v>212</v>
      </c>
      <c r="K14" s="14">
        <v>180</v>
      </c>
      <c r="L14" s="14">
        <v>148</v>
      </c>
      <c r="M14" s="14">
        <v>47</v>
      </c>
      <c r="N14" s="14">
        <v>162</v>
      </c>
      <c r="O14" s="14">
        <v>151</v>
      </c>
      <c r="P14" s="14">
        <v>114</v>
      </c>
      <c r="Q14" s="14">
        <v>194</v>
      </c>
      <c r="R14" s="14">
        <v>201</v>
      </c>
      <c r="S14" s="14"/>
      <c r="T14" s="14"/>
      <c r="U14" s="15">
        <v>6</v>
      </c>
      <c r="V14" s="15"/>
      <c r="W14" s="15">
        <v>48</v>
      </c>
      <c r="X14" s="15">
        <v>209</v>
      </c>
      <c r="Y14" s="15">
        <v>177</v>
      </c>
      <c r="Z14" s="15">
        <v>226</v>
      </c>
      <c r="AA14" s="15">
        <v>205</v>
      </c>
      <c r="AB14" s="15">
        <v>292</v>
      </c>
      <c r="AC14" s="15">
        <v>292</v>
      </c>
      <c r="AD14" s="15">
        <v>253</v>
      </c>
      <c r="AE14" s="99">
        <v>279</v>
      </c>
      <c r="AF14" s="124"/>
      <c r="AG14" s="124">
        <f>30+48+37</f>
        <v>115</v>
      </c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0"/>
        <v>207.9</v>
      </c>
      <c r="BK14">
        <f t="shared" si="1"/>
        <v>205.8</v>
      </c>
      <c r="BL14">
        <f t="shared" si="2"/>
        <v>198.8</v>
      </c>
      <c r="BM14">
        <f t="shared" si="3"/>
        <v>189.4</v>
      </c>
      <c r="BN14">
        <f t="shared" si="4"/>
        <v>173.6</v>
      </c>
      <c r="BO14">
        <f t="shared" si="5"/>
        <v>171.9</v>
      </c>
      <c r="BP14">
        <f t="shared" si="6"/>
        <v>173.3</v>
      </c>
      <c r="BQ14">
        <f t="shared" si="7"/>
        <v>168.1</v>
      </c>
      <c r="BR14">
        <f t="shared" si="8"/>
        <v>156.55555555555554</v>
      </c>
      <c r="BS14">
        <f t="shared" si="9"/>
        <v>149.625</v>
      </c>
      <c r="BT14">
        <f t="shared" si="10"/>
        <v>127.875</v>
      </c>
      <c r="BU14">
        <f t="shared" si="11"/>
        <v>125</v>
      </c>
      <c r="BV14">
        <f t="shared" si="12"/>
        <v>125.14285714285714</v>
      </c>
      <c r="BW14">
        <f t="shared" si="13"/>
        <v>131.85714285714286</v>
      </c>
      <c r="BX14">
        <f t="shared" si="14"/>
        <v>135.57142857142858</v>
      </c>
      <c r="BY14" s="124"/>
      <c r="BZ14">
        <f t="shared" si="15"/>
        <v>151.57142857142858</v>
      </c>
      <c r="CA14">
        <f t="shared" si="16"/>
        <v>153.14285714285714</v>
      </c>
      <c r="CB14">
        <f t="shared" si="17"/>
        <v>166.14285714285714</v>
      </c>
      <c r="CC14">
        <f t="shared" si="18"/>
        <v>181.875</v>
      </c>
      <c r="CD14">
        <f t="shared" si="19"/>
        <v>189.77777777777777</v>
      </c>
      <c r="CE14">
        <f t="shared" si="20"/>
        <v>220.11111111111111</v>
      </c>
      <c r="CF14">
        <f t="shared" si="21"/>
        <v>220.11111111111111</v>
      </c>
      <c r="CG14">
        <f t="shared" si="22"/>
        <v>227.55555555555554</v>
      </c>
      <c r="CH14">
        <f t="shared" si="23"/>
        <v>229.875</v>
      </c>
      <c r="CI14">
        <f t="shared" si="24"/>
        <v>237.42857142857142</v>
      </c>
      <c r="CJ14">
        <f t="shared" si="25"/>
        <v>239.33333333333334</v>
      </c>
      <c r="CK14">
        <f t="shared" si="26"/>
        <v>246.2</v>
      </c>
      <c r="CL14">
        <f t="shared" si="27"/>
        <v>234.75</v>
      </c>
      <c r="CM14">
        <f t="shared" si="28"/>
        <v>215.66666666666666</v>
      </c>
      <c r="CN14">
        <f t="shared" si="29"/>
        <v>197</v>
      </c>
      <c r="CO14">
        <f t="shared" si="30"/>
        <v>115</v>
      </c>
      <c r="CP14">
        <f t="shared" si="31"/>
        <v>115</v>
      </c>
      <c r="CQ14" t="e">
        <f t="shared" si="32"/>
        <v>#DIV/0!</v>
      </c>
      <c r="CR14" t="e">
        <f t="shared" si="33"/>
        <v>#DIV/0!</v>
      </c>
      <c r="CS14" t="e">
        <f t="shared" si="34"/>
        <v>#DIV/0!</v>
      </c>
      <c r="CT14" t="e">
        <f t="shared" si="35"/>
        <v>#DIV/0!</v>
      </c>
      <c r="CU14" t="e">
        <f t="shared" si="36"/>
        <v>#DIV/0!</v>
      </c>
      <c r="CV14" t="e">
        <f t="shared" si="37"/>
        <v>#DIV/0!</v>
      </c>
      <c r="CW14" t="e">
        <f t="shared" si="38"/>
        <v>#DIV/0!</v>
      </c>
      <c r="CX14" t="e">
        <f t="shared" si="39"/>
        <v>#DIV/0!</v>
      </c>
      <c r="CY14" t="e">
        <f t="shared" si="40"/>
        <v>#DIV/0!</v>
      </c>
      <c r="CZ14" t="e">
        <f t="shared" si="41"/>
        <v>#DIV/0!</v>
      </c>
      <c r="DA14" t="e">
        <f t="shared" si="42"/>
        <v>#N/A</v>
      </c>
      <c r="DB14" t="e">
        <f t="shared" si="43"/>
        <v>#N/A</v>
      </c>
      <c r="DC14" t="e">
        <f t="shared" si="44"/>
        <v>#N/A</v>
      </c>
      <c r="DD14" t="e">
        <f t="shared" si="45"/>
        <v>#N/A</v>
      </c>
      <c r="DE14" t="e">
        <f t="shared" si="46"/>
        <v>#N/A</v>
      </c>
    </row>
    <row r="15" spans="1:109" s="10" customFormat="1" ht="20" customHeight="1" x14ac:dyDescent="0.2">
      <c r="A15" s="9" t="s">
        <v>10</v>
      </c>
      <c r="B15" s="16">
        <v>83</v>
      </c>
      <c r="C15" s="16">
        <v>28</v>
      </c>
      <c r="D15" s="16">
        <v>78</v>
      </c>
      <c r="E15" s="16">
        <v>64</v>
      </c>
      <c r="F15" s="16">
        <v>74</v>
      </c>
      <c r="G15" s="16">
        <v>81</v>
      </c>
      <c r="H15" s="16">
        <v>60</v>
      </c>
      <c r="I15" s="16">
        <v>106</v>
      </c>
      <c r="J15" s="16">
        <v>541</v>
      </c>
      <c r="K15" s="16">
        <v>89</v>
      </c>
      <c r="L15" s="16">
        <v>60</v>
      </c>
      <c r="M15" s="16">
        <v>32</v>
      </c>
      <c r="N15" s="16">
        <v>97</v>
      </c>
      <c r="O15" s="16">
        <v>50</v>
      </c>
      <c r="P15" s="16">
        <v>85</v>
      </c>
      <c r="Q15" s="16">
        <v>156</v>
      </c>
      <c r="R15" s="16">
        <v>92</v>
      </c>
      <c r="S15" s="16"/>
      <c r="T15" s="16"/>
      <c r="U15" s="17">
        <v>23</v>
      </c>
      <c r="V15" s="17"/>
      <c r="W15" s="17">
        <v>39</v>
      </c>
      <c r="X15" s="17">
        <v>47</v>
      </c>
      <c r="Y15" s="17">
        <v>99</v>
      </c>
      <c r="Z15" s="17">
        <v>129</v>
      </c>
      <c r="AA15" s="17">
        <v>89</v>
      </c>
      <c r="AB15" s="17">
        <v>145</v>
      </c>
      <c r="AC15" s="17">
        <v>145</v>
      </c>
      <c r="AD15" s="17">
        <v>186</v>
      </c>
      <c r="AE15" s="99">
        <v>158.66666666666666</v>
      </c>
      <c r="AG15" s="10">
        <f>1+50+19</f>
        <v>70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0"/>
        <v>120.4</v>
      </c>
      <c r="BK15">
        <f t="shared" si="1"/>
        <v>118.1</v>
      </c>
      <c r="BL15">
        <f t="shared" si="2"/>
        <v>118.5</v>
      </c>
      <c r="BM15">
        <f t="shared" si="3"/>
        <v>120.4</v>
      </c>
      <c r="BN15">
        <f t="shared" si="4"/>
        <v>119</v>
      </c>
      <c r="BO15">
        <f t="shared" si="5"/>
        <v>120.1</v>
      </c>
      <c r="BP15">
        <f t="shared" si="6"/>
        <v>127.6</v>
      </c>
      <c r="BQ15">
        <f t="shared" si="7"/>
        <v>130.80000000000001</v>
      </c>
      <c r="BR15">
        <f t="shared" si="8"/>
        <v>133.55555555555554</v>
      </c>
      <c r="BS15">
        <f t="shared" si="9"/>
        <v>82.625</v>
      </c>
      <c r="BT15">
        <f t="shared" si="10"/>
        <v>74.375</v>
      </c>
      <c r="BU15">
        <f t="shared" si="11"/>
        <v>76.428571428571431</v>
      </c>
      <c r="BV15">
        <f t="shared" si="12"/>
        <v>77.428571428571431</v>
      </c>
      <c r="BW15">
        <f t="shared" si="13"/>
        <v>70.285714285714292</v>
      </c>
      <c r="BX15">
        <f t="shared" si="14"/>
        <v>77.285714285714292</v>
      </c>
      <c r="BZ15">
        <f t="shared" si="15"/>
        <v>83.571428571428569</v>
      </c>
      <c r="CA15">
        <f t="shared" si="16"/>
        <v>74</v>
      </c>
      <c r="CB15">
        <f t="shared" si="17"/>
        <v>81.571428571428569</v>
      </c>
      <c r="CC15">
        <f t="shared" si="18"/>
        <v>89.5</v>
      </c>
      <c r="CD15">
        <f t="shared" si="19"/>
        <v>100.22222222222223</v>
      </c>
      <c r="CE15">
        <f t="shared" si="20"/>
        <v>115.2962962962963</v>
      </c>
      <c r="CF15">
        <f t="shared" si="21"/>
        <v>115.2962962962963</v>
      </c>
      <c r="CG15">
        <f t="shared" si="22"/>
        <v>118.74074074074072</v>
      </c>
      <c r="CH15">
        <f t="shared" si="23"/>
        <v>127.70833333333333</v>
      </c>
      <c r="CI15">
        <f t="shared" si="24"/>
        <v>131.8095238095238</v>
      </c>
      <c r="CJ15">
        <f t="shared" si="25"/>
        <v>132.27777777777777</v>
      </c>
      <c r="CK15">
        <f t="shared" si="26"/>
        <v>140.93333333333334</v>
      </c>
      <c r="CL15">
        <f t="shared" si="27"/>
        <v>139.91666666666666</v>
      </c>
      <c r="CM15">
        <f t="shared" si="28"/>
        <v>138.2222222222222</v>
      </c>
      <c r="CN15">
        <f t="shared" si="29"/>
        <v>114.33333333333333</v>
      </c>
      <c r="CO15">
        <f t="shared" si="30"/>
        <v>70</v>
      </c>
      <c r="CP15">
        <f t="shared" si="31"/>
        <v>70</v>
      </c>
      <c r="CQ15" t="e">
        <f t="shared" si="32"/>
        <v>#DIV/0!</v>
      </c>
      <c r="CR15" t="e">
        <f t="shared" si="33"/>
        <v>#DIV/0!</v>
      </c>
      <c r="CS15" t="e">
        <f t="shared" si="34"/>
        <v>#DIV/0!</v>
      </c>
      <c r="CT15" t="e">
        <f t="shared" si="35"/>
        <v>#DIV/0!</v>
      </c>
      <c r="CU15" t="e">
        <f t="shared" si="36"/>
        <v>#DIV/0!</v>
      </c>
      <c r="CV15" t="e">
        <f t="shared" si="37"/>
        <v>#DIV/0!</v>
      </c>
      <c r="CW15" t="e">
        <f t="shared" si="38"/>
        <v>#DIV/0!</v>
      </c>
      <c r="CX15" t="e">
        <f t="shared" si="39"/>
        <v>#DIV/0!</v>
      </c>
      <c r="CY15" t="e">
        <f t="shared" si="40"/>
        <v>#DIV/0!</v>
      </c>
      <c r="CZ15" t="e">
        <f t="shared" si="41"/>
        <v>#DIV/0!</v>
      </c>
      <c r="DA15" t="e">
        <f t="shared" si="42"/>
        <v>#N/A</v>
      </c>
      <c r="DB15" t="e">
        <f t="shared" si="43"/>
        <v>#N/A</v>
      </c>
      <c r="DC15" t="e">
        <f t="shared" si="44"/>
        <v>#N/A</v>
      </c>
      <c r="DD15" t="e">
        <f t="shared" si="45"/>
        <v>#N/A</v>
      </c>
      <c r="DE15" t="e">
        <f t="shared" si="46"/>
        <v>#N/A</v>
      </c>
    </row>
    <row r="16" spans="1:109" ht="20" customHeight="1" x14ac:dyDescent="0.2">
      <c r="A16" s="7" t="s">
        <v>11</v>
      </c>
      <c r="B16" s="14">
        <v>32</v>
      </c>
      <c r="C16" s="14">
        <v>2</v>
      </c>
      <c r="D16" s="14">
        <v>25</v>
      </c>
      <c r="E16" s="14">
        <v>66</v>
      </c>
      <c r="F16" s="14">
        <v>29</v>
      </c>
      <c r="G16" s="14">
        <v>21</v>
      </c>
      <c r="H16" s="14">
        <v>33</v>
      </c>
      <c r="I16" s="14">
        <v>26</v>
      </c>
      <c r="J16" s="14">
        <v>93</v>
      </c>
      <c r="K16" s="14">
        <v>39</v>
      </c>
      <c r="L16" s="14">
        <v>47</v>
      </c>
      <c r="M16" s="14">
        <v>21</v>
      </c>
      <c r="N16" s="14">
        <v>69</v>
      </c>
      <c r="O16" s="14">
        <v>18</v>
      </c>
      <c r="P16" s="14">
        <v>26</v>
      </c>
      <c r="Q16" s="14">
        <v>67</v>
      </c>
      <c r="R16" s="14">
        <v>13</v>
      </c>
      <c r="S16" s="14"/>
      <c r="T16" s="14"/>
      <c r="U16" s="15">
        <v>12</v>
      </c>
      <c r="V16" s="15"/>
      <c r="W16" s="15">
        <v>24</v>
      </c>
      <c r="X16" s="15">
        <v>4</v>
      </c>
      <c r="Y16" s="15">
        <v>78</v>
      </c>
      <c r="Z16" s="15">
        <v>105</v>
      </c>
      <c r="AA16" s="15">
        <v>32</v>
      </c>
      <c r="AB16" s="15">
        <v>68</v>
      </c>
      <c r="AC16" s="15">
        <v>68</v>
      </c>
      <c r="AD16" s="15">
        <v>45</v>
      </c>
      <c r="AE16" s="99">
        <v>60.333333333333336</v>
      </c>
      <c r="AF16" s="124"/>
      <c r="AG16" s="124">
        <f>22+29</f>
        <v>51</v>
      </c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0"/>
        <v>36.6</v>
      </c>
      <c r="BK16">
        <f t="shared" si="1"/>
        <v>38.1</v>
      </c>
      <c r="BL16">
        <f t="shared" si="2"/>
        <v>40</v>
      </c>
      <c r="BM16">
        <f t="shared" si="3"/>
        <v>44.4</v>
      </c>
      <c r="BN16">
        <f t="shared" si="4"/>
        <v>39.6</v>
      </c>
      <c r="BO16">
        <f t="shared" si="5"/>
        <v>39.299999999999997</v>
      </c>
      <c r="BP16">
        <f t="shared" si="6"/>
        <v>43.9</v>
      </c>
      <c r="BQ16">
        <f t="shared" si="7"/>
        <v>41.9</v>
      </c>
      <c r="BR16">
        <f t="shared" si="8"/>
        <v>43.666666666666664</v>
      </c>
      <c r="BS16">
        <f t="shared" si="9"/>
        <v>37.5</v>
      </c>
      <c r="BT16">
        <f t="shared" si="10"/>
        <v>34.125</v>
      </c>
      <c r="BU16">
        <f t="shared" si="11"/>
        <v>32.285714285714285</v>
      </c>
      <c r="BV16">
        <f t="shared" si="12"/>
        <v>32.714285714285715</v>
      </c>
      <c r="BW16">
        <f t="shared" si="13"/>
        <v>23.428571428571427</v>
      </c>
      <c r="BX16">
        <f t="shared" si="14"/>
        <v>32</v>
      </c>
      <c r="BY16" s="124"/>
      <c r="BZ16">
        <f t="shared" si="15"/>
        <v>43.285714285714285</v>
      </c>
      <c r="CA16">
        <f t="shared" si="16"/>
        <v>38.285714285714285</v>
      </c>
      <c r="CB16">
        <f t="shared" si="17"/>
        <v>46.142857142857146</v>
      </c>
      <c r="CC16">
        <f t="shared" si="18"/>
        <v>48.875</v>
      </c>
      <c r="CD16">
        <f t="shared" si="19"/>
        <v>48.444444444444443</v>
      </c>
      <c r="CE16">
        <f t="shared" si="20"/>
        <v>53.81481481481481</v>
      </c>
      <c r="CF16">
        <f t="shared" si="21"/>
        <v>53.81481481481481</v>
      </c>
      <c r="CG16">
        <f t="shared" si="22"/>
        <v>56.81481481481481</v>
      </c>
      <c r="CH16">
        <f t="shared" si="23"/>
        <v>63.416666666666664</v>
      </c>
      <c r="CI16">
        <f t="shared" si="24"/>
        <v>61.333333333333329</v>
      </c>
      <c r="CJ16">
        <f t="shared" si="25"/>
        <v>54.05555555555555</v>
      </c>
      <c r="CK16">
        <f t="shared" si="26"/>
        <v>58.466666666666676</v>
      </c>
      <c r="CL16">
        <f t="shared" si="27"/>
        <v>56.083333333333336</v>
      </c>
      <c r="CM16">
        <f t="shared" si="28"/>
        <v>52.111111111111114</v>
      </c>
      <c r="CN16">
        <f t="shared" si="29"/>
        <v>55.666666666666671</v>
      </c>
      <c r="CO16">
        <f t="shared" si="30"/>
        <v>51</v>
      </c>
      <c r="CP16">
        <f t="shared" si="31"/>
        <v>51</v>
      </c>
      <c r="CQ16" t="e">
        <f t="shared" si="32"/>
        <v>#DIV/0!</v>
      </c>
      <c r="CR16" t="e">
        <f t="shared" si="33"/>
        <v>#DIV/0!</v>
      </c>
      <c r="CS16" t="e">
        <f t="shared" si="34"/>
        <v>#DIV/0!</v>
      </c>
      <c r="CT16" t="e">
        <f t="shared" si="35"/>
        <v>#DIV/0!</v>
      </c>
      <c r="CU16" t="e">
        <f t="shared" si="36"/>
        <v>#DIV/0!</v>
      </c>
      <c r="CV16" t="e">
        <f t="shared" si="37"/>
        <v>#DIV/0!</v>
      </c>
      <c r="CW16" t="e">
        <f t="shared" si="38"/>
        <v>#DIV/0!</v>
      </c>
      <c r="CX16" t="e">
        <f t="shared" si="39"/>
        <v>#DIV/0!</v>
      </c>
      <c r="CY16" t="e">
        <f t="shared" si="40"/>
        <v>#DIV/0!</v>
      </c>
      <c r="CZ16" t="e">
        <f t="shared" si="41"/>
        <v>#DIV/0!</v>
      </c>
      <c r="DA16" t="e">
        <f t="shared" si="42"/>
        <v>#N/A</v>
      </c>
      <c r="DB16" t="e">
        <f t="shared" si="43"/>
        <v>#N/A</v>
      </c>
      <c r="DC16" t="e">
        <f t="shared" si="44"/>
        <v>#N/A</v>
      </c>
      <c r="DD16" t="e">
        <f t="shared" si="45"/>
        <v>#N/A</v>
      </c>
      <c r="DE16" t="e">
        <f t="shared" si="46"/>
        <v>#N/A</v>
      </c>
    </row>
    <row r="17" spans="1:82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Y17" s="120"/>
    </row>
    <row r="18" spans="1:82" s="25" customFormat="1" ht="20" customHeight="1" x14ac:dyDescent="0.2">
      <c r="A18" s="21" t="s">
        <v>32</v>
      </c>
      <c r="B18" s="22">
        <f t="shared" ref="B18:AG18" si="47">SUM(B5:B16)</f>
        <v>1389</v>
      </c>
      <c r="C18" s="22">
        <f t="shared" si="47"/>
        <v>828</v>
      </c>
      <c r="D18" s="22">
        <f t="shared" si="47"/>
        <v>1419</v>
      </c>
      <c r="E18" s="22">
        <f t="shared" si="47"/>
        <v>1892</v>
      </c>
      <c r="F18" s="22">
        <f t="shared" si="47"/>
        <v>2212</v>
      </c>
      <c r="G18" s="22">
        <f t="shared" si="47"/>
        <v>1948</v>
      </c>
      <c r="H18" s="22">
        <f t="shared" si="47"/>
        <v>2078</v>
      </c>
      <c r="I18" s="22">
        <f t="shared" si="47"/>
        <v>2305</v>
      </c>
      <c r="J18" s="22">
        <f t="shared" si="47"/>
        <v>2420</v>
      </c>
      <c r="K18" s="22">
        <f t="shared" si="47"/>
        <v>1495</v>
      </c>
      <c r="L18" s="22">
        <f t="shared" si="47"/>
        <v>1723</v>
      </c>
      <c r="M18" s="22">
        <f t="shared" si="47"/>
        <v>1426</v>
      </c>
      <c r="N18" s="22">
        <f t="shared" si="47"/>
        <v>1453</v>
      </c>
      <c r="O18" s="22">
        <f t="shared" si="47"/>
        <v>1507</v>
      </c>
      <c r="P18" s="22">
        <f t="shared" si="47"/>
        <v>1532</v>
      </c>
      <c r="Q18" s="22">
        <f t="shared" si="47"/>
        <v>1818</v>
      </c>
      <c r="R18" s="22">
        <f t="shared" si="47"/>
        <v>2220</v>
      </c>
      <c r="S18" s="22">
        <f t="shared" si="47"/>
        <v>0</v>
      </c>
      <c r="T18" s="22">
        <f t="shared" si="47"/>
        <v>0</v>
      </c>
      <c r="U18" s="22">
        <f t="shared" si="47"/>
        <v>836</v>
      </c>
      <c r="V18" s="22">
        <f t="shared" si="47"/>
        <v>0</v>
      </c>
      <c r="W18" s="22">
        <f t="shared" si="47"/>
        <v>1851</v>
      </c>
      <c r="X18" s="22">
        <f t="shared" si="47"/>
        <v>1912</v>
      </c>
      <c r="Y18" s="22">
        <f t="shared" si="47"/>
        <v>2061</v>
      </c>
      <c r="Z18" s="22">
        <f t="shared" si="47"/>
        <v>2252</v>
      </c>
      <c r="AA18" s="22">
        <f t="shared" si="47"/>
        <v>3441</v>
      </c>
      <c r="AB18" s="22">
        <f t="shared" si="47"/>
        <v>3872</v>
      </c>
      <c r="AC18" s="22">
        <f t="shared" si="47"/>
        <v>3492</v>
      </c>
      <c r="AD18" s="22">
        <f t="shared" si="47"/>
        <v>3170</v>
      </c>
      <c r="AE18" s="22">
        <f t="shared" si="47"/>
        <v>3511.3333333333335</v>
      </c>
      <c r="AF18" s="22">
        <f t="shared" si="47"/>
        <v>0</v>
      </c>
      <c r="AG18" s="22">
        <f t="shared" si="47"/>
        <v>1025</v>
      </c>
      <c r="AH18" s="22">
        <f t="shared" ref="AH18:AZ18" si="48">SUM(AH5:AH16)</f>
        <v>0</v>
      </c>
      <c r="AI18" s="22">
        <f t="shared" si="48"/>
        <v>0</v>
      </c>
      <c r="AJ18" s="22">
        <f t="shared" si="48"/>
        <v>0</v>
      </c>
      <c r="AK18" s="22">
        <f t="shared" si="48"/>
        <v>0</v>
      </c>
      <c r="AL18" s="22">
        <f t="shared" si="48"/>
        <v>0</v>
      </c>
      <c r="AM18" s="22">
        <f t="shared" si="48"/>
        <v>0</v>
      </c>
      <c r="AN18" s="22">
        <f t="shared" si="48"/>
        <v>0</v>
      </c>
      <c r="AO18" s="22">
        <f t="shared" si="48"/>
        <v>0</v>
      </c>
      <c r="AP18" s="22">
        <f t="shared" si="48"/>
        <v>0</v>
      </c>
      <c r="AQ18" s="22">
        <f t="shared" si="48"/>
        <v>0</v>
      </c>
      <c r="AR18" s="22">
        <f t="shared" si="48"/>
        <v>0</v>
      </c>
      <c r="AS18" s="22">
        <f t="shared" si="48"/>
        <v>0</v>
      </c>
      <c r="AT18" s="22">
        <f t="shared" si="48"/>
        <v>0</v>
      </c>
      <c r="AU18" s="22">
        <f t="shared" si="48"/>
        <v>0</v>
      </c>
      <c r="AV18" s="22">
        <f t="shared" si="48"/>
        <v>0</v>
      </c>
      <c r="AW18" s="22">
        <f t="shared" si="48"/>
        <v>0</v>
      </c>
      <c r="AX18" s="22">
        <f t="shared" si="48"/>
        <v>0</v>
      </c>
      <c r="AY18" s="22">
        <f t="shared" si="48"/>
        <v>0</v>
      </c>
      <c r="AZ18" s="22">
        <f t="shared" si="48"/>
        <v>0</v>
      </c>
      <c r="BA18" s="24"/>
      <c r="BY18" s="22">
        <f>SUM(BY5:BY16)</f>
        <v>573</v>
      </c>
      <c r="BZ18" s="25">
        <f>AVERAGE(Q18:Z18)</f>
        <v>1295</v>
      </c>
      <c r="CA18" s="25">
        <f>AVERAGE(R18:AA18)</f>
        <v>1457.3</v>
      </c>
      <c r="CB18" s="25">
        <f>AVERAGE(S18:AB18)</f>
        <v>1622.5</v>
      </c>
      <c r="CC18" s="25">
        <f>AVERAGE(T18:AC18)</f>
        <v>1971.7</v>
      </c>
      <c r="CD18" s="25">
        <f>AVERAGE(U18:AD18)</f>
        <v>2288.6999999999998</v>
      </c>
    </row>
    <row r="19" spans="1:82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2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2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2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2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2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2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2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2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2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2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2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2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2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transitionEvaluation="1" codeName="Sheet33">
    <tabColor theme="0"/>
  </sheetPr>
  <dimension ref="A1:DN192"/>
  <sheetViews>
    <sheetView defaultGridColor="0" colorId="22" zoomScale="70" zoomScaleNormal="70" workbookViewId="0">
      <pane xSplit="1" topLeftCell="B1" activePane="topRight" state="frozen"/>
      <selection activeCell="B1" sqref="B1:U1048576"/>
      <selection pane="topRight" activeCell="AK8" sqref="AK8"/>
    </sheetView>
  </sheetViews>
  <sheetFormatPr baseColWidth="10" defaultColWidth="9.42578125" defaultRowHeight="20" customHeight="1" x14ac:dyDescent="0.2"/>
  <cols>
    <col min="1" max="1" width="22.28515625" style="5" customWidth="1"/>
    <col min="2" max="22" width="5.7109375" style="5" hidden="1" customWidth="1"/>
    <col min="23" max="28" width="5.7109375" style="5" customWidth="1"/>
    <col min="29" max="29" width="6.5703125" style="5" customWidth="1"/>
    <col min="30" max="30" width="6.42578125" style="5" customWidth="1"/>
    <col min="31" max="31" width="5.7109375" customWidth="1"/>
    <col min="32" max="52" width="9.42578125" customWidth="1"/>
    <col min="53" max="74" width="9.42578125" style="5" customWidth="1"/>
    <col min="75" max="75" width="4.7109375" style="5" customWidth="1"/>
    <col min="76" max="76" width="10.28515625" style="5" customWidth="1"/>
    <col min="77" max="77" width="14.42578125" style="5" customWidth="1"/>
    <col min="78" max="79" width="16.5703125" style="5" customWidth="1"/>
    <col min="80" max="80" width="17.5703125" style="5" customWidth="1"/>
    <col min="81" max="81" width="9.42578125" style="5" customWidth="1"/>
    <col min="82" max="82" width="16.85546875" style="5" customWidth="1"/>
    <col min="83" max="114" width="9.42578125" style="5" hidden="1" customWidth="1"/>
    <col min="115" max="116" width="0" style="5" hidden="1" customWidth="1"/>
    <col min="117" max="117" width="3" style="5" customWidth="1"/>
    <col min="118" max="16384" width="9.42578125" style="5"/>
  </cols>
  <sheetData>
    <row r="1" spans="1:118" s="34" customFormat="1" ht="25" customHeight="1" x14ac:dyDescent="0.2">
      <c r="A1" s="31" t="s">
        <v>14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18" s="34" customFormat="1" ht="25" customHeight="1" x14ac:dyDescent="0.25">
      <c r="A2" s="36" t="s">
        <v>50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18" s="29" customFormat="1" ht="35.25" customHeight="1" x14ac:dyDescent="0.25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  <c r="DN3" s="133" t="s">
        <v>112</v>
      </c>
    </row>
    <row r="4" spans="1:11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18" s="10" customFormat="1" ht="20" customHeight="1" x14ac:dyDescent="0.2">
      <c r="A5" s="9" t="s">
        <v>0</v>
      </c>
      <c r="B5" s="16"/>
      <c r="C5" s="16"/>
      <c r="D5" s="16"/>
      <c r="E5" s="16"/>
      <c r="F5" s="16">
        <v>2</v>
      </c>
      <c r="G5" s="16">
        <v>1</v>
      </c>
      <c r="H5" s="16">
        <v>0</v>
      </c>
      <c r="I5" s="16">
        <v>11</v>
      </c>
      <c r="J5" s="16">
        <v>6</v>
      </c>
      <c r="K5" s="16">
        <v>65</v>
      </c>
      <c r="L5" s="16">
        <v>4</v>
      </c>
      <c r="M5" s="16">
        <v>6</v>
      </c>
      <c r="N5" s="16">
        <v>1</v>
      </c>
      <c r="O5" s="16">
        <v>3</v>
      </c>
      <c r="P5" s="16">
        <v>5</v>
      </c>
      <c r="Q5" s="16">
        <v>12</v>
      </c>
      <c r="R5" s="16">
        <v>13</v>
      </c>
      <c r="S5" s="16"/>
      <c r="T5" s="16"/>
      <c r="U5" s="17"/>
      <c r="V5" s="17"/>
      <c r="W5" s="17">
        <v>2</v>
      </c>
      <c r="X5" s="17">
        <v>11</v>
      </c>
      <c r="Y5" s="17">
        <v>5</v>
      </c>
      <c r="Z5" s="17">
        <v>3</v>
      </c>
      <c r="AA5" s="17">
        <v>28</v>
      </c>
      <c r="AB5" s="76">
        <v>28</v>
      </c>
      <c r="AC5" s="17">
        <v>32</v>
      </c>
      <c r="AD5" s="112">
        <v>29</v>
      </c>
      <c r="AE5" s="10">
        <v>37</v>
      </c>
      <c r="AF5" s="10">
        <v>44</v>
      </c>
      <c r="AG5" s="10">
        <v>7</v>
      </c>
      <c r="AH5" s="10">
        <f>(7+4+1+1+3+3)+(1+1+2+1+1+1+2+1+1+2+2)</f>
        <v>34</v>
      </c>
      <c r="AI5" s="10">
        <f>(2+1+2+4+1+2)</f>
        <v>12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14.166666666666666</v>
      </c>
      <c r="BK5">
        <f t="shared" ref="BK5:DD16" si="0">AVERAGE(C5:L5)</f>
        <v>12.714285714285714</v>
      </c>
      <c r="BL5">
        <f>AVERAGE(D5:M5)</f>
        <v>11.875</v>
      </c>
      <c r="BM5">
        <f t="shared" si="0"/>
        <v>10.666666666666666</v>
      </c>
      <c r="BN5">
        <f t="shared" si="0"/>
        <v>9.9</v>
      </c>
      <c r="BO5">
        <f t="shared" si="0"/>
        <v>10.199999999999999</v>
      </c>
      <c r="BP5">
        <f t="shared" si="0"/>
        <v>11.3</v>
      </c>
      <c r="BQ5">
        <f t="shared" si="0"/>
        <v>12.6</v>
      </c>
      <c r="BR5">
        <f t="shared" si="0"/>
        <v>12.777777777777779</v>
      </c>
      <c r="BS5">
        <f t="shared" si="0"/>
        <v>13.625</v>
      </c>
      <c r="BT5">
        <f t="shared" si="0"/>
        <v>6.2857142857142856</v>
      </c>
      <c r="BU5">
        <f t="shared" si="0"/>
        <v>6.666666666666667</v>
      </c>
      <c r="BV5">
        <f t="shared" si="0"/>
        <v>6</v>
      </c>
      <c r="BW5">
        <f t="shared" si="0"/>
        <v>7.666666666666667</v>
      </c>
      <c r="BX5">
        <f t="shared" si="0"/>
        <v>8</v>
      </c>
      <c r="BY5">
        <f t="shared" si="0"/>
        <v>7.666666666666667</v>
      </c>
      <c r="BZ5">
        <f t="shared" si="0"/>
        <v>10.333333333333334</v>
      </c>
      <c r="CA5">
        <f t="shared" si="0"/>
        <v>12.833333333333334</v>
      </c>
      <c r="CB5">
        <f t="shared" si="0"/>
        <v>15.571428571428571</v>
      </c>
      <c r="CC5">
        <f t="shared" si="0"/>
        <v>17.25</v>
      </c>
      <c r="CD5">
        <f t="shared" si="0"/>
        <v>19.444444444444443</v>
      </c>
      <c r="CE5">
        <f t="shared" si="0"/>
        <v>21.9</v>
      </c>
      <c r="CF5">
        <f t="shared" si="0"/>
        <v>22.4</v>
      </c>
      <c r="CG5">
        <f t="shared" si="0"/>
        <v>24.7</v>
      </c>
      <c r="CH5">
        <f t="shared" si="0"/>
        <v>25.4</v>
      </c>
      <c r="CI5">
        <f t="shared" si="0"/>
        <v>27.888888888888889</v>
      </c>
      <c r="CJ5">
        <f t="shared" si="0"/>
        <v>27.875</v>
      </c>
      <c r="CK5">
        <f t="shared" si="0"/>
        <v>27.857142857142858</v>
      </c>
      <c r="CL5">
        <f t="shared" si="0"/>
        <v>27.166666666666668</v>
      </c>
      <c r="CM5">
        <f t="shared" si="0"/>
        <v>26.8</v>
      </c>
      <c r="CN5">
        <f t="shared" si="0"/>
        <v>24.25</v>
      </c>
      <c r="CO5">
        <f t="shared" si="0"/>
        <v>17.666666666666668</v>
      </c>
      <c r="CP5">
        <f t="shared" si="0"/>
        <v>23</v>
      </c>
      <c r="CQ5">
        <f t="shared" si="0"/>
        <v>12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  <c r="DN5" s="10">
        <v>25</v>
      </c>
    </row>
    <row r="6" spans="1:118" ht="20" customHeight="1" x14ac:dyDescent="0.2">
      <c r="A6" s="7" t="s">
        <v>1</v>
      </c>
      <c r="B6" s="14"/>
      <c r="C6" s="14"/>
      <c r="D6" s="14"/>
      <c r="E6" s="14"/>
      <c r="F6" s="14">
        <v>2</v>
      </c>
      <c r="G6" s="14">
        <v>12</v>
      </c>
      <c r="H6" s="14">
        <v>12</v>
      </c>
      <c r="I6" s="14">
        <v>13</v>
      </c>
      <c r="J6" s="14">
        <v>8</v>
      </c>
      <c r="K6" s="14">
        <v>18</v>
      </c>
      <c r="L6" s="14">
        <v>0</v>
      </c>
      <c r="M6" s="14">
        <v>15</v>
      </c>
      <c r="N6" s="14">
        <v>10</v>
      </c>
      <c r="O6" s="14">
        <v>2</v>
      </c>
      <c r="P6" s="14">
        <v>5</v>
      </c>
      <c r="Q6" s="14">
        <v>4</v>
      </c>
      <c r="R6" s="14">
        <v>2</v>
      </c>
      <c r="S6" s="14"/>
      <c r="T6" s="14"/>
      <c r="U6" s="15"/>
      <c r="V6" s="15"/>
      <c r="W6" s="15">
        <v>2</v>
      </c>
      <c r="X6" s="15">
        <v>4</v>
      </c>
      <c r="Y6" s="15">
        <v>0</v>
      </c>
      <c r="Z6" s="15">
        <v>2</v>
      </c>
      <c r="AA6" s="15">
        <v>29</v>
      </c>
      <c r="AB6" s="76">
        <v>29</v>
      </c>
      <c r="AC6" s="15">
        <v>22</v>
      </c>
      <c r="AD6" s="111">
        <v>19</v>
      </c>
      <c r="AE6" s="124">
        <v>27</v>
      </c>
      <c r="AF6" s="124">
        <v>30</v>
      </c>
      <c r="AG6" s="124">
        <v>9</v>
      </c>
      <c r="AH6" s="124">
        <f>(2+2+2+1+2+2)</f>
        <v>11</v>
      </c>
      <c r="AI6" s="124">
        <f>(2+1+2+4+1+1+2)</f>
        <v>13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10.833333333333334</v>
      </c>
      <c r="BK6">
        <f t="shared" si="0"/>
        <v>9.2857142857142865</v>
      </c>
      <c r="BL6">
        <f t="shared" ref="BL6:BL16" si="2">AVERAGE(D6:M6)</f>
        <v>10</v>
      </c>
      <c r="BM6">
        <f t="shared" si="0"/>
        <v>10</v>
      </c>
      <c r="BN6">
        <f t="shared" si="0"/>
        <v>9.1999999999999993</v>
      </c>
      <c r="BO6">
        <f t="shared" si="0"/>
        <v>9.5</v>
      </c>
      <c r="BP6">
        <f t="shared" si="0"/>
        <v>8.6999999999999993</v>
      </c>
      <c r="BQ6">
        <f t="shared" si="0"/>
        <v>7.7</v>
      </c>
      <c r="BR6">
        <f t="shared" ref="BR6:BS16" si="3">AVERAGE(J6:S6)</f>
        <v>7.1111111111111107</v>
      </c>
      <c r="BS6">
        <f t="shared" si="3"/>
        <v>7</v>
      </c>
      <c r="BT6">
        <f t="shared" si="0"/>
        <v>5.4285714285714288</v>
      </c>
      <c r="BU6">
        <f t="shared" si="0"/>
        <v>6.333333333333333</v>
      </c>
      <c r="BV6">
        <f t="shared" si="0"/>
        <v>4.166666666666667</v>
      </c>
      <c r="BW6">
        <f t="shared" si="0"/>
        <v>3.1666666666666665</v>
      </c>
      <c r="BX6">
        <f t="shared" si="0"/>
        <v>2.8333333333333335</v>
      </c>
      <c r="BY6">
        <f t="shared" si="0"/>
        <v>2.3333333333333335</v>
      </c>
      <c r="BZ6">
        <f t="shared" si="0"/>
        <v>6.5</v>
      </c>
      <c r="CA6">
        <f t="shared" si="0"/>
        <v>11</v>
      </c>
      <c r="CB6">
        <f t="shared" si="0"/>
        <v>12.571428571428571</v>
      </c>
      <c r="CC6">
        <f t="shared" si="0"/>
        <v>13.375</v>
      </c>
      <c r="CD6">
        <f t="shared" si="0"/>
        <v>14.888888888888889</v>
      </c>
      <c r="CE6">
        <f t="shared" si="0"/>
        <v>16.399999999999999</v>
      </c>
      <c r="CF6">
        <f t="shared" ref="CF6:CF16" si="4">AVERAGE(X6:AG6)</f>
        <v>17.100000000000001</v>
      </c>
      <c r="CG6">
        <f t="shared" ref="CG6:CG16" si="5">AVERAGE(Y6:AH6)</f>
        <v>17.8</v>
      </c>
      <c r="CH6">
        <f t="shared" ref="CH6:CH16" si="6">AVERAGE(Z6:AI6)</f>
        <v>19.100000000000001</v>
      </c>
      <c r="CI6">
        <f t="shared" ref="CI6:CI16" si="7">AVERAGE(AA6:AJ6)</f>
        <v>21</v>
      </c>
      <c r="CJ6">
        <f t="shared" ref="CJ6:CJ16" si="8">AVERAGE(AB6:AK6)</f>
        <v>20</v>
      </c>
      <c r="CK6">
        <f t="shared" ref="CK6:CK16" si="9">AVERAGE(AC6:AL6)</f>
        <v>18.714285714285715</v>
      </c>
      <c r="CL6">
        <f t="shared" ref="CL6:CL16" si="10">AVERAGE(AD6:AM6)</f>
        <v>18.166666666666668</v>
      </c>
      <c r="CM6">
        <f t="shared" ref="CM6:CM16" si="11">AVERAGE(AE6:AN6)</f>
        <v>18</v>
      </c>
      <c r="CN6">
        <f t="shared" ref="CN6:CN16" si="12">AVERAGE(AF6:AO6)</f>
        <v>15.75</v>
      </c>
      <c r="CO6">
        <f t="shared" ref="CO6:CO16" si="13">AVERAGE(AG6:AP6)</f>
        <v>11</v>
      </c>
      <c r="CP6">
        <f t="shared" ref="CP6:CP16" si="14">AVERAGE(AH6:AQ6)</f>
        <v>12</v>
      </c>
      <c r="CQ6">
        <f t="shared" ref="CQ6:CQ16" si="15">AVERAGE(AI6:AR6)</f>
        <v>13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  <c r="DN6" s="5">
        <v>4</v>
      </c>
    </row>
    <row r="7" spans="1:118" s="10" customFormat="1" ht="20" customHeight="1" x14ac:dyDescent="0.2">
      <c r="A7" s="9" t="s">
        <v>2</v>
      </c>
      <c r="B7" s="16"/>
      <c r="C7" s="16"/>
      <c r="D7" s="16"/>
      <c r="E7" s="16"/>
      <c r="F7" s="16">
        <v>17</v>
      </c>
      <c r="G7" s="16">
        <v>4</v>
      </c>
      <c r="H7" s="16">
        <v>5</v>
      </c>
      <c r="I7" s="16">
        <v>15</v>
      </c>
      <c r="J7" s="16">
        <v>10</v>
      </c>
      <c r="K7" s="16">
        <v>0</v>
      </c>
      <c r="L7" s="16">
        <v>2</v>
      </c>
      <c r="M7" s="16">
        <v>13</v>
      </c>
      <c r="N7" s="16">
        <v>1</v>
      </c>
      <c r="O7" s="16">
        <v>4</v>
      </c>
      <c r="P7" s="16">
        <v>2</v>
      </c>
      <c r="Q7" s="16">
        <v>9</v>
      </c>
      <c r="R7" s="16">
        <v>4</v>
      </c>
      <c r="S7" s="16"/>
      <c r="T7" s="16"/>
      <c r="U7" s="17"/>
      <c r="V7" s="17"/>
      <c r="W7" s="17">
        <v>10</v>
      </c>
      <c r="X7" s="17">
        <v>7</v>
      </c>
      <c r="Y7" s="17">
        <v>5</v>
      </c>
      <c r="Z7" s="17">
        <v>6</v>
      </c>
      <c r="AA7" s="17">
        <v>16</v>
      </c>
      <c r="AB7" s="76">
        <v>16</v>
      </c>
      <c r="AC7" s="17">
        <v>4</v>
      </c>
      <c r="AD7" s="112">
        <v>14</v>
      </c>
      <c r="AE7" s="10">
        <v>64</v>
      </c>
      <c r="AF7" s="10">
        <v>45</v>
      </c>
      <c r="AG7" s="10">
        <v>9</v>
      </c>
      <c r="AH7" s="10">
        <f>(1+3)+(1+1+1+3+2+1+1+2)</f>
        <v>16</v>
      </c>
      <c r="AI7" s="10">
        <f>(2+2+3+2+1+2)</f>
        <v>12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8.5</v>
      </c>
      <c r="BK7">
        <f t="shared" si="0"/>
        <v>7.5714285714285712</v>
      </c>
      <c r="BL7">
        <f t="shared" si="2"/>
        <v>8.25</v>
      </c>
      <c r="BM7">
        <f t="shared" si="0"/>
        <v>7.4444444444444446</v>
      </c>
      <c r="BN7">
        <f t="shared" si="0"/>
        <v>7.1</v>
      </c>
      <c r="BO7">
        <f t="shared" si="0"/>
        <v>5.6</v>
      </c>
      <c r="BP7">
        <f t="shared" si="0"/>
        <v>6.1</v>
      </c>
      <c r="BQ7">
        <f t="shared" si="0"/>
        <v>6</v>
      </c>
      <c r="BR7">
        <f t="shared" si="3"/>
        <v>5</v>
      </c>
      <c r="BS7">
        <f t="shared" si="3"/>
        <v>4.375</v>
      </c>
      <c r="BT7">
        <f t="shared" si="0"/>
        <v>5</v>
      </c>
      <c r="BU7">
        <f t="shared" si="0"/>
        <v>5.5</v>
      </c>
      <c r="BV7">
        <f t="shared" si="0"/>
        <v>5</v>
      </c>
      <c r="BW7">
        <f t="shared" si="0"/>
        <v>6</v>
      </c>
      <c r="BX7">
        <f>AVERAGE(P7:Y7)</f>
        <v>6.166666666666667</v>
      </c>
      <c r="BY7">
        <f t="shared" si="0"/>
        <v>6.833333333333333</v>
      </c>
      <c r="BZ7">
        <f t="shared" si="0"/>
        <v>8</v>
      </c>
      <c r="CA7">
        <f t="shared" si="0"/>
        <v>10</v>
      </c>
      <c r="CB7">
        <f t="shared" si="0"/>
        <v>9.1428571428571423</v>
      </c>
      <c r="CC7">
        <f t="shared" si="0"/>
        <v>9.75</v>
      </c>
      <c r="CD7">
        <f t="shared" si="0"/>
        <v>15.777777777777779</v>
      </c>
      <c r="CE7">
        <f>AVERAGE(W7:AF7)</f>
        <v>18.7</v>
      </c>
      <c r="CF7">
        <f t="shared" si="4"/>
        <v>18.600000000000001</v>
      </c>
      <c r="CG7">
        <f t="shared" si="5"/>
        <v>19.5</v>
      </c>
      <c r="CH7">
        <f t="shared" si="6"/>
        <v>20.2</v>
      </c>
      <c r="CI7">
        <f t="shared" si="7"/>
        <v>21.777777777777779</v>
      </c>
      <c r="CJ7">
        <f t="shared" si="8"/>
        <v>22.5</v>
      </c>
      <c r="CK7">
        <f t="shared" si="9"/>
        <v>23.428571428571427</v>
      </c>
      <c r="CL7">
        <f t="shared" si="10"/>
        <v>26.666666666666668</v>
      </c>
      <c r="CM7">
        <f t="shared" si="11"/>
        <v>29.2</v>
      </c>
      <c r="CN7">
        <f t="shared" si="12"/>
        <v>20.5</v>
      </c>
      <c r="CO7">
        <f t="shared" si="13"/>
        <v>12.333333333333334</v>
      </c>
      <c r="CP7">
        <f t="shared" si="14"/>
        <v>14</v>
      </c>
      <c r="CQ7">
        <f t="shared" si="15"/>
        <v>12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  <c r="DN7" s="10">
        <v>39</v>
      </c>
    </row>
    <row r="8" spans="1:118" ht="20" customHeight="1" x14ac:dyDescent="0.2">
      <c r="A8" s="7" t="s">
        <v>3</v>
      </c>
      <c r="B8" s="14"/>
      <c r="C8" s="14"/>
      <c r="D8" s="14"/>
      <c r="E8" s="14"/>
      <c r="F8" s="14">
        <v>18</v>
      </c>
      <c r="G8" s="14">
        <v>10</v>
      </c>
      <c r="H8" s="14">
        <v>20</v>
      </c>
      <c r="I8" s="14">
        <v>36</v>
      </c>
      <c r="J8" s="14">
        <v>11</v>
      </c>
      <c r="K8" s="14">
        <v>24</v>
      </c>
      <c r="L8" s="14">
        <v>18</v>
      </c>
      <c r="M8" s="14">
        <v>20</v>
      </c>
      <c r="N8" s="14">
        <v>25</v>
      </c>
      <c r="O8" s="14">
        <v>11</v>
      </c>
      <c r="P8" s="14">
        <v>12</v>
      </c>
      <c r="Q8" s="14">
        <v>20</v>
      </c>
      <c r="R8" s="14">
        <v>14</v>
      </c>
      <c r="S8" s="14"/>
      <c r="T8" s="14"/>
      <c r="U8" s="15"/>
      <c r="V8" s="15"/>
      <c r="W8" s="15">
        <v>28</v>
      </c>
      <c r="X8" s="15">
        <v>14</v>
      </c>
      <c r="Y8" s="15">
        <v>15</v>
      </c>
      <c r="Z8" s="15">
        <v>43</v>
      </c>
      <c r="AA8" s="15">
        <v>35</v>
      </c>
      <c r="AB8" s="76">
        <v>35</v>
      </c>
      <c r="AC8" s="15">
        <v>28</v>
      </c>
      <c r="AD8" s="111">
        <v>67</v>
      </c>
      <c r="AE8" s="124">
        <v>41</v>
      </c>
      <c r="AF8" s="124">
        <v>43</v>
      </c>
      <c r="AG8" s="124">
        <f>15+(1+1+2+1+2+2+2+2)</f>
        <v>28</v>
      </c>
      <c r="AH8" s="124">
        <f>(1+1+2+2+2+1+6+1+3+1+3+2)+(4+4)</f>
        <v>33</v>
      </c>
      <c r="AI8" s="124">
        <f>(1+3+1+2+1+2+2+6)</f>
        <v>18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19.833333333333332</v>
      </c>
      <c r="BK8">
        <f t="shared" si="0"/>
        <v>19.571428571428573</v>
      </c>
      <c r="BL8">
        <f t="shared" si="2"/>
        <v>19.625</v>
      </c>
      <c r="BM8">
        <f t="shared" si="0"/>
        <v>20.222222222222221</v>
      </c>
      <c r="BN8">
        <f t="shared" si="0"/>
        <v>19.3</v>
      </c>
      <c r="BO8">
        <f t="shared" si="0"/>
        <v>18.7</v>
      </c>
      <c r="BP8">
        <f t="shared" si="0"/>
        <v>19.7</v>
      </c>
      <c r="BQ8">
        <f t="shared" si="0"/>
        <v>19.100000000000001</v>
      </c>
      <c r="BR8">
        <f t="shared" si="3"/>
        <v>17.222222222222221</v>
      </c>
      <c r="BS8">
        <f t="shared" si="3"/>
        <v>18</v>
      </c>
      <c r="BT8">
        <f>AVERAGE(L8:U8)</f>
        <v>17.142857142857142</v>
      </c>
      <c r="BU8">
        <f t="shared" si="0"/>
        <v>17</v>
      </c>
      <c r="BV8">
        <f t="shared" si="0"/>
        <v>18.333333333333332</v>
      </c>
      <c r="BW8">
        <f t="shared" si="0"/>
        <v>16.5</v>
      </c>
      <c r="BX8">
        <f t="shared" si="0"/>
        <v>17.166666666666668</v>
      </c>
      <c r="BY8">
        <f t="shared" si="0"/>
        <v>22.333333333333332</v>
      </c>
      <c r="BZ8">
        <f t="shared" si="0"/>
        <v>24.833333333333332</v>
      </c>
      <c r="CA8">
        <f t="shared" si="0"/>
        <v>28.333333333333332</v>
      </c>
      <c r="CB8">
        <f t="shared" si="0"/>
        <v>28.285714285714285</v>
      </c>
      <c r="CC8">
        <f t="shared" si="0"/>
        <v>33.125</v>
      </c>
      <c r="CD8">
        <f t="shared" si="0"/>
        <v>34</v>
      </c>
      <c r="CE8">
        <f t="shared" si="0"/>
        <v>34.9</v>
      </c>
      <c r="CF8">
        <f t="shared" si="4"/>
        <v>34.9</v>
      </c>
      <c r="CG8">
        <f t="shared" si="5"/>
        <v>36.799999999999997</v>
      </c>
      <c r="CH8">
        <f t="shared" si="6"/>
        <v>37.1</v>
      </c>
      <c r="CI8">
        <f t="shared" si="7"/>
        <v>36.444444444444443</v>
      </c>
      <c r="CJ8">
        <f t="shared" si="8"/>
        <v>36.625</v>
      </c>
      <c r="CK8">
        <f t="shared" si="9"/>
        <v>36.857142857142854</v>
      </c>
      <c r="CL8">
        <f t="shared" si="10"/>
        <v>38.333333333333336</v>
      </c>
      <c r="CM8">
        <f t="shared" si="11"/>
        <v>32.6</v>
      </c>
      <c r="CN8">
        <f t="shared" si="12"/>
        <v>30.5</v>
      </c>
      <c r="CO8">
        <f t="shared" si="13"/>
        <v>26.333333333333332</v>
      </c>
      <c r="CP8">
        <f t="shared" si="14"/>
        <v>25.5</v>
      </c>
      <c r="CQ8">
        <f t="shared" si="15"/>
        <v>18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  <c r="DN8" s="5">
        <v>8</v>
      </c>
    </row>
    <row r="9" spans="1:118" s="10" customFormat="1" ht="20" customHeight="1" x14ac:dyDescent="0.2">
      <c r="A9" s="9" t="s">
        <v>4</v>
      </c>
      <c r="B9" s="16"/>
      <c r="C9" s="16"/>
      <c r="D9" s="16"/>
      <c r="E9" s="16"/>
      <c r="F9" s="16">
        <v>19</v>
      </c>
      <c r="G9" s="16">
        <v>20</v>
      </c>
      <c r="H9" s="16">
        <v>47</v>
      </c>
      <c r="I9" s="16">
        <v>47</v>
      </c>
      <c r="J9" s="16">
        <v>27</v>
      </c>
      <c r="K9" s="16">
        <v>16</v>
      </c>
      <c r="L9" s="16">
        <v>25</v>
      </c>
      <c r="M9" s="16">
        <v>46</v>
      </c>
      <c r="N9" s="16">
        <v>19</v>
      </c>
      <c r="O9" s="16">
        <v>40</v>
      </c>
      <c r="P9" s="16">
        <v>38</v>
      </c>
      <c r="Q9" s="16">
        <v>26</v>
      </c>
      <c r="R9" s="16">
        <v>21</v>
      </c>
      <c r="S9" s="16"/>
      <c r="T9" s="16"/>
      <c r="U9" s="17"/>
      <c r="V9" s="17"/>
      <c r="W9" s="17">
        <v>17</v>
      </c>
      <c r="X9" s="17">
        <v>12</v>
      </c>
      <c r="Y9" s="17">
        <v>71</v>
      </c>
      <c r="Z9" s="17">
        <v>60</v>
      </c>
      <c r="AA9" s="17">
        <v>50</v>
      </c>
      <c r="AB9" s="17">
        <v>43</v>
      </c>
      <c r="AC9" s="17">
        <v>60</v>
      </c>
      <c r="AD9" s="112">
        <v>88</v>
      </c>
      <c r="AE9" s="10">
        <v>49</v>
      </c>
      <c r="AF9" s="10">
        <v>51</v>
      </c>
      <c r="AG9" s="10">
        <f>(2+2+2+2+1+3+3+2+15+2+1)+(2+2+2+1+2+2+1+5+3+3+2+1+3+1+2+4+2+1)</f>
        <v>74</v>
      </c>
      <c r="AH9" s="10">
        <f>(2+6+2+2+1+1+1+1+2+4+3+1+1+3+2+2+2+1)+(2+2+4+1+2+7+1+3+3)</f>
        <v>62</v>
      </c>
      <c r="AI9" s="10">
        <f>(2+3+2+2+2+1+3+1+1+2+2+3)</f>
        <v>24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29.333333333333332</v>
      </c>
      <c r="BK9">
        <f t="shared" si="0"/>
        <v>28.714285714285715</v>
      </c>
      <c r="BL9">
        <f t="shared" si="2"/>
        <v>30.875</v>
      </c>
      <c r="BM9">
        <f t="shared" si="0"/>
        <v>29.555555555555557</v>
      </c>
      <c r="BN9">
        <f t="shared" si="0"/>
        <v>30.6</v>
      </c>
      <c r="BO9">
        <f t="shared" si="0"/>
        <v>32.5</v>
      </c>
      <c r="BP9">
        <f t="shared" si="0"/>
        <v>33.1</v>
      </c>
      <c r="BQ9">
        <f t="shared" si="0"/>
        <v>30.5</v>
      </c>
      <c r="BR9">
        <f t="shared" si="3"/>
        <v>28.666666666666668</v>
      </c>
      <c r="BS9">
        <f t="shared" si="3"/>
        <v>28.875</v>
      </c>
      <c r="BT9">
        <f t="shared" si="0"/>
        <v>30.714285714285715</v>
      </c>
      <c r="BU9">
        <f t="shared" si="0"/>
        <v>31.666666666666668</v>
      </c>
      <c r="BV9">
        <f t="shared" si="0"/>
        <v>26.833333333333332</v>
      </c>
      <c r="BW9">
        <f t="shared" si="0"/>
        <v>25.666666666666668</v>
      </c>
      <c r="BX9">
        <f t="shared" si="0"/>
        <v>30.833333333333332</v>
      </c>
      <c r="BY9">
        <f t="shared" si="0"/>
        <v>34.5</v>
      </c>
      <c r="BZ9">
        <f t="shared" si="0"/>
        <v>38.5</v>
      </c>
      <c r="CA9">
        <f t="shared" si="0"/>
        <v>42.166666666666664</v>
      </c>
      <c r="CB9">
        <f t="shared" si="0"/>
        <v>44.714285714285715</v>
      </c>
      <c r="CC9">
        <f t="shared" si="0"/>
        <v>50.125</v>
      </c>
      <c r="CD9">
        <f t="shared" si="0"/>
        <v>50</v>
      </c>
      <c r="CE9">
        <f t="shared" si="0"/>
        <v>50.1</v>
      </c>
      <c r="CF9">
        <f t="shared" si="4"/>
        <v>55.8</v>
      </c>
      <c r="CG9">
        <f t="shared" si="5"/>
        <v>60.8</v>
      </c>
      <c r="CH9">
        <f t="shared" si="6"/>
        <v>56.1</v>
      </c>
      <c r="CI9">
        <f t="shared" si="7"/>
        <v>55.666666666666664</v>
      </c>
      <c r="CJ9">
        <f t="shared" si="8"/>
        <v>56.375</v>
      </c>
      <c r="CK9">
        <f t="shared" si="9"/>
        <v>58.285714285714285</v>
      </c>
      <c r="CL9">
        <f t="shared" si="10"/>
        <v>58</v>
      </c>
      <c r="CM9">
        <f t="shared" si="11"/>
        <v>52</v>
      </c>
      <c r="CN9">
        <f t="shared" si="12"/>
        <v>52.75</v>
      </c>
      <c r="CO9">
        <f t="shared" si="13"/>
        <v>53.333333333333336</v>
      </c>
      <c r="CP9">
        <f t="shared" si="14"/>
        <v>43</v>
      </c>
      <c r="CQ9">
        <f t="shared" si="15"/>
        <v>24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  <c r="DN9" s="10">
        <v>28</v>
      </c>
    </row>
    <row r="10" spans="1:118" ht="20" customHeight="1" x14ac:dyDescent="0.2">
      <c r="A10" s="7" t="s">
        <v>5</v>
      </c>
      <c r="B10" s="14"/>
      <c r="C10" s="14"/>
      <c r="D10" s="14"/>
      <c r="E10" s="14"/>
      <c r="F10" s="14">
        <v>23</v>
      </c>
      <c r="G10" s="14">
        <v>43</v>
      </c>
      <c r="H10" s="14">
        <v>28</v>
      </c>
      <c r="I10" s="14">
        <v>62</v>
      </c>
      <c r="J10" s="14">
        <v>42</v>
      </c>
      <c r="K10" s="14">
        <v>33</v>
      </c>
      <c r="L10" s="14">
        <v>38</v>
      </c>
      <c r="M10" s="14">
        <v>28</v>
      </c>
      <c r="N10" s="14">
        <v>33</v>
      </c>
      <c r="O10" s="14">
        <v>34</v>
      </c>
      <c r="P10" s="14">
        <v>45</v>
      </c>
      <c r="Q10" s="14">
        <v>30</v>
      </c>
      <c r="R10" s="14">
        <v>45</v>
      </c>
      <c r="S10" s="14"/>
      <c r="T10" s="14"/>
      <c r="U10" s="15"/>
      <c r="V10" s="15"/>
      <c r="W10" s="15">
        <v>55</v>
      </c>
      <c r="X10" s="15">
        <v>30</v>
      </c>
      <c r="Y10" s="15">
        <v>51</v>
      </c>
      <c r="Z10" s="15">
        <v>43</v>
      </c>
      <c r="AA10" s="15">
        <v>56</v>
      </c>
      <c r="AB10" s="15">
        <v>76</v>
      </c>
      <c r="AC10" s="15">
        <v>122</v>
      </c>
      <c r="AD10" s="111">
        <v>72</v>
      </c>
      <c r="AE10" s="124">
        <v>111</v>
      </c>
      <c r="AF10" s="124">
        <v>91</v>
      </c>
      <c r="AG10" s="124">
        <f>(1)+(2+3+1+1+1+2+2+2+1+1+2+1+2+1+3+1+1+2+2+6)+(2+3+2+4+4+2+1+8+1+2+2+3+11+2+3+9+2+1+5)+(2+10+2)</f>
        <v>119</v>
      </c>
      <c r="AH10" s="124">
        <f>(2+2+3+2+2+1+1+2+2+1+2)+(3+2+1+2+2+5)</f>
        <v>35</v>
      </c>
      <c r="AI10" s="124">
        <f>(2)+(1+2+2+2+2+3+2+2+1+3+6+2)</f>
        <v>30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38.5</v>
      </c>
      <c r="BK10">
        <f t="shared" si="0"/>
        <v>38.428571428571431</v>
      </c>
      <c r="BL10">
        <f t="shared" si="2"/>
        <v>37.125</v>
      </c>
      <c r="BM10">
        <f t="shared" si="0"/>
        <v>36.666666666666664</v>
      </c>
      <c r="BN10">
        <f t="shared" si="0"/>
        <v>36.4</v>
      </c>
      <c r="BO10">
        <f t="shared" si="0"/>
        <v>38.6</v>
      </c>
      <c r="BP10">
        <f t="shared" si="0"/>
        <v>37.299999999999997</v>
      </c>
      <c r="BQ10">
        <f t="shared" si="0"/>
        <v>39</v>
      </c>
      <c r="BR10">
        <f t="shared" si="3"/>
        <v>36.444444444444443</v>
      </c>
      <c r="BS10">
        <f t="shared" si="3"/>
        <v>35.75</v>
      </c>
      <c r="BT10">
        <f t="shared" si="0"/>
        <v>36.142857142857146</v>
      </c>
      <c r="BU10">
        <f t="shared" si="0"/>
        <v>35.833333333333336</v>
      </c>
      <c r="BV10">
        <f t="shared" si="0"/>
        <v>40.333333333333336</v>
      </c>
      <c r="BW10">
        <f t="shared" si="0"/>
        <v>39.833333333333336</v>
      </c>
      <c r="BX10">
        <f t="shared" si="0"/>
        <v>42.666666666666664</v>
      </c>
      <c r="BY10">
        <f t="shared" si="0"/>
        <v>42.333333333333336</v>
      </c>
      <c r="BZ10">
        <f t="shared" si="0"/>
        <v>46.666666666666664</v>
      </c>
      <c r="CA10">
        <f t="shared" si="0"/>
        <v>51.833333333333336</v>
      </c>
      <c r="CB10">
        <f t="shared" si="0"/>
        <v>61.857142857142854</v>
      </c>
      <c r="CC10">
        <f t="shared" si="0"/>
        <v>63.125</v>
      </c>
      <c r="CD10">
        <f t="shared" si="0"/>
        <v>68.444444444444443</v>
      </c>
      <c r="CE10">
        <f t="shared" si="0"/>
        <v>70.7</v>
      </c>
      <c r="CF10">
        <f t="shared" si="4"/>
        <v>77.099999999999994</v>
      </c>
      <c r="CG10">
        <f t="shared" si="5"/>
        <v>77.599999999999994</v>
      </c>
      <c r="CH10">
        <f t="shared" si="6"/>
        <v>75.5</v>
      </c>
      <c r="CI10">
        <f t="shared" si="7"/>
        <v>79.111111111111114</v>
      </c>
      <c r="CJ10">
        <f t="shared" si="8"/>
        <v>82</v>
      </c>
      <c r="CK10">
        <f t="shared" si="9"/>
        <v>82.857142857142861</v>
      </c>
      <c r="CL10">
        <f t="shared" si="10"/>
        <v>76.333333333333329</v>
      </c>
      <c r="CM10">
        <f t="shared" si="11"/>
        <v>77.2</v>
      </c>
      <c r="CN10">
        <f t="shared" si="12"/>
        <v>68.75</v>
      </c>
      <c r="CO10">
        <f t="shared" si="13"/>
        <v>61.333333333333336</v>
      </c>
      <c r="CP10">
        <f t="shared" si="14"/>
        <v>32.5</v>
      </c>
      <c r="CQ10">
        <f t="shared" si="15"/>
        <v>30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  <c r="DN10" s="5">
        <v>29</v>
      </c>
    </row>
    <row r="11" spans="1:118" s="10" customFormat="1" ht="20" customHeight="1" x14ac:dyDescent="0.2">
      <c r="A11" s="9" t="s">
        <v>6</v>
      </c>
      <c r="B11" s="16"/>
      <c r="C11" s="16"/>
      <c r="D11" s="16"/>
      <c r="E11" s="16"/>
      <c r="F11" s="16">
        <v>84</v>
      </c>
      <c r="G11" s="16">
        <v>95</v>
      </c>
      <c r="H11" s="16">
        <v>158</v>
      </c>
      <c r="I11" s="16">
        <v>138</v>
      </c>
      <c r="J11" s="16">
        <v>191</v>
      </c>
      <c r="K11" s="16">
        <v>131</v>
      </c>
      <c r="L11" s="16">
        <v>91</v>
      </c>
      <c r="M11" s="16">
        <v>124</v>
      </c>
      <c r="N11" s="16">
        <v>99</v>
      </c>
      <c r="O11" s="16">
        <v>91</v>
      </c>
      <c r="P11" s="16">
        <v>193</v>
      </c>
      <c r="Q11" s="16">
        <v>76</v>
      </c>
      <c r="R11" s="16">
        <v>146</v>
      </c>
      <c r="S11" s="16"/>
      <c r="T11" s="16"/>
      <c r="U11" s="17"/>
      <c r="V11" s="17"/>
      <c r="W11" s="17">
        <v>142</v>
      </c>
      <c r="X11" s="17">
        <v>102</v>
      </c>
      <c r="Y11" s="17">
        <v>117</v>
      </c>
      <c r="Z11" s="17">
        <v>120</v>
      </c>
      <c r="AA11" s="17">
        <v>145</v>
      </c>
      <c r="AB11" s="17">
        <v>65</v>
      </c>
      <c r="AC11" s="17">
        <v>158</v>
      </c>
      <c r="AD11" s="112">
        <v>165</v>
      </c>
      <c r="AE11" s="10">
        <v>132</v>
      </c>
      <c r="AF11" s="10">
        <v>91</v>
      </c>
      <c r="AG11" s="10">
        <f>(1+1+2+2+11+2+1+1+10+4+1+1+1+2+2+3)+(1+1+2+1+2+6+2+2+2)</f>
        <v>64</v>
      </c>
      <c r="AH11" s="10">
        <f>(2+2+2+1+1+5+2+1+5+1+2+1+3+3)+(4+3+2+4+2+3+4+1+2+3+1+2+1+2+2+2+4+1+2+3)+(1+2)</f>
        <v>82</v>
      </c>
      <c r="AI11" s="10">
        <f>(2+2+1+13)+(10+4+1+2+2+2+4+1+2+2+1+2+2+2+2+2+3+2)</f>
        <v>64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132.83333333333334</v>
      </c>
      <c r="BK11">
        <f t="shared" si="0"/>
        <v>126.85714285714286</v>
      </c>
      <c r="BL11">
        <f t="shared" si="2"/>
        <v>126.5</v>
      </c>
      <c r="BM11">
        <f t="shared" si="0"/>
        <v>123.44444444444444</v>
      </c>
      <c r="BN11">
        <f t="shared" si="0"/>
        <v>120.2</v>
      </c>
      <c r="BO11">
        <f t="shared" si="0"/>
        <v>131.1</v>
      </c>
      <c r="BP11">
        <f t="shared" si="0"/>
        <v>129.19999999999999</v>
      </c>
      <c r="BQ11">
        <f t="shared" si="0"/>
        <v>128</v>
      </c>
      <c r="BR11">
        <f t="shared" si="3"/>
        <v>126.88888888888889</v>
      </c>
      <c r="BS11">
        <f t="shared" si="3"/>
        <v>118.875</v>
      </c>
      <c r="BT11">
        <f t="shared" si="0"/>
        <v>117.14285714285714</v>
      </c>
      <c r="BU11">
        <f t="shared" si="0"/>
        <v>121.5</v>
      </c>
      <c r="BV11">
        <f t="shared" si="0"/>
        <v>124.5</v>
      </c>
      <c r="BW11">
        <f t="shared" si="0"/>
        <v>125</v>
      </c>
      <c r="BX11">
        <f t="shared" si="0"/>
        <v>129.33333333333334</v>
      </c>
      <c r="BY11">
        <f t="shared" si="0"/>
        <v>117.16666666666667</v>
      </c>
      <c r="BZ11">
        <f t="shared" si="0"/>
        <v>128.66666666666666</v>
      </c>
      <c r="CA11">
        <f t="shared" si="0"/>
        <v>115.16666666666667</v>
      </c>
      <c r="CB11">
        <f t="shared" si="0"/>
        <v>121.28571428571429</v>
      </c>
      <c r="CC11">
        <f t="shared" si="0"/>
        <v>126.75</v>
      </c>
      <c r="CD11">
        <f t="shared" si="0"/>
        <v>127.33333333333333</v>
      </c>
      <c r="CE11">
        <f t="shared" si="0"/>
        <v>123.7</v>
      </c>
      <c r="CF11">
        <f t="shared" si="4"/>
        <v>115.9</v>
      </c>
      <c r="CG11">
        <f t="shared" si="5"/>
        <v>113.9</v>
      </c>
      <c r="CH11">
        <f t="shared" si="6"/>
        <v>108.6</v>
      </c>
      <c r="CI11">
        <f t="shared" si="7"/>
        <v>107.33333333333333</v>
      </c>
      <c r="CJ11">
        <f t="shared" si="8"/>
        <v>102.625</v>
      </c>
      <c r="CK11">
        <f t="shared" si="9"/>
        <v>108</v>
      </c>
      <c r="CL11">
        <f t="shared" si="10"/>
        <v>99.666666666666671</v>
      </c>
      <c r="CM11">
        <f t="shared" si="11"/>
        <v>86.6</v>
      </c>
      <c r="CN11">
        <f t="shared" si="12"/>
        <v>75.25</v>
      </c>
      <c r="CO11">
        <f t="shared" si="13"/>
        <v>70</v>
      </c>
      <c r="CP11">
        <f t="shared" si="14"/>
        <v>73</v>
      </c>
      <c r="CQ11">
        <f t="shared" si="15"/>
        <v>64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  <c r="DN11" s="10">
        <v>63</v>
      </c>
    </row>
    <row r="12" spans="1:118" ht="20" customHeight="1" x14ac:dyDescent="0.2">
      <c r="A12" s="7" t="s">
        <v>7</v>
      </c>
      <c r="B12" s="14"/>
      <c r="C12" s="14"/>
      <c r="D12" s="14"/>
      <c r="E12" s="14">
        <v>85</v>
      </c>
      <c r="F12" s="14">
        <v>114</v>
      </c>
      <c r="G12" s="14">
        <v>171</v>
      </c>
      <c r="H12" s="14">
        <v>182</v>
      </c>
      <c r="I12" s="14">
        <v>124</v>
      </c>
      <c r="J12" s="14">
        <v>149</v>
      </c>
      <c r="K12" s="14">
        <v>86</v>
      </c>
      <c r="L12" s="14">
        <v>102</v>
      </c>
      <c r="M12" s="14">
        <v>128</v>
      </c>
      <c r="N12" s="14">
        <v>87</v>
      </c>
      <c r="O12" s="14">
        <v>86</v>
      </c>
      <c r="P12" s="14">
        <v>60</v>
      </c>
      <c r="Q12" s="14">
        <v>86</v>
      </c>
      <c r="R12" s="14">
        <v>72</v>
      </c>
      <c r="S12" s="14"/>
      <c r="T12" s="14"/>
      <c r="U12" s="15"/>
      <c r="V12" s="15"/>
      <c r="W12" s="15">
        <v>38</v>
      </c>
      <c r="X12" s="15">
        <v>72</v>
      </c>
      <c r="Y12" s="15">
        <v>119</v>
      </c>
      <c r="Z12" s="15">
        <v>125</v>
      </c>
      <c r="AA12" s="15">
        <v>93</v>
      </c>
      <c r="AB12" s="15">
        <v>194</v>
      </c>
      <c r="AC12" s="15">
        <v>153</v>
      </c>
      <c r="AD12" s="111">
        <v>153</v>
      </c>
      <c r="AE12" s="124">
        <v>124</v>
      </c>
      <c r="AF12" s="124">
        <v>82</v>
      </c>
      <c r="AG12" s="124">
        <f>(2+3+2+2+3+14+2+2+3+2+2)+(2+2+1+2+2+2+2+2+2+1+1+1+2+6+2+4+2+6+4)+(3+1+1+6+1+1+3+1+2+2+1+4+1+2+2+2)</f>
        <v>116</v>
      </c>
      <c r="AH12" s="124">
        <f>(1+2+1+4+1+1+2+5+2+1+1+5+3+4)+(2+1+1+2+5+2+2+2+2+4+2+10+1+2+5+2+2+3+2)+(2+2+2+4)</f>
        <v>95</v>
      </c>
      <c r="AI12" s="124">
        <f>(4)+(1+2+10+1+1+2+2+2)</f>
        <v>25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130.14285714285714</v>
      </c>
      <c r="BK12">
        <f t="shared" si="0"/>
        <v>126.625</v>
      </c>
      <c r="BL12">
        <f t="shared" si="2"/>
        <v>126.77777777777777</v>
      </c>
      <c r="BM12">
        <f t="shared" si="0"/>
        <v>122.8</v>
      </c>
      <c r="BN12">
        <f t="shared" si="0"/>
        <v>122.9</v>
      </c>
      <c r="BO12">
        <f t="shared" si="0"/>
        <v>117.5</v>
      </c>
      <c r="BP12">
        <f t="shared" si="0"/>
        <v>109</v>
      </c>
      <c r="BQ12">
        <f t="shared" si="0"/>
        <v>98</v>
      </c>
      <c r="BR12">
        <f t="shared" si="3"/>
        <v>95.111111111111114</v>
      </c>
      <c r="BS12">
        <f t="shared" si="3"/>
        <v>88.375</v>
      </c>
      <c r="BT12">
        <f t="shared" si="0"/>
        <v>88.714285714285708</v>
      </c>
      <c r="BU12">
        <f t="shared" si="0"/>
        <v>86.5</v>
      </c>
      <c r="BV12">
        <f t="shared" si="0"/>
        <v>71.5</v>
      </c>
      <c r="BW12">
        <f t="shared" si="0"/>
        <v>69</v>
      </c>
      <c r="BX12">
        <f t="shared" si="0"/>
        <v>74.5</v>
      </c>
      <c r="BY12">
        <f t="shared" si="0"/>
        <v>85.333333333333329</v>
      </c>
      <c r="BZ12">
        <f t="shared" si="0"/>
        <v>86.5</v>
      </c>
      <c r="CA12">
        <f t="shared" si="0"/>
        <v>106.83333333333333</v>
      </c>
      <c r="CB12">
        <f t="shared" si="0"/>
        <v>113.42857142857143</v>
      </c>
      <c r="CC12">
        <f t="shared" si="0"/>
        <v>118.375</v>
      </c>
      <c r="CD12">
        <f t="shared" si="0"/>
        <v>119</v>
      </c>
      <c r="CE12">
        <f t="shared" si="0"/>
        <v>115.3</v>
      </c>
      <c r="CF12">
        <f t="shared" si="4"/>
        <v>123.1</v>
      </c>
      <c r="CG12">
        <f t="shared" si="5"/>
        <v>125.4</v>
      </c>
      <c r="CH12">
        <f t="shared" si="6"/>
        <v>116</v>
      </c>
      <c r="CI12">
        <f t="shared" si="7"/>
        <v>115</v>
      </c>
      <c r="CJ12">
        <f t="shared" si="8"/>
        <v>117.75</v>
      </c>
      <c r="CK12">
        <f t="shared" si="9"/>
        <v>106.85714285714286</v>
      </c>
      <c r="CL12">
        <f t="shared" si="10"/>
        <v>99.166666666666671</v>
      </c>
      <c r="CM12">
        <f t="shared" si="11"/>
        <v>88.4</v>
      </c>
      <c r="CN12">
        <f t="shared" si="12"/>
        <v>79.5</v>
      </c>
      <c r="CO12">
        <f t="shared" si="13"/>
        <v>78.666666666666671</v>
      </c>
      <c r="CP12">
        <f t="shared" si="14"/>
        <v>60</v>
      </c>
      <c r="CQ12">
        <f t="shared" si="15"/>
        <v>25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  <c r="DN12" s="5">
        <v>33</v>
      </c>
    </row>
    <row r="13" spans="1:118" s="10" customFormat="1" ht="20" customHeight="1" x14ac:dyDescent="0.2">
      <c r="A13" s="9" t="s">
        <v>8</v>
      </c>
      <c r="B13" s="16"/>
      <c r="C13" s="16"/>
      <c r="D13" s="16"/>
      <c r="E13" s="16">
        <v>66</v>
      </c>
      <c r="F13" s="16">
        <v>61</v>
      </c>
      <c r="G13" s="16">
        <v>31</v>
      </c>
      <c r="H13" s="16">
        <v>29</v>
      </c>
      <c r="I13" s="16">
        <v>61</v>
      </c>
      <c r="J13" s="16">
        <v>101</v>
      </c>
      <c r="K13" s="16">
        <v>40</v>
      </c>
      <c r="L13" s="16">
        <v>41</v>
      </c>
      <c r="M13" s="16">
        <v>40</v>
      </c>
      <c r="N13" s="16">
        <v>20</v>
      </c>
      <c r="O13" s="16">
        <v>23</v>
      </c>
      <c r="P13" s="16">
        <v>19</v>
      </c>
      <c r="Q13" s="16">
        <v>53</v>
      </c>
      <c r="R13" s="16">
        <v>44</v>
      </c>
      <c r="S13" s="16"/>
      <c r="T13" s="16"/>
      <c r="U13" s="17"/>
      <c r="V13" s="17"/>
      <c r="W13" s="17">
        <v>28</v>
      </c>
      <c r="X13" s="17">
        <v>39</v>
      </c>
      <c r="Y13" s="17">
        <v>26</v>
      </c>
      <c r="Z13" s="17">
        <v>77</v>
      </c>
      <c r="AA13" s="17">
        <v>95</v>
      </c>
      <c r="AB13" s="17">
        <v>161</v>
      </c>
      <c r="AC13" s="17">
        <v>95</v>
      </c>
      <c r="AD13" s="112">
        <v>90</v>
      </c>
      <c r="AE13" s="10">
        <v>143</v>
      </c>
      <c r="AF13" s="10">
        <v>47</v>
      </c>
      <c r="AG13" s="10">
        <f>(5+2+1)+(1+3+2+2+4+2+1+1+2+2)</f>
        <v>28</v>
      </c>
      <c r="AH13" s="10">
        <f>(2+2+5+2+2+2+2+2+1+1+1+8+3)+(3+1+3+3+2+1+2)</f>
        <v>48</v>
      </c>
      <c r="AI13" s="10">
        <f>(1+4+2+5+2+2+3+4+4+2+6)+(5+2+4+1+2+2+5+2+1+2+2+2+2+1+1+2)</f>
        <v>71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55.571428571428569</v>
      </c>
      <c r="BK13">
        <f t="shared" si="0"/>
        <v>53.75</v>
      </c>
      <c r="BL13">
        <f t="shared" si="2"/>
        <v>52.222222222222221</v>
      </c>
      <c r="BM13">
        <f t="shared" si="0"/>
        <v>49</v>
      </c>
      <c r="BN13">
        <f t="shared" si="0"/>
        <v>44.7</v>
      </c>
      <c r="BO13">
        <f t="shared" si="0"/>
        <v>40.5</v>
      </c>
      <c r="BP13">
        <f t="shared" si="0"/>
        <v>42.7</v>
      </c>
      <c r="BQ13">
        <f t="shared" si="0"/>
        <v>44.2</v>
      </c>
      <c r="BR13">
        <f t="shared" si="3"/>
        <v>42.333333333333336</v>
      </c>
      <c r="BS13">
        <f t="shared" si="3"/>
        <v>35</v>
      </c>
      <c r="BT13">
        <f t="shared" si="0"/>
        <v>34.285714285714285</v>
      </c>
      <c r="BU13">
        <f t="shared" si="0"/>
        <v>33.166666666666664</v>
      </c>
      <c r="BV13">
        <f t="shared" si="0"/>
        <v>31.166666666666668</v>
      </c>
      <c r="BW13">
        <f t="shared" si="0"/>
        <v>34.333333333333336</v>
      </c>
      <c r="BX13">
        <f t="shared" si="0"/>
        <v>34.833333333333336</v>
      </c>
      <c r="BY13">
        <f t="shared" si="0"/>
        <v>44.5</v>
      </c>
      <c r="BZ13">
        <f t="shared" si="0"/>
        <v>51.5</v>
      </c>
      <c r="CA13">
        <f t="shared" si="0"/>
        <v>71</v>
      </c>
      <c r="CB13">
        <f t="shared" si="0"/>
        <v>74.428571428571431</v>
      </c>
      <c r="CC13">
        <f t="shared" si="0"/>
        <v>76.375</v>
      </c>
      <c r="CD13">
        <f t="shared" si="0"/>
        <v>83.777777777777771</v>
      </c>
      <c r="CE13">
        <f t="shared" si="0"/>
        <v>80.099999999999994</v>
      </c>
      <c r="CF13">
        <f t="shared" si="4"/>
        <v>80.099999999999994</v>
      </c>
      <c r="CG13">
        <f t="shared" si="5"/>
        <v>81</v>
      </c>
      <c r="CH13">
        <f t="shared" si="6"/>
        <v>85.5</v>
      </c>
      <c r="CI13">
        <f t="shared" si="7"/>
        <v>86.444444444444443</v>
      </c>
      <c r="CJ13">
        <f t="shared" si="8"/>
        <v>85.375</v>
      </c>
      <c r="CK13">
        <f t="shared" si="9"/>
        <v>74.571428571428569</v>
      </c>
      <c r="CL13">
        <f t="shared" si="10"/>
        <v>71.166666666666671</v>
      </c>
      <c r="CM13">
        <f t="shared" si="11"/>
        <v>67.400000000000006</v>
      </c>
      <c r="CN13">
        <f t="shared" si="12"/>
        <v>48.5</v>
      </c>
      <c r="CO13">
        <f t="shared" si="13"/>
        <v>49</v>
      </c>
      <c r="CP13">
        <f t="shared" si="14"/>
        <v>59.5</v>
      </c>
      <c r="CQ13">
        <f t="shared" si="15"/>
        <v>71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  <c r="DN13" s="10">
        <v>59</v>
      </c>
    </row>
    <row r="14" spans="1:118" ht="20" customHeight="1" x14ac:dyDescent="0.2">
      <c r="A14" s="7" t="s">
        <v>9</v>
      </c>
      <c r="B14" s="14"/>
      <c r="C14" s="14"/>
      <c r="D14" s="14"/>
      <c r="E14" s="14">
        <v>52</v>
      </c>
      <c r="F14" s="14">
        <v>20</v>
      </c>
      <c r="G14" s="14">
        <v>38</v>
      </c>
      <c r="H14" s="14">
        <v>145</v>
      </c>
      <c r="I14" s="14">
        <v>52</v>
      </c>
      <c r="J14" s="14">
        <v>26</v>
      </c>
      <c r="K14" s="14">
        <v>49</v>
      </c>
      <c r="L14" s="14">
        <v>60</v>
      </c>
      <c r="M14" s="14">
        <v>23</v>
      </c>
      <c r="N14" s="14">
        <v>25</v>
      </c>
      <c r="O14" s="14">
        <v>35</v>
      </c>
      <c r="P14" s="14">
        <v>14</v>
      </c>
      <c r="Q14" s="14">
        <v>36</v>
      </c>
      <c r="R14" s="14">
        <v>35</v>
      </c>
      <c r="S14" s="14"/>
      <c r="T14" s="14"/>
      <c r="U14" s="15"/>
      <c r="V14" s="15"/>
      <c r="W14" s="15">
        <v>32</v>
      </c>
      <c r="X14" s="15">
        <v>39</v>
      </c>
      <c r="Y14" s="15">
        <v>34</v>
      </c>
      <c r="Z14" s="15">
        <v>59</v>
      </c>
      <c r="AA14" s="15">
        <v>71</v>
      </c>
      <c r="AB14" s="15">
        <v>88</v>
      </c>
      <c r="AC14" s="15">
        <v>116</v>
      </c>
      <c r="AD14" s="111">
        <v>95</v>
      </c>
      <c r="AE14" s="124">
        <v>144</v>
      </c>
      <c r="AF14" s="124">
        <v>72</v>
      </c>
      <c r="AG14" s="124">
        <f>(2+2+2+2+1+2+2+1+1+2)+(2+2+1+2+2+2+3+5+1+1+1+1+1+3+1+2+2+3)</f>
        <v>52</v>
      </c>
      <c r="AH14" s="124">
        <f>(2+2+4+2+2+2+2+2+1+1+1+2)+(2+1+2+4+6)</f>
        <v>38</v>
      </c>
      <c r="AI14" s="124">
        <f>(1)</f>
        <v>1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54.571428571428569</v>
      </c>
      <c r="BK14">
        <f t="shared" si="0"/>
        <v>55.25</v>
      </c>
      <c r="BL14">
        <f t="shared" si="2"/>
        <v>51.666666666666664</v>
      </c>
      <c r="BM14">
        <f t="shared" si="0"/>
        <v>49</v>
      </c>
      <c r="BN14">
        <f t="shared" si="0"/>
        <v>47.3</v>
      </c>
      <c r="BO14">
        <f t="shared" si="0"/>
        <v>46.7</v>
      </c>
      <c r="BP14">
        <f t="shared" si="0"/>
        <v>46.5</v>
      </c>
      <c r="BQ14">
        <f t="shared" si="0"/>
        <v>35.5</v>
      </c>
      <c r="BR14">
        <f t="shared" si="3"/>
        <v>33.666666666666664</v>
      </c>
      <c r="BS14">
        <f t="shared" si="3"/>
        <v>34.625</v>
      </c>
      <c r="BT14">
        <f t="shared" si="0"/>
        <v>32.571428571428569</v>
      </c>
      <c r="BU14">
        <f t="shared" si="0"/>
        <v>28</v>
      </c>
      <c r="BV14">
        <f t="shared" si="0"/>
        <v>29.5</v>
      </c>
      <c r="BW14">
        <f t="shared" si="0"/>
        <v>31.833333333333332</v>
      </c>
      <c r="BX14">
        <f t="shared" si="0"/>
        <v>31.666666666666668</v>
      </c>
      <c r="BY14">
        <f t="shared" si="0"/>
        <v>39.166666666666664</v>
      </c>
      <c r="BZ14">
        <f t="shared" si="0"/>
        <v>45</v>
      </c>
      <c r="CA14">
        <f t="shared" si="0"/>
        <v>53.833333333333336</v>
      </c>
      <c r="CB14">
        <f t="shared" si="0"/>
        <v>62.714285714285715</v>
      </c>
      <c r="CC14">
        <f t="shared" si="0"/>
        <v>66.75</v>
      </c>
      <c r="CD14">
        <f t="shared" si="0"/>
        <v>75.333333333333329</v>
      </c>
      <c r="CE14">
        <f t="shared" si="0"/>
        <v>75</v>
      </c>
      <c r="CF14">
        <f t="shared" si="4"/>
        <v>77</v>
      </c>
      <c r="CG14">
        <f t="shared" si="5"/>
        <v>76.900000000000006</v>
      </c>
      <c r="CH14">
        <f t="shared" si="6"/>
        <v>73.599999999999994</v>
      </c>
      <c r="CI14">
        <f t="shared" si="7"/>
        <v>75.222222222222229</v>
      </c>
      <c r="CJ14">
        <f t="shared" si="8"/>
        <v>75.75</v>
      </c>
      <c r="CK14">
        <f t="shared" si="9"/>
        <v>74</v>
      </c>
      <c r="CL14">
        <f t="shared" si="10"/>
        <v>67</v>
      </c>
      <c r="CM14">
        <f t="shared" si="11"/>
        <v>61.4</v>
      </c>
      <c r="CN14">
        <f t="shared" si="12"/>
        <v>40.75</v>
      </c>
      <c r="CO14">
        <f t="shared" si="13"/>
        <v>30.333333333333332</v>
      </c>
      <c r="CP14">
        <f t="shared" si="14"/>
        <v>19.5</v>
      </c>
      <c r="CQ14">
        <f t="shared" si="15"/>
        <v>1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  <c r="DN14" s="5">
        <v>30</v>
      </c>
    </row>
    <row r="15" spans="1:118" s="10" customFormat="1" ht="20" customHeight="1" x14ac:dyDescent="0.2">
      <c r="A15" s="9" t="s">
        <v>10</v>
      </c>
      <c r="B15" s="16"/>
      <c r="C15" s="16"/>
      <c r="D15" s="16"/>
      <c r="E15" s="16">
        <v>13</v>
      </c>
      <c r="F15" s="16">
        <v>14</v>
      </c>
      <c r="G15" s="16">
        <v>5</v>
      </c>
      <c r="H15" s="16">
        <v>7</v>
      </c>
      <c r="I15" s="16">
        <v>32</v>
      </c>
      <c r="J15" s="16">
        <v>31</v>
      </c>
      <c r="K15" s="16">
        <v>31</v>
      </c>
      <c r="L15" s="16">
        <v>19</v>
      </c>
      <c r="M15" s="16">
        <v>27</v>
      </c>
      <c r="N15" s="16">
        <v>30</v>
      </c>
      <c r="O15" s="16">
        <v>11</v>
      </c>
      <c r="P15" s="16">
        <v>44</v>
      </c>
      <c r="Q15" s="16">
        <v>11</v>
      </c>
      <c r="R15" s="16">
        <v>17</v>
      </c>
      <c r="S15" s="16"/>
      <c r="T15" s="16"/>
      <c r="U15" s="17"/>
      <c r="V15" s="17"/>
      <c r="W15" s="17">
        <v>23</v>
      </c>
      <c r="X15" s="17">
        <v>17</v>
      </c>
      <c r="Y15" s="17">
        <v>10</v>
      </c>
      <c r="Z15" s="17">
        <v>36</v>
      </c>
      <c r="AA15" s="17">
        <v>22</v>
      </c>
      <c r="AB15" s="17">
        <v>102</v>
      </c>
      <c r="AC15" s="17">
        <v>74</v>
      </c>
      <c r="AD15" s="112">
        <v>42</v>
      </c>
      <c r="AE15" s="10">
        <v>76</v>
      </c>
      <c r="AF15" s="10">
        <v>45</v>
      </c>
      <c r="AG15" s="10">
        <f>(4+2+1+5+1+2+4+4+2+3)</f>
        <v>28</v>
      </c>
      <c r="AH15" s="10">
        <f>(3+2+2+2+2+1+1+4+1+3)</f>
        <v>21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19</v>
      </c>
      <c r="BK15">
        <f t="shared" si="0"/>
        <v>19</v>
      </c>
      <c r="BL15">
        <f t="shared" si="2"/>
        <v>19.888888888888889</v>
      </c>
      <c r="BM15">
        <f t="shared" si="0"/>
        <v>20.9</v>
      </c>
      <c r="BN15">
        <f t="shared" si="0"/>
        <v>20.7</v>
      </c>
      <c r="BO15">
        <f t="shared" si="0"/>
        <v>23.7</v>
      </c>
      <c r="BP15">
        <f t="shared" si="0"/>
        <v>24.3</v>
      </c>
      <c r="BQ15">
        <f t="shared" si="0"/>
        <v>25.3</v>
      </c>
      <c r="BR15">
        <f t="shared" si="3"/>
        <v>24.555555555555557</v>
      </c>
      <c r="BS15">
        <f t="shared" si="3"/>
        <v>23.75</v>
      </c>
      <c r="BT15">
        <f t="shared" si="0"/>
        <v>22.714285714285715</v>
      </c>
      <c r="BU15">
        <f t="shared" si="0"/>
        <v>23.333333333333332</v>
      </c>
      <c r="BV15">
        <f t="shared" si="0"/>
        <v>22.666666666666668</v>
      </c>
      <c r="BW15">
        <f t="shared" si="0"/>
        <v>20.5</v>
      </c>
      <c r="BX15">
        <f t="shared" si="0"/>
        <v>20.333333333333332</v>
      </c>
      <c r="BY15">
        <f t="shared" si="0"/>
        <v>19</v>
      </c>
      <c r="BZ15">
        <f t="shared" si="0"/>
        <v>20.833333333333332</v>
      </c>
      <c r="CA15">
        <f t="shared" si="0"/>
        <v>35</v>
      </c>
      <c r="CB15">
        <f t="shared" si="0"/>
        <v>40.571428571428569</v>
      </c>
      <c r="CC15">
        <f t="shared" si="0"/>
        <v>40.75</v>
      </c>
      <c r="CD15">
        <f t="shared" si="0"/>
        <v>44.666666666666664</v>
      </c>
      <c r="CE15">
        <f t="shared" si="0"/>
        <v>44.7</v>
      </c>
      <c r="CF15">
        <f t="shared" si="4"/>
        <v>45.2</v>
      </c>
      <c r="CG15">
        <f t="shared" si="5"/>
        <v>45.6</v>
      </c>
      <c r="CH15">
        <f t="shared" si="6"/>
        <v>49.555555555555557</v>
      </c>
      <c r="CI15">
        <f t="shared" si="7"/>
        <v>51.25</v>
      </c>
      <c r="CJ15">
        <f t="shared" si="8"/>
        <v>55.428571428571431</v>
      </c>
      <c r="CK15">
        <f t="shared" si="9"/>
        <v>47.666666666666664</v>
      </c>
      <c r="CL15">
        <f t="shared" si="10"/>
        <v>42.4</v>
      </c>
      <c r="CM15">
        <f t="shared" si="11"/>
        <v>42.5</v>
      </c>
      <c r="CN15">
        <f t="shared" si="12"/>
        <v>31.333333333333332</v>
      </c>
      <c r="CO15">
        <f t="shared" si="13"/>
        <v>24.5</v>
      </c>
      <c r="CP15">
        <f t="shared" si="14"/>
        <v>21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  <c r="DN15" s="10">
        <v>25</v>
      </c>
    </row>
    <row r="16" spans="1:118" ht="20" customHeight="1" x14ac:dyDescent="0.2">
      <c r="A16" s="7" t="s">
        <v>11</v>
      </c>
      <c r="B16" s="14"/>
      <c r="C16" s="14"/>
      <c r="D16" s="14"/>
      <c r="E16" s="14">
        <v>13</v>
      </c>
      <c r="F16" s="14">
        <v>2</v>
      </c>
      <c r="G16" s="14">
        <v>2</v>
      </c>
      <c r="H16" s="14">
        <v>6</v>
      </c>
      <c r="I16" s="14">
        <v>1</v>
      </c>
      <c r="J16" s="14">
        <v>8</v>
      </c>
      <c r="K16" s="14">
        <v>9</v>
      </c>
      <c r="L16" s="14">
        <v>8</v>
      </c>
      <c r="M16" s="14">
        <v>1</v>
      </c>
      <c r="N16" s="14">
        <v>5</v>
      </c>
      <c r="O16" s="14">
        <v>13</v>
      </c>
      <c r="P16" s="14">
        <v>4</v>
      </c>
      <c r="Q16" s="14">
        <v>9</v>
      </c>
      <c r="R16" s="14">
        <v>17</v>
      </c>
      <c r="S16" s="14"/>
      <c r="T16" s="14"/>
      <c r="U16" s="15"/>
      <c r="V16" s="15"/>
      <c r="W16" s="15">
        <v>19</v>
      </c>
      <c r="X16" s="15">
        <v>9</v>
      </c>
      <c r="Y16" s="15">
        <v>17</v>
      </c>
      <c r="Z16" s="15">
        <v>14</v>
      </c>
      <c r="AA16" s="15">
        <v>0</v>
      </c>
      <c r="AB16" s="15">
        <v>51</v>
      </c>
      <c r="AC16" s="15">
        <v>33</v>
      </c>
      <c r="AD16" s="111">
        <v>19</v>
      </c>
      <c r="AE16" s="124">
        <v>18</v>
      </c>
      <c r="AF16" s="124">
        <v>0</v>
      </c>
      <c r="AG16" s="124">
        <f>(1+3+8+1)</f>
        <v>13</v>
      </c>
      <c r="AH16" s="124">
        <f>(1+1+1+2+1+1)+(1)</f>
        <v>8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5.8571428571428568</v>
      </c>
      <c r="BK16">
        <f t="shared" si="0"/>
        <v>6.125</v>
      </c>
      <c r="BL16">
        <f t="shared" si="2"/>
        <v>5.5555555555555554</v>
      </c>
      <c r="BM16">
        <f t="shared" si="0"/>
        <v>5.5</v>
      </c>
      <c r="BN16">
        <f t="shared" si="0"/>
        <v>5.5</v>
      </c>
      <c r="BO16">
        <f t="shared" si="0"/>
        <v>5.7</v>
      </c>
      <c r="BP16">
        <f t="shared" si="0"/>
        <v>6.4</v>
      </c>
      <c r="BQ16">
        <f t="shared" si="0"/>
        <v>7.5</v>
      </c>
      <c r="BR16">
        <f t="shared" si="3"/>
        <v>8.2222222222222214</v>
      </c>
      <c r="BS16">
        <f t="shared" si="3"/>
        <v>8.25</v>
      </c>
      <c r="BT16">
        <f t="shared" si="0"/>
        <v>8.1428571428571423</v>
      </c>
      <c r="BU16">
        <f t="shared" si="0"/>
        <v>8.1666666666666661</v>
      </c>
      <c r="BV16">
        <f t="shared" si="0"/>
        <v>11.166666666666666</v>
      </c>
      <c r="BW16">
        <f t="shared" si="0"/>
        <v>11.833333333333334</v>
      </c>
      <c r="BX16">
        <f t="shared" si="0"/>
        <v>12.5</v>
      </c>
      <c r="BY16">
        <f t="shared" si="0"/>
        <v>14.166666666666666</v>
      </c>
      <c r="BZ16">
        <f t="shared" si="0"/>
        <v>12.666666666666666</v>
      </c>
      <c r="CA16">
        <f t="shared" si="0"/>
        <v>18.333333333333332</v>
      </c>
      <c r="CB16">
        <f t="shared" si="0"/>
        <v>20.428571428571427</v>
      </c>
      <c r="CC16">
        <f t="shared" si="0"/>
        <v>20.25</v>
      </c>
      <c r="CD16">
        <f t="shared" si="0"/>
        <v>20</v>
      </c>
      <c r="CE16">
        <f t="shared" si="0"/>
        <v>18</v>
      </c>
      <c r="CF16">
        <f t="shared" si="4"/>
        <v>17.399999999999999</v>
      </c>
      <c r="CG16">
        <f t="shared" si="5"/>
        <v>17.3</v>
      </c>
      <c r="CH16">
        <f t="shared" si="6"/>
        <v>17.333333333333332</v>
      </c>
      <c r="CI16">
        <f t="shared" si="7"/>
        <v>17.75</v>
      </c>
      <c r="CJ16">
        <f t="shared" si="8"/>
        <v>20.285714285714285</v>
      </c>
      <c r="CK16">
        <f t="shared" si="9"/>
        <v>15.166666666666666</v>
      </c>
      <c r="CL16">
        <f t="shared" si="10"/>
        <v>11.6</v>
      </c>
      <c r="CM16">
        <f t="shared" si="11"/>
        <v>9.75</v>
      </c>
      <c r="CN16">
        <f t="shared" si="12"/>
        <v>7</v>
      </c>
      <c r="CO16">
        <f t="shared" si="13"/>
        <v>10.5</v>
      </c>
      <c r="CP16">
        <f t="shared" si="14"/>
        <v>8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  <c r="DN16" s="5">
        <v>6</v>
      </c>
    </row>
    <row r="17" spans="1:118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>
        <v>17</v>
      </c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118" s="25" customFormat="1" ht="20" customHeight="1" x14ac:dyDescent="0.2">
      <c r="A18" s="21" t="s">
        <v>32</v>
      </c>
      <c r="B18" s="22">
        <f>SUM(B5:B16)</f>
        <v>0</v>
      </c>
      <c r="C18" s="22">
        <f t="shared" ref="C18:AZ18" si="29">SUM(C5:C16)</f>
        <v>0</v>
      </c>
      <c r="D18" s="22">
        <f t="shared" si="29"/>
        <v>0</v>
      </c>
      <c r="E18" s="22">
        <f t="shared" si="29"/>
        <v>229</v>
      </c>
      <c r="F18" s="22">
        <f t="shared" si="29"/>
        <v>376</v>
      </c>
      <c r="G18" s="22">
        <f t="shared" si="29"/>
        <v>432</v>
      </c>
      <c r="H18" s="22">
        <f t="shared" si="29"/>
        <v>639</v>
      </c>
      <c r="I18" s="22">
        <f t="shared" si="29"/>
        <v>592</v>
      </c>
      <c r="J18" s="22">
        <f t="shared" si="29"/>
        <v>610</v>
      </c>
      <c r="K18" s="22">
        <f t="shared" si="29"/>
        <v>502</v>
      </c>
      <c r="L18" s="22">
        <f t="shared" si="29"/>
        <v>408</v>
      </c>
      <c r="M18" s="22">
        <f t="shared" si="29"/>
        <v>471</v>
      </c>
      <c r="N18" s="22">
        <f t="shared" si="29"/>
        <v>355</v>
      </c>
      <c r="O18" s="22">
        <f t="shared" si="29"/>
        <v>353</v>
      </c>
      <c r="P18" s="22">
        <f t="shared" si="29"/>
        <v>441</v>
      </c>
      <c r="Q18" s="22">
        <f t="shared" si="29"/>
        <v>372</v>
      </c>
      <c r="R18" s="22">
        <f t="shared" si="29"/>
        <v>430</v>
      </c>
      <c r="S18" s="22">
        <f t="shared" si="29"/>
        <v>0</v>
      </c>
      <c r="T18" s="22">
        <f t="shared" si="29"/>
        <v>0</v>
      </c>
      <c r="U18" s="22">
        <f t="shared" si="29"/>
        <v>0</v>
      </c>
      <c r="V18" s="22">
        <f t="shared" si="29"/>
        <v>0</v>
      </c>
      <c r="W18" s="22">
        <f t="shared" si="29"/>
        <v>396</v>
      </c>
      <c r="X18" s="22">
        <f t="shared" si="29"/>
        <v>356</v>
      </c>
      <c r="Y18" s="22">
        <f t="shared" si="29"/>
        <v>470</v>
      </c>
      <c r="Z18" s="22">
        <f t="shared" si="29"/>
        <v>588</v>
      </c>
      <c r="AA18" s="22">
        <f t="shared" si="29"/>
        <v>640</v>
      </c>
      <c r="AB18" s="22">
        <f t="shared" si="29"/>
        <v>888</v>
      </c>
      <c r="AC18" s="22">
        <f t="shared" si="29"/>
        <v>897</v>
      </c>
      <c r="AD18" s="22">
        <f t="shared" si="29"/>
        <v>853</v>
      </c>
      <c r="AE18" s="22">
        <f t="shared" si="29"/>
        <v>966</v>
      </c>
      <c r="AF18" s="22">
        <f t="shared" si="29"/>
        <v>641</v>
      </c>
      <c r="AG18" s="22">
        <f t="shared" si="29"/>
        <v>547</v>
      </c>
      <c r="AH18" s="22">
        <f t="shared" si="29"/>
        <v>483</v>
      </c>
      <c r="AI18" s="22">
        <f t="shared" si="29"/>
        <v>270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261.2</v>
      </c>
      <c r="BZ18" s="25">
        <f>AVERAGE(R18:AA18)</f>
        <v>288</v>
      </c>
      <c r="CA18" s="25">
        <f>AVERAGE(S18:AB18)</f>
        <v>333.8</v>
      </c>
      <c r="CB18" s="25">
        <f>AVERAGE(T18:AC18)</f>
        <v>423.5</v>
      </c>
      <c r="DN18" s="25">
        <f>SUM(DN5:DN16)</f>
        <v>349</v>
      </c>
    </row>
    <row r="19" spans="1:118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118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118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CB21" s="5" t="s">
        <v>95</v>
      </c>
    </row>
    <row r="22" spans="1:118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118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118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118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118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118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118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118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118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118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118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transitionEvaluation="1" codeName="Sheet34">
    <tabColor theme="0"/>
  </sheetPr>
  <dimension ref="A1:DE192"/>
  <sheetViews>
    <sheetView defaultGridColor="0" colorId="22" zoomScale="70" zoomScaleNormal="70" workbookViewId="0">
      <pane xSplit="1" topLeftCell="B1" activePane="topRight" state="frozen"/>
      <selection activeCell="B1" sqref="B1:U1048576"/>
      <selection pane="topRight" activeCell="AI10" sqref="AI10"/>
    </sheetView>
  </sheetViews>
  <sheetFormatPr baseColWidth="10" defaultColWidth="9.42578125" defaultRowHeight="20" customHeight="1" x14ac:dyDescent="0.2"/>
  <cols>
    <col min="1" max="1" width="22" style="5" customWidth="1"/>
    <col min="2" max="23" width="5.7109375" style="5" customWidth="1"/>
    <col min="24" max="24" width="6.85546875" style="5" customWidth="1"/>
    <col min="25" max="29" width="5.7109375" style="5" customWidth="1"/>
    <col min="30" max="30" width="6.42578125" style="5" customWidth="1"/>
    <col min="31" max="31" width="6.140625" customWidth="1"/>
    <col min="32" max="52" width="9.42578125" customWidth="1"/>
    <col min="53" max="74" width="9.42578125" style="5" customWidth="1"/>
    <col min="75" max="75" width="6" style="5" customWidth="1"/>
    <col min="76" max="76" width="8.42578125" style="5" customWidth="1"/>
    <col min="77" max="77" width="16.42578125" style="5" customWidth="1"/>
    <col min="78" max="79" width="16.7109375" style="5" customWidth="1"/>
    <col min="80" max="80" width="16.140625" style="5" customWidth="1"/>
    <col min="81" max="81" width="9.42578125" style="5" customWidth="1"/>
    <col min="82" max="82" width="16.85546875" style="5" customWidth="1"/>
    <col min="83" max="107" width="9.42578125" style="5" customWidth="1"/>
    <col min="108" max="108" width="0.28515625" style="5" customWidth="1"/>
    <col min="109" max="109" width="15.7109375" style="5" customWidth="1"/>
    <col min="110" max="114" width="9.42578125" style="5" customWidth="1"/>
    <col min="115" max="16384" width="9.42578125" style="5"/>
  </cols>
  <sheetData>
    <row r="1" spans="1:109" s="34" customFormat="1" ht="25" customHeight="1" x14ac:dyDescent="0.2">
      <c r="A1" s="31" t="s">
        <v>14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9" s="34" customFormat="1" ht="25" customHeight="1" x14ac:dyDescent="0.25">
      <c r="A2" s="36" t="s">
        <v>51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9" s="29" customFormat="1" ht="31.5" customHeight="1" x14ac:dyDescent="0.25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74</v>
      </c>
      <c r="BB3" s="30"/>
      <c r="BC3" s="30"/>
      <c r="BE3" s="30"/>
      <c r="BF3" s="30"/>
      <c r="BG3" s="30"/>
      <c r="BK3" s="78">
        <v>2001</v>
      </c>
      <c r="BL3" s="78">
        <v>2002</v>
      </c>
      <c r="BM3" s="78">
        <v>2003</v>
      </c>
      <c r="BN3" s="78">
        <v>2004</v>
      </c>
      <c r="BO3" s="78">
        <v>2005</v>
      </c>
      <c r="BP3" s="78">
        <v>2006</v>
      </c>
      <c r="BQ3" s="78">
        <v>2007</v>
      </c>
      <c r="BR3" s="78">
        <v>2008</v>
      </c>
      <c r="BS3" s="78">
        <v>2009</v>
      </c>
      <c r="BT3" s="78">
        <v>2010</v>
      </c>
      <c r="BU3" s="78">
        <v>2011</v>
      </c>
      <c r="BV3" s="78">
        <v>2012</v>
      </c>
      <c r="BW3" s="78">
        <v>2013</v>
      </c>
      <c r="BX3" s="78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  <c r="DE3" s="133" t="s">
        <v>112</v>
      </c>
    </row>
    <row r="4" spans="1:109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</row>
    <row r="5" spans="1:109" s="10" customFormat="1" ht="20" customHeight="1" x14ac:dyDescent="0.2">
      <c r="A5" s="9" t="s">
        <v>0</v>
      </c>
      <c r="B5" s="16"/>
      <c r="C5" s="16">
        <v>1</v>
      </c>
      <c r="D5" s="16">
        <v>18</v>
      </c>
      <c r="E5" s="16">
        <v>4</v>
      </c>
      <c r="F5" s="16">
        <v>9</v>
      </c>
      <c r="G5" s="16">
        <v>9</v>
      </c>
      <c r="H5" s="16">
        <v>19</v>
      </c>
      <c r="I5" s="16">
        <v>7</v>
      </c>
      <c r="J5" s="16">
        <v>35</v>
      </c>
      <c r="K5" s="16">
        <v>0</v>
      </c>
      <c r="L5" s="16">
        <v>5</v>
      </c>
      <c r="M5" s="16">
        <v>22</v>
      </c>
      <c r="N5" s="16">
        <v>16</v>
      </c>
      <c r="O5" s="16">
        <v>26</v>
      </c>
      <c r="P5" s="16">
        <v>33</v>
      </c>
      <c r="Q5" s="16">
        <v>50</v>
      </c>
      <c r="R5" s="16">
        <v>21</v>
      </c>
      <c r="S5" s="16"/>
      <c r="T5" s="16"/>
      <c r="U5" s="17"/>
      <c r="V5" s="17"/>
      <c r="X5" s="17">
        <v>5</v>
      </c>
      <c r="Y5" s="76">
        <v>21</v>
      </c>
      <c r="Z5" s="17">
        <v>29</v>
      </c>
      <c r="AA5" s="17">
        <v>35</v>
      </c>
      <c r="AB5" s="17">
        <v>61</v>
      </c>
      <c r="AC5" s="17">
        <v>61</v>
      </c>
      <c r="AD5" s="112"/>
      <c r="AE5" s="10">
        <v>75</v>
      </c>
      <c r="AF5" s="10">
        <v>111</v>
      </c>
      <c r="AG5" s="10">
        <v>42</v>
      </c>
      <c r="AH5" s="10">
        <f>24+37</f>
        <v>61</v>
      </c>
      <c r="AI5" s="10">
        <f>5+1+2+8+6+29+(2)</f>
        <v>53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11.333333333333334</v>
      </c>
      <c r="BK5">
        <f t="shared" ref="BK5:DD16" si="0">AVERAGE(C5:L5)</f>
        <v>10.7</v>
      </c>
      <c r="BL5">
        <f>AVERAGE(D5:M5)</f>
        <v>12.8</v>
      </c>
      <c r="BM5">
        <f t="shared" si="0"/>
        <v>12.6</v>
      </c>
      <c r="BN5">
        <f t="shared" si="0"/>
        <v>14.8</v>
      </c>
      <c r="BO5">
        <f t="shared" si="0"/>
        <v>17.2</v>
      </c>
      <c r="BP5">
        <f t="shared" si="0"/>
        <v>21.3</v>
      </c>
      <c r="BQ5">
        <f t="shared" si="0"/>
        <v>21.5</v>
      </c>
      <c r="BR5">
        <f t="shared" si="0"/>
        <v>23.111111111111111</v>
      </c>
      <c r="BS5">
        <f t="shared" si="0"/>
        <v>21.625</v>
      </c>
      <c r="BT5">
        <f t="shared" si="0"/>
        <v>24.714285714285715</v>
      </c>
      <c r="BU5">
        <f t="shared" si="0"/>
        <v>28</v>
      </c>
      <c r="BV5">
        <f t="shared" si="0"/>
        <v>29.2</v>
      </c>
      <c r="BW5">
        <f t="shared" si="0"/>
        <v>27</v>
      </c>
      <c r="BX5">
        <f t="shared" si="0"/>
        <v>26</v>
      </c>
      <c r="BY5">
        <f t="shared" si="0"/>
        <v>25.2</v>
      </c>
      <c r="BZ5">
        <f t="shared" si="0"/>
        <v>22.2</v>
      </c>
      <c r="CA5">
        <f t="shared" si="0"/>
        <v>30.2</v>
      </c>
      <c r="CB5">
        <f t="shared" si="0"/>
        <v>35.333333333333336</v>
      </c>
      <c r="CC5">
        <f t="shared" si="0"/>
        <v>35.333333333333336</v>
      </c>
      <c r="CD5">
        <f t="shared" si="0"/>
        <v>41</v>
      </c>
      <c r="CE5">
        <f t="shared" si="0"/>
        <v>49.75</v>
      </c>
      <c r="CF5">
        <f t="shared" si="0"/>
        <v>48.888888888888886</v>
      </c>
      <c r="CG5">
        <f t="shared" si="0"/>
        <v>55.111111111111114</v>
      </c>
      <c r="CH5">
        <f t="shared" si="0"/>
        <v>58.666666666666664</v>
      </c>
      <c r="CI5">
        <f t="shared" si="0"/>
        <v>62.375</v>
      </c>
      <c r="CJ5">
        <f t="shared" si="0"/>
        <v>66.285714285714292</v>
      </c>
      <c r="CK5">
        <f t="shared" si="0"/>
        <v>67.166666666666671</v>
      </c>
      <c r="CL5">
        <f t="shared" si="0"/>
        <v>68.400000000000006</v>
      </c>
      <c r="CM5">
        <f t="shared" si="0"/>
        <v>68.400000000000006</v>
      </c>
      <c r="CN5">
        <f t="shared" si="0"/>
        <v>66.75</v>
      </c>
      <c r="CO5">
        <f t="shared" si="0"/>
        <v>52</v>
      </c>
      <c r="CP5">
        <f t="shared" si="0"/>
        <v>57</v>
      </c>
      <c r="CQ5">
        <f t="shared" si="0"/>
        <v>53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  <c r="DE5" s="10">
        <v>1</v>
      </c>
    </row>
    <row r="6" spans="1:109" ht="20" customHeight="1" x14ac:dyDescent="0.2">
      <c r="A6" s="7" t="s">
        <v>1</v>
      </c>
      <c r="B6" s="14"/>
      <c r="C6" s="14">
        <v>6</v>
      </c>
      <c r="D6" s="14">
        <v>11</v>
      </c>
      <c r="E6" s="14">
        <v>2</v>
      </c>
      <c r="F6" s="14">
        <v>26</v>
      </c>
      <c r="G6" s="14">
        <v>12</v>
      </c>
      <c r="H6" s="14">
        <v>41</v>
      </c>
      <c r="I6" s="14">
        <v>36</v>
      </c>
      <c r="J6" s="14">
        <v>10</v>
      </c>
      <c r="K6" s="14">
        <v>37</v>
      </c>
      <c r="L6" s="14">
        <v>25</v>
      </c>
      <c r="M6" s="14">
        <v>40</v>
      </c>
      <c r="N6" s="14">
        <v>30</v>
      </c>
      <c r="O6" s="14">
        <v>26</v>
      </c>
      <c r="P6" s="14">
        <v>14</v>
      </c>
      <c r="Q6" s="14">
        <v>23</v>
      </c>
      <c r="R6" s="14">
        <v>28</v>
      </c>
      <c r="S6" s="14"/>
      <c r="T6" s="14"/>
      <c r="U6" s="15"/>
      <c r="V6" s="15"/>
      <c r="X6" s="15">
        <v>5</v>
      </c>
      <c r="Y6" s="15">
        <v>25</v>
      </c>
      <c r="Z6" s="15">
        <v>13</v>
      </c>
      <c r="AA6" s="15">
        <v>30</v>
      </c>
      <c r="AB6" s="15">
        <v>143</v>
      </c>
      <c r="AC6" s="15">
        <v>143</v>
      </c>
      <c r="AD6" s="111">
        <v>9</v>
      </c>
      <c r="AE6" s="124">
        <v>133</v>
      </c>
      <c r="AF6" s="124">
        <v>150</v>
      </c>
      <c r="AG6" s="124">
        <v>57</v>
      </c>
      <c r="AH6" s="124">
        <f>12+31</f>
        <v>43</v>
      </c>
      <c r="AI6" s="124">
        <f>6+26+3</f>
        <v>35</v>
      </c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20.111111111111111</v>
      </c>
      <c r="BK6">
        <f t="shared" si="0"/>
        <v>20.6</v>
      </c>
      <c r="BL6">
        <f t="shared" ref="BL6:BL16" si="2">AVERAGE(D6:M6)</f>
        <v>24</v>
      </c>
      <c r="BM6">
        <f t="shared" si="0"/>
        <v>25.9</v>
      </c>
      <c r="BN6">
        <f t="shared" si="0"/>
        <v>28.3</v>
      </c>
      <c r="BO6">
        <f t="shared" si="0"/>
        <v>27.1</v>
      </c>
      <c r="BP6">
        <f t="shared" si="0"/>
        <v>28.2</v>
      </c>
      <c r="BQ6">
        <f t="shared" si="0"/>
        <v>26.9</v>
      </c>
      <c r="BR6">
        <f t="shared" ref="BR6:BS16" si="3">AVERAGE(J6:S6)</f>
        <v>25.888888888888889</v>
      </c>
      <c r="BS6">
        <f t="shared" si="3"/>
        <v>27.875</v>
      </c>
      <c r="BT6">
        <f t="shared" si="0"/>
        <v>26.571428571428573</v>
      </c>
      <c r="BU6">
        <f t="shared" si="0"/>
        <v>26.833333333333332</v>
      </c>
      <c r="BV6">
        <f t="shared" si="0"/>
        <v>24.2</v>
      </c>
      <c r="BW6">
        <f t="shared" si="0"/>
        <v>19.2</v>
      </c>
      <c r="BX6">
        <f t="shared" si="0"/>
        <v>19</v>
      </c>
      <c r="BY6">
        <f t="shared" si="0"/>
        <v>18.8</v>
      </c>
      <c r="BZ6">
        <f t="shared" si="0"/>
        <v>20.2</v>
      </c>
      <c r="CA6">
        <f t="shared" si="0"/>
        <v>43.2</v>
      </c>
      <c r="CB6">
        <f t="shared" si="0"/>
        <v>59.833333333333336</v>
      </c>
      <c r="CC6">
        <f t="shared" si="0"/>
        <v>52.571428571428569</v>
      </c>
      <c r="CD6">
        <f t="shared" si="0"/>
        <v>62.625</v>
      </c>
      <c r="CE6">
        <f t="shared" si="0"/>
        <v>72.333333333333329</v>
      </c>
      <c r="CF6">
        <f t="shared" ref="CF6:CF16" si="4">AVERAGE(X6:AG6)</f>
        <v>70.8</v>
      </c>
      <c r="CG6">
        <f t="shared" ref="CG6:CG16" si="5">AVERAGE(Y6:AH6)</f>
        <v>74.599999999999994</v>
      </c>
      <c r="CH6">
        <f t="shared" ref="CH6:CH16" si="6">AVERAGE(Z6:AI6)</f>
        <v>75.599999999999994</v>
      </c>
      <c r="CI6">
        <f t="shared" ref="CI6:CI16" si="7">AVERAGE(AA6:AJ6)</f>
        <v>82.555555555555557</v>
      </c>
      <c r="CJ6">
        <f t="shared" ref="CJ6:CJ16" si="8">AVERAGE(AB6:AK6)</f>
        <v>89.125</v>
      </c>
      <c r="CK6">
        <f t="shared" ref="CK6:CK16" si="9">AVERAGE(AC6:AL6)</f>
        <v>81.428571428571431</v>
      </c>
      <c r="CL6">
        <f t="shared" ref="CL6:CL16" si="10">AVERAGE(AD6:AM6)</f>
        <v>71.166666666666671</v>
      </c>
      <c r="CM6">
        <f t="shared" ref="CM6:CM16" si="11">AVERAGE(AE6:AN6)</f>
        <v>83.6</v>
      </c>
      <c r="CN6">
        <f t="shared" ref="CN6:CN16" si="12">AVERAGE(AF6:AO6)</f>
        <v>71.25</v>
      </c>
      <c r="CO6">
        <f t="shared" ref="CO6:CO16" si="13">AVERAGE(AG6:AP6)</f>
        <v>45</v>
      </c>
      <c r="CP6">
        <f t="shared" ref="CP6:CP16" si="14">AVERAGE(AH6:AQ6)</f>
        <v>39</v>
      </c>
      <c r="CQ6">
        <f t="shared" ref="CQ6:CQ16" si="15">AVERAGE(AI6:AR6)</f>
        <v>35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  <c r="DE6" s="5">
        <v>7</v>
      </c>
    </row>
    <row r="7" spans="1:109" s="10" customFormat="1" ht="20" customHeight="1" x14ac:dyDescent="0.2">
      <c r="A7" s="9" t="s">
        <v>2</v>
      </c>
      <c r="B7" s="16"/>
      <c r="C7" s="16">
        <v>2</v>
      </c>
      <c r="D7" s="16">
        <v>10</v>
      </c>
      <c r="E7" s="16">
        <v>7</v>
      </c>
      <c r="F7" s="16">
        <v>24</v>
      </c>
      <c r="G7" s="16">
        <v>19</v>
      </c>
      <c r="H7" s="16">
        <v>19</v>
      </c>
      <c r="I7" s="16">
        <v>17</v>
      </c>
      <c r="J7" s="16">
        <v>27</v>
      </c>
      <c r="K7" s="16">
        <v>16</v>
      </c>
      <c r="L7" s="16">
        <v>20</v>
      </c>
      <c r="M7" s="16">
        <v>18</v>
      </c>
      <c r="N7" s="16">
        <v>12</v>
      </c>
      <c r="O7" s="16">
        <v>10</v>
      </c>
      <c r="P7" s="16">
        <v>11</v>
      </c>
      <c r="Q7" s="16">
        <v>13</v>
      </c>
      <c r="R7" s="16">
        <v>16</v>
      </c>
      <c r="S7" s="16"/>
      <c r="T7" s="16"/>
      <c r="U7" s="17"/>
      <c r="V7" s="17"/>
      <c r="X7" s="17">
        <v>23</v>
      </c>
      <c r="Y7" s="17">
        <v>13</v>
      </c>
      <c r="Z7" s="17">
        <v>43</v>
      </c>
      <c r="AA7" s="17">
        <v>56</v>
      </c>
      <c r="AB7" s="17">
        <v>49</v>
      </c>
      <c r="AC7" s="17">
        <v>49</v>
      </c>
      <c r="AD7" s="112">
        <v>80</v>
      </c>
      <c r="AE7" s="10">
        <v>122</v>
      </c>
      <c r="AF7" s="10">
        <v>150</v>
      </c>
      <c r="AG7" s="10">
        <v>42</v>
      </c>
      <c r="AH7" s="10">
        <f>9+41+8</f>
        <v>58</v>
      </c>
      <c r="AI7" s="10">
        <f>2+34+9</f>
        <v>45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15.666666666666666</v>
      </c>
      <c r="BK7">
        <f t="shared" si="0"/>
        <v>16.100000000000001</v>
      </c>
      <c r="BL7">
        <f t="shared" si="2"/>
        <v>17.7</v>
      </c>
      <c r="BM7">
        <f t="shared" si="0"/>
        <v>17.899999999999999</v>
      </c>
      <c r="BN7">
        <f t="shared" si="0"/>
        <v>18.2</v>
      </c>
      <c r="BO7">
        <f t="shared" si="0"/>
        <v>16.899999999999999</v>
      </c>
      <c r="BP7">
        <f t="shared" si="0"/>
        <v>16.3</v>
      </c>
      <c r="BQ7">
        <f t="shared" si="0"/>
        <v>16</v>
      </c>
      <c r="BR7">
        <f t="shared" si="3"/>
        <v>15.888888888888889</v>
      </c>
      <c r="BS7">
        <f t="shared" si="3"/>
        <v>14.5</v>
      </c>
      <c r="BT7">
        <f t="shared" si="0"/>
        <v>14.285714285714286</v>
      </c>
      <c r="BU7">
        <f t="shared" si="0"/>
        <v>13.333333333333334</v>
      </c>
      <c r="BV7">
        <f t="shared" si="0"/>
        <v>12.4</v>
      </c>
      <c r="BW7">
        <f t="shared" si="0"/>
        <v>14.6</v>
      </c>
      <c r="BX7">
        <f>AVERAGE(P7:Y7)</f>
        <v>15.2</v>
      </c>
      <c r="BY7">
        <f t="shared" si="0"/>
        <v>21.6</v>
      </c>
      <c r="BZ7">
        <f t="shared" si="0"/>
        <v>30.2</v>
      </c>
      <c r="CA7">
        <f t="shared" si="0"/>
        <v>36.799999999999997</v>
      </c>
      <c r="CB7">
        <f t="shared" si="0"/>
        <v>38.833333333333336</v>
      </c>
      <c r="CC7">
        <f t="shared" si="0"/>
        <v>44.714285714285715</v>
      </c>
      <c r="CD7">
        <f t="shared" si="0"/>
        <v>54.375</v>
      </c>
      <c r="CE7">
        <f>AVERAGE(W7:AF7)</f>
        <v>65</v>
      </c>
      <c r="CF7">
        <f t="shared" si="4"/>
        <v>62.7</v>
      </c>
      <c r="CG7">
        <f t="shared" si="5"/>
        <v>66.2</v>
      </c>
      <c r="CH7">
        <f t="shared" si="6"/>
        <v>69.400000000000006</v>
      </c>
      <c r="CI7">
        <f t="shared" si="7"/>
        <v>72.333333333333329</v>
      </c>
      <c r="CJ7">
        <f t="shared" si="8"/>
        <v>74.375</v>
      </c>
      <c r="CK7">
        <f t="shared" si="9"/>
        <v>78</v>
      </c>
      <c r="CL7">
        <f t="shared" si="10"/>
        <v>82.833333333333329</v>
      </c>
      <c r="CM7">
        <f t="shared" si="11"/>
        <v>83.4</v>
      </c>
      <c r="CN7">
        <f t="shared" si="12"/>
        <v>73.75</v>
      </c>
      <c r="CO7">
        <f t="shared" si="13"/>
        <v>48.333333333333336</v>
      </c>
      <c r="CP7">
        <f t="shared" si="14"/>
        <v>51.5</v>
      </c>
      <c r="CQ7">
        <f t="shared" si="15"/>
        <v>45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  <c r="DE7" s="10">
        <v>1</v>
      </c>
    </row>
    <row r="8" spans="1:109" ht="20" customHeight="1" x14ac:dyDescent="0.2">
      <c r="A8" s="7" t="s">
        <v>3</v>
      </c>
      <c r="B8" s="14"/>
      <c r="C8" s="14">
        <v>4</v>
      </c>
      <c r="D8" s="14">
        <v>7</v>
      </c>
      <c r="E8" s="14">
        <v>31</v>
      </c>
      <c r="F8" s="14">
        <v>11</v>
      </c>
      <c r="G8" s="14">
        <v>40</v>
      </c>
      <c r="H8" s="14">
        <v>29</v>
      </c>
      <c r="I8" s="14">
        <v>54</v>
      </c>
      <c r="J8" s="14">
        <v>5</v>
      </c>
      <c r="K8" s="14">
        <v>51</v>
      </c>
      <c r="L8" s="14">
        <v>35</v>
      </c>
      <c r="M8" s="14">
        <v>32</v>
      </c>
      <c r="N8" s="14">
        <v>24</v>
      </c>
      <c r="O8" s="14">
        <v>32</v>
      </c>
      <c r="P8" s="14">
        <v>26</v>
      </c>
      <c r="Q8" s="14">
        <v>28</v>
      </c>
      <c r="R8" s="14">
        <v>32</v>
      </c>
      <c r="S8" s="14"/>
      <c r="T8" s="14"/>
      <c r="U8" s="15"/>
      <c r="V8" s="15"/>
      <c r="X8" s="15">
        <v>35</v>
      </c>
      <c r="Y8" s="15">
        <v>32</v>
      </c>
      <c r="Z8" s="15">
        <v>31</v>
      </c>
      <c r="AA8" s="15">
        <v>67</v>
      </c>
      <c r="AB8" s="15">
        <v>69</v>
      </c>
      <c r="AC8" s="15">
        <v>69</v>
      </c>
      <c r="AD8" s="111">
        <v>48</v>
      </c>
      <c r="AE8" s="124">
        <v>64</v>
      </c>
      <c r="AF8" s="124">
        <v>110</v>
      </c>
      <c r="AG8" s="124">
        <f>24+27</f>
        <v>51</v>
      </c>
      <c r="AH8" s="124">
        <f>28+34</f>
        <v>62</v>
      </c>
      <c r="AI8" s="124">
        <f>3+14+12+(2+2+3+2+3+2+2+4+1+2+6+1+1+2+2+2+1+2+1)</f>
        <v>70</v>
      </c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25.777777777777779</v>
      </c>
      <c r="BK8">
        <f t="shared" si="0"/>
        <v>26.7</v>
      </c>
      <c r="BL8">
        <f t="shared" si="2"/>
        <v>29.5</v>
      </c>
      <c r="BM8">
        <f t="shared" si="0"/>
        <v>31.2</v>
      </c>
      <c r="BN8">
        <f t="shared" si="0"/>
        <v>31.3</v>
      </c>
      <c r="BO8">
        <f t="shared" si="0"/>
        <v>32.799999999999997</v>
      </c>
      <c r="BP8">
        <f t="shared" si="0"/>
        <v>31.6</v>
      </c>
      <c r="BQ8">
        <f t="shared" si="0"/>
        <v>31.9</v>
      </c>
      <c r="BR8">
        <f t="shared" si="3"/>
        <v>29.444444444444443</v>
      </c>
      <c r="BS8">
        <f t="shared" si="3"/>
        <v>32.5</v>
      </c>
      <c r="BT8">
        <f>AVERAGE(L8:U8)</f>
        <v>29.857142857142858</v>
      </c>
      <c r="BU8">
        <f t="shared" si="0"/>
        <v>29</v>
      </c>
      <c r="BV8">
        <f t="shared" si="0"/>
        <v>28.4</v>
      </c>
      <c r="BW8">
        <f t="shared" si="0"/>
        <v>30.6</v>
      </c>
      <c r="BX8">
        <f t="shared" si="0"/>
        <v>30.6</v>
      </c>
      <c r="BY8">
        <f t="shared" si="0"/>
        <v>31.6</v>
      </c>
      <c r="BZ8">
        <f t="shared" si="0"/>
        <v>39.4</v>
      </c>
      <c r="CA8">
        <f t="shared" si="0"/>
        <v>46.8</v>
      </c>
      <c r="CB8">
        <f t="shared" si="0"/>
        <v>50.5</v>
      </c>
      <c r="CC8">
        <f t="shared" si="0"/>
        <v>50.142857142857146</v>
      </c>
      <c r="CD8">
        <f t="shared" si="0"/>
        <v>51.875</v>
      </c>
      <c r="CE8">
        <f t="shared" si="0"/>
        <v>58.333333333333336</v>
      </c>
      <c r="CF8">
        <f t="shared" si="4"/>
        <v>57.6</v>
      </c>
      <c r="CG8">
        <f t="shared" si="5"/>
        <v>60.3</v>
      </c>
      <c r="CH8">
        <f t="shared" si="6"/>
        <v>64.099999999999994</v>
      </c>
      <c r="CI8">
        <f t="shared" si="7"/>
        <v>67.777777777777771</v>
      </c>
      <c r="CJ8">
        <f t="shared" si="8"/>
        <v>67.875</v>
      </c>
      <c r="CK8">
        <f t="shared" si="9"/>
        <v>67.714285714285708</v>
      </c>
      <c r="CL8">
        <f t="shared" si="10"/>
        <v>67.5</v>
      </c>
      <c r="CM8">
        <f t="shared" si="11"/>
        <v>71.400000000000006</v>
      </c>
      <c r="CN8">
        <f t="shared" si="12"/>
        <v>73.25</v>
      </c>
      <c r="CO8">
        <f t="shared" si="13"/>
        <v>61</v>
      </c>
      <c r="CP8">
        <f t="shared" si="14"/>
        <v>66</v>
      </c>
      <c r="CQ8">
        <f t="shared" si="15"/>
        <v>70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  <c r="DE8" s="5">
        <v>1</v>
      </c>
    </row>
    <row r="9" spans="1:109" s="10" customFormat="1" ht="20" customHeight="1" x14ac:dyDescent="0.2">
      <c r="A9" s="9" t="s">
        <v>4</v>
      </c>
      <c r="B9" s="16"/>
      <c r="C9" s="16">
        <v>32</v>
      </c>
      <c r="D9" s="16">
        <v>54</v>
      </c>
      <c r="E9" s="16">
        <v>55</v>
      </c>
      <c r="F9" s="16">
        <v>107</v>
      </c>
      <c r="G9" s="16">
        <v>120</v>
      </c>
      <c r="H9" s="16">
        <v>67</v>
      </c>
      <c r="I9" s="16">
        <v>97</v>
      </c>
      <c r="J9" s="16">
        <v>191</v>
      </c>
      <c r="K9" s="16">
        <v>83</v>
      </c>
      <c r="L9" s="16">
        <v>70</v>
      </c>
      <c r="M9" s="16">
        <v>54</v>
      </c>
      <c r="N9" s="16">
        <v>49</v>
      </c>
      <c r="O9" s="16">
        <v>81</v>
      </c>
      <c r="P9" s="16">
        <v>66</v>
      </c>
      <c r="Q9" s="16">
        <v>73</v>
      </c>
      <c r="R9" s="16">
        <v>83</v>
      </c>
      <c r="S9" s="16"/>
      <c r="T9" s="16"/>
      <c r="U9" s="17"/>
      <c r="V9" s="17"/>
      <c r="X9" s="17">
        <v>50</v>
      </c>
      <c r="Y9" s="17">
        <v>89</v>
      </c>
      <c r="Z9" s="17">
        <v>113</v>
      </c>
      <c r="AA9" s="17">
        <v>75</v>
      </c>
      <c r="AB9" s="17">
        <v>101</v>
      </c>
      <c r="AC9" s="17">
        <v>159</v>
      </c>
      <c r="AD9" s="112">
        <v>172</v>
      </c>
      <c r="AE9" s="10">
        <v>120</v>
      </c>
      <c r="AF9" s="10">
        <v>184</v>
      </c>
      <c r="AG9" s="10">
        <f>23+35+52</f>
        <v>110</v>
      </c>
      <c r="AH9" s="10">
        <f>12+32+37+22+10</f>
        <v>113</v>
      </c>
      <c r="AI9" s="10">
        <f>18+(1+2+2+4+4+1+1+3+2+2+5+4+2+2+2+1+2+1+2)+(3+2+1+2+1+6+5+12+3+3+2+2+1+1+3+1+1+2+5)+(1+4+2)+(1)</f>
        <v>125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89.555555555555557</v>
      </c>
      <c r="BK9">
        <f t="shared" si="0"/>
        <v>87.6</v>
      </c>
      <c r="BL9">
        <f t="shared" si="2"/>
        <v>89.8</v>
      </c>
      <c r="BM9">
        <f t="shared" si="0"/>
        <v>89.3</v>
      </c>
      <c r="BN9">
        <f t="shared" si="0"/>
        <v>91.9</v>
      </c>
      <c r="BO9">
        <f t="shared" si="0"/>
        <v>87.8</v>
      </c>
      <c r="BP9">
        <f t="shared" si="0"/>
        <v>83.1</v>
      </c>
      <c r="BQ9">
        <f t="shared" si="0"/>
        <v>84.7</v>
      </c>
      <c r="BR9">
        <f t="shared" si="3"/>
        <v>83.333333333333329</v>
      </c>
      <c r="BS9">
        <f t="shared" si="3"/>
        <v>69.875</v>
      </c>
      <c r="BT9">
        <f t="shared" si="0"/>
        <v>68</v>
      </c>
      <c r="BU9">
        <f t="shared" si="0"/>
        <v>67.666666666666671</v>
      </c>
      <c r="BV9">
        <f t="shared" si="0"/>
        <v>70.400000000000006</v>
      </c>
      <c r="BW9">
        <f t="shared" si="0"/>
        <v>70.599999999999994</v>
      </c>
      <c r="BX9">
        <f t="shared" si="0"/>
        <v>72.2</v>
      </c>
      <c r="BY9">
        <f t="shared" si="0"/>
        <v>81.599999999999994</v>
      </c>
      <c r="BZ9">
        <f t="shared" si="0"/>
        <v>82</v>
      </c>
      <c r="CA9">
        <f t="shared" si="0"/>
        <v>85.6</v>
      </c>
      <c r="CB9">
        <f t="shared" si="0"/>
        <v>97.833333333333329</v>
      </c>
      <c r="CC9">
        <f t="shared" si="0"/>
        <v>108.42857142857143</v>
      </c>
      <c r="CD9">
        <f t="shared" si="0"/>
        <v>109.875</v>
      </c>
      <c r="CE9">
        <f t="shared" si="0"/>
        <v>118.11111111111111</v>
      </c>
      <c r="CF9">
        <f t="shared" si="4"/>
        <v>117.3</v>
      </c>
      <c r="CG9">
        <f t="shared" si="5"/>
        <v>123.6</v>
      </c>
      <c r="CH9">
        <f t="shared" si="6"/>
        <v>127.2</v>
      </c>
      <c r="CI9">
        <f t="shared" si="7"/>
        <v>128.77777777777777</v>
      </c>
      <c r="CJ9">
        <f t="shared" si="8"/>
        <v>135.5</v>
      </c>
      <c r="CK9">
        <f t="shared" si="9"/>
        <v>140.42857142857142</v>
      </c>
      <c r="CL9">
        <f t="shared" si="10"/>
        <v>137.33333333333334</v>
      </c>
      <c r="CM9">
        <f t="shared" si="11"/>
        <v>130.4</v>
      </c>
      <c r="CN9">
        <f t="shared" si="12"/>
        <v>133</v>
      </c>
      <c r="CO9">
        <f t="shared" si="13"/>
        <v>116</v>
      </c>
      <c r="CP9">
        <f t="shared" si="14"/>
        <v>119</v>
      </c>
      <c r="CQ9">
        <f t="shared" si="15"/>
        <v>125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  <c r="DE9" s="10">
        <v>14</v>
      </c>
    </row>
    <row r="10" spans="1:109" ht="20" customHeight="1" x14ac:dyDescent="0.2">
      <c r="A10" s="7" t="s">
        <v>5</v>
      </c>
      <c r="B10" s="14"/>
      <c r="C10" s="14">
        <v>34</v>
      </c>
      <c r="D10" s="14">
        <v>50</v>
      </c>
      <c r="E10" s="14">
        <v>50</v>
      </c>
      <c r="F10" s="14">
        <v>204</v>
      </c>
      <c r="G10" s="14">
        <v>117</v>
      </c>
      <c r="H10" s="14">
        <v>107</v>
      </c>
      <c r="I10" s="14">
        <v>106</v>
      </c>
      <c r="J10" s="14">
        <v>109</v>
      </c>
      <c r="K10" s="14">
        <v>63</v>
      </c>
      <c r="L10" s="14">
        <v>75</v>
      </c>
      <c r="M10" s="14">
        <v>90</v>
      </c>
      <c r="N10" s="14">
        <v>80</v>
      </c>
      <c r="O10" s="14">
        <v>98</v>
      </c>
      <c r="P10" s="14">
        <v>68</v>
      </c>
      <c r="Q10" s="14">
        <v>29</v>
      </c>
      <c r="R10" s="14">
        <v>83</v>
      </c>
      <c r="S10" s="14"/>
      <c r="T10" s="14"/>
      <c r="U10" s="15"/>
      <c r="V10" s="15"/>
      <c r="X10" s="15">
        <v>39</v>
      </c>
      <c r="Y10" s="15">
        <v>86</v>
      </c>
      <c r="Z10" s="15">
        <v>76</v>
      </c>
      <c r="AA10" s="15">
        <v>272</v>
      </c>
      <c r="AB10" s="15">
        <v>175</v>
      </c>
      <c r="AC10" s="15">
        <v>163</v>
      </c>
      <c r="AD10" s="111">
        <v>141</v>
      </c>
      <c r="AE10" s="124">
        <v>184</v>
      </c>
      <c r="AF10" s="124">
        <v>107</v>
      </c>
      <c r="AG10" s="124">
        <f>6+35+40+42+63-2</f>
        <v>184</v>
      </c>
      <c r="AH10" s="124">
        <f>30+77+44+12+3</f>
        <v>166</v>
      </c>
      <c r="AI10" s="124">
        <f>8+(2+1+2+2+2+2+2+1+1+2+2+2+4+7+2+1)+(2+1+3+3+2+11+4+4+2+2+1+1+1+4+4+2+3+3+3+3)+(1+2+2+2+2+3+3+9+1+4)</f>
        <v>131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93.333333333333329</v>
      </c>
      <c r="BK10">
        <f t="shared" si="0"/>
        <v>91.5</v>
      </c>
      <c r="BL10">
        <f t="shared" si="2"/>
        <v>97.1</v>
      </c>
      <c r="BM10">
        <f t="shared" si="0"/>
        <v>100.1</v>
      </c>
      <c r="BN10">
        <f t="shared" si="0"/>
        <v>104.9</v>
      </c>
      <c r="BO10">
        <f t="shared" si="0"/>
        <v>91.3</v>
      </c>
      <c r="BP10">
        <f t="shared" si="0"/>
        <v>82.5</v>
      </c>
      <c r="BQ10">
        <f t="shared" si="0"/>
        <v>80.099999999999994</v>
      </c>
      <c r="BR10">
        <f t="shared" si="3"/>
        <v>77.222222222222229</v>
      </c>
      <c r="BS10">
        <f t="shared" si="3"/>
        <v>73.25</v>
      </c>
      <c r="BT10">
        <f t="shared" si="0"/>
        <v>74.714285714285708</v>
      </c>
      <c r="BU10">
        <f t="shared" si="0"/>
        <v>74.666666666666671</v>
      </c>
      <c r="BV10">
        <f t="shared" si="0"/>
        <v>71.599999999999994</v>
      </c>
      <c r="BW10">
        <f t="shared" si="0"/>
        <v>63.4</v>
      </c>
      <c r="BX10">
        <f t="shared" si="0"/>
        <v>61</v>
      </c>
      <c r="BY10">
        <f t="shared" si="0"/>
        <v>62.6</v>
      </c>
      <c r="BZ10">
        <f t="shared" si="0"/>
        <v>111.2</v>
      </c>
      <c r="CA10">
        <f t="shared" si="0"/>
        <v>129.6</v>
      </c>
      <c r="CB10">
        <f t="shared" si="0"/>
        <v>135.16666666666666</v>
      </c>
      <c r="CC10">
        <f t="shared" si="0"/>
        <v>136</v>
      </c>
      <c r="CD10">
        <f t="shared" si="0"/>
        <v>142</v>
      </c>
      <c r="CE10">
        <f t="shared" si="0"/>
        <v>138.11111111111111</v>
      </c>
      <c r="CF10">
        <f t="shared" si="4"/>
        <v>142.69999999999999</v>
      </c>
      <c r="CG10">
        <f t="shared" si="5"/>
        <v>155.4</v>
      </c>
      <c r="CH10">
        <f t="shared" si="6"/>
        <v>159.9</v>
      </c>
      <c r="CI10">
        <f t="shared" si="7"/>
        <v>169.22222222222223</v>
      </c>
      <c r="CJ10">
        <f t="shared" si="8"/>
        <v>156.375</v>
      </c>
      <c r="CK10">
        <f t="shared" si="9"/>
        <v>153.71428571428572</v>
      </c>
      <c r="CL10">
        <f t="shared" si="10"/>
        <v>152.16666666666666</v>
      </c>
      <c r="CM10">
        <f t="shared" si="11"/>
        <v>154.4</v>
      </c>
      <c r="CN10">
        <f t="shared" si="12"/>
        <v>147</v>
      </c>
      <c r="CO10">
        <f t="shared" si="13"/>
        <v>160.33333333333334</v>
      </c>
      <c r="CP10">
        <f t="shared" si="14"/>
        <v>148.5</v>
      </c>
      <c r="CQ10">
        <f t="shared" si="15"/>
        <v>131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  <c r="DE10" s="5">
        <v>12</v>
      </c>
    </row>
    <row r="11" spans="1:109" s="10" customFormat="1" ht="20" customHeight="1" x14ac:dyDescent="0.2">
      <c r="A11" s="9" t="s">
        <v>6</v>
      </c>
      <c r="B11" s="16"/>
      <c r="C11" s="16">
        <v>104</v>
      </c>
      <c r="D11" s="16">
        <v>114</v>
      </c>
      <c r="E11" s="16">
        <v>83</v>
      </c>
      <c r="F11" s="16">
        <v>398</v>
      </c>
      <c r="G11" s="16">
        <v>230</v>
      </c>
      <c r="H11" s="16">
        <v>445</v>
      </c>
      <c r="I11" s="16">
        <v>435</v>
      </c>
      <c r="J11" s="16">
        <v>426</v>
      </c>
      <c r="K11" s="16">
        <v>356</v>
      </c>
      <c r="L11" s="16">
        <v>332</v>
      </c>
      <c r="M11" s="16">
        <v>258</v>
      </c>
      <c r="N11" s="16">
        <v>204</v>
      </c>
      <c r="O11" s="16">
        <v>159</v>
      </c>
      <c r="P11" s="16">
        <v>230</v>
      </c>
      <c r="Q11" s="16">
        <v>105</v>
      </c>
      <c r="R11" s="16">
        <v>150</v>
      </c>
      <c r="S11" s="16"/>
      <c r="T11" s="16"/>
      <c r="U11" s="17"/>
      <c r="V11" s="17"/>
      <c r="X11" s="17">
        <v>212</v>
      </c>
      <c r="Y11" s="17">
        <v>217</v>
      </c>
      <c r="Z11" s="17">
        <v>208</v>
      </c>
      <c r="AA11" s="17">
        <v>308</v>
      </c>
      <c r="AB11" s="17">
        <v>346</v>
      </c>
      <c r="AC11" s="17">
        <v>201</v>
      </c>
      <c r="AD11" s="112">
        <v>391</v>
      </c>
      <c r="AE11" s="10">
        <v>292</v>
      </c>
      <c r="AF11" s="10">
        <v>237</v>
      </c>
      <c r="AG11" s="10">
        <f>22+37+63+44+78+27</f>
        <v>271</v>
      </c>
      <c r="AH11" s="10">
        <f>17+56+51+50+10+11+9</f>
        <v>204</v>
      </c>
      <c r="AI11" s="10">
        <f>(2+5+12+4+1+4+1+3+2)+(2+2+3+4+5+6+2+2+2+1+2+7+4)+(2+1+10+10+2+2+2+1+4+1+2+4+7+4+2+4+2+2)+(4+2+6+2+2+1+3+2+6+11+2+2+2+4+2+2+2+2+3)+(3+2+2+2+1+1)</f>
        <v>209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287.88888888888891</v>
      </c>
      <c r="BK11">
        <f t="shared" si="0"/>
        <v>292.3</v>
      </c>
      <c r="BL11">
        <f t="shared" si="2"/>
        <v>307.7</v>
      </c>
      <c r="BM11">
        <f t="shared" si="0"/>
        <v>316.7</v>
      </c>
      <c r="BN11">
        <f t="shared" si="0"/>
        <v>324.3</v>
      </c>
      <c r="BO11">
        <f t="shared" si="0"/>
        <v>307.5</v>
      </c>
      <c r="BP11">
        <f t="shared" si="0"/>
        <v>295</v>
      </c>
      <c r="BQ11">
        <f t="shared" si="0"/>
        <v>265.5</v>
      </c>
      <c r="BR11">
        <f t="shared" si="3"/>
        <v>246.66666666666666</v>
      </c>
      <c r="BS11">
        <f t="shared" si="3"/>
        <v>224.25</v>
      </c>
      <c r="BT11">
        <f t="shared" si="0"/>
        <v>205.42857142857142</v>
      </c>
      <c r="BU11">
        <f t="shared" si="0"/>
        <v>184.33333333333334</v>
      </c>
      <c r="BV11">
        <f t="shared" si="0"/>
        <v>169.6</v>
      </c>
      <c r="BW11">
        <f t="shared" si="0"/>
        <v>171.2</v>
      </c>
      <c r="BX11">
        <f t="shared" si="0"/>
        <v>182.8</v>
      </c>
      <c r="BY11">
        <f t="shared" si="0"/>
        <v>178.4</v>
      </c>
      <c r="BZ11">
        <f t="shared" si="0"/>
        <v>219</v>
      </c>
      <c r="CA11">
        <f t="shared" si="0"/>
        <v>258.2</v>
      </c>
      <c r="CB11">
        <f t="shared" si="0"/>
        <v>248.66666666666666</v>
      </c>
      <c r="CC11">
        <f t="shared" si="0"/>
        <v>269</v>
      </c>
      <c r="CD11">
        <f t="shared" si="0"/>
        <v>271.875</v>
      </c>
      <c r="CE11">
        <f t="shared" si="0"/>
        <v>268</v>
      </c>
      <c r="CF11">
        <f t="shared" si="4"/>
        <v>268.3</v>
      </c>
      <c r="CG11">
        <f t="shared" si="5"/>
        <v>267.5</v>
      </c>
      <c r="CH11">
        <f t="shared" si="6"/>
        <v>266.7</v>
      </c>
      <c r="CI11">
        <f t="shared" si="7"/>
        <v>273.22222222222223</v>
      </c>
      <c r="CJ11">
        <f t="shared" si="8"/>
        <v>268.875</v>
      </c>
      <c r="CK11">
        <f t="shared" si="9"/>
        <v>257.85714285714283</v>
      </c>
      <c r="CL11">
        <f t="shared" si="10"/>
        <v>267.33333333333331</v>
      </c>
      <c r="CM11">
        <f t="shared" si="11"/>
        <v>242.6</v>
      </c>
      <c r="CN11">
        <f t="shared" si="12"/>
        <v>230.25</v>
      </c>
      <c r="CO11">
        <f t="shared" si="13"/>
        <v>228</v>
      </c>
      <c r="CP11">
        <f t="shared" si="14"/>
        <v>206.5</v>
      </c>
      <c r="CQ11">
        <f t="shared" si="15"/>
        <v>209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  <c r="DE11" s="10">
        <v>12</v>
      </c>
    </row>
    <row r="12" spans="1:109" ht="20" customHeight="1" x14ac:dyDescent="0.2">
      <c r="A12" s="7" t="s">
        <v>7</v>
      </c>
      <c r="B12" s="14"/>
      <c r="C12" s="14">
        <v>129</v>
      </c>
      <c r="D12" s="14">
        <v>149</v>
      </c>
      <c r="E12" s="14">
        <v>388</v>
      </c>
      <c r="F12" s="14">
        <v>357</v>
      </c>
      <c r="G12" s="14">
        <v>415</v>
      </c>
      <c r="H12" s="14">
        <v>451</v>
      </c>
      <c r="I12" s="14">
        <v>575</v>
      </c>
      <c r="J12" s="14">
        <v>394</v>
      </c>
      <c r="K12" s="14">
        <v>166</v>
      </c>
      <c r="L12" s="14">
        <v>275</v>
      </c>
      <c r="M12" s="14">
        <v>237</v>
      </c>
      <c r="N12" s="14">
        <v>213</v>
      </c>
      <c r="O12" s="14">
        <v>122</v>
      </c>
      <c r="P12" s="14">
        <v>193</v>
      </c>
      <c r="Q12" s="14">
        <v>201</v>
      </c>
      <c r="R12" s="14">
        <v>180</v>
      </c>
      <c r="S12" s="14"/>
      <c r="T12" s="14"/>
      <c r="U12" s="15"/>
      <c r="V12" s="15"/>
      <c r="X12" s="15">
        <v>160</v>
      </c>
      <c r="Y12" s="15">
        <v>280</v>
      </c>
      <c r="Z12" s="15">
        <v>292</v>
      </c>
      <c r="AA12" s="15">
        <v>308</v>
      </c>
      <c r="AB12" s="15">
        <v>306</v>
      </c>
      <c r="AC12" s="15">
        <v>243</v>
      </c>
      <c r="AD12" s="111">
        <v>341</v>
      </c>
      <c r="AE12" s="124">
        <v>259</v>
      </c>
      <c r="AF12" s="124">
        <v>253</v>
      </c>
      <c r="AG12" s="124">
        <f>40+59+50+61+50</f>
        <v>260</v>
      </c>
      <c r="AH12" s="124">
        <f>27+42+54+47+24+20</f>
        <v>214</v>
      </c>
      <c r="AI12" s="124">
        <f>(2+1+2+4+3+4+2+3+1+2+4+2)+(2+5+3+2+4+1+3+3+2+2+2+1+5+4+2+1+3+3+2)+(1+4+1+1+4+3+4+1+2+1+4+4+1+1+3+4+2+8+4+2)+(2+2+3+2+6+2+5+3+1+5+3+1+5+2+2+2+2+2+3)+(2+2)</f>
        <v>192</v>
      </c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336</v>
      </c>
      <c r="BK12">
        <f t="shared" si="0"/>
        <v>329.9</v>
      </c>
      <c r="BL12">
        <f t="shared" si="2"/>
        <v>340.7</v>
      </c>
      <c r="BM12">
        <f t="shared" si="0"/>
        <v>347.1</v>
      </c>
      <c r="BN12">
        <f t="shared" si="0"/>
        <v>320.5</v>
      </c>
      <c r="BO12">
        <f t="shared" si="0"/>
        <v>304.10000000000002</v>
      </c>
      <c r="BP12">
        <f t="shared" si="0"/>
        <v>282.7</v>
      </c>
      <c r="BQ12">
        <f t="shared" si="0"/>
        <v>255.6</v>
      </c>
      <c r="BR12">
        <f t="shared" si="3"/>
        <v>220.11111111111111</v>
      </c>
      <c r="BS12">
        <f t="shared" si="3"/>
        <v>198.375</v>
      </c>
      <c r="BT12">
        <f t="shared" si="0"/>
        <v>203</v>
      </c>
      <c r="BU12">
        <f t="shared" si="0"/>
        <v>191</v>
      </c>
      <c r="BV12">
        <f t="shared" si="0"/>
        <v>181.8</v>
      </c>
      <c r="BW12">
        <f t="shared" si="0"/>
        <v>171.2</v>
      </c>
      <c r="BX12">
        <f t="shared" si="0"/>
        <v>202.8</v>
      </c>
      <c r="BY12">
        <f t="shared" si="0"/>
        <v>222.6</v>
      </c>
      <c r="BZ12">
        <f t="shared" si="0"/>
        <v>244</v>
      </c>
      <c r="CA12">
        <f t="shared" si="0"/>
        <v>269.2</v>
      </c>
      <c r="CB12">
        <f t="shared" si="0"/>
        <v>264.83333333333331</v>
      </c>
      <c r="CC12">
        <f t="shared" si="0"/>
        <v>275.71428571428572</v>
      </c>
      <c r="CD12">
        <f t="shared" si="0"/>
        <v>273.625</v>
      </c>
      <c r="CE12">
        <f t="shared" si="0"/>
        <v>271.33333333333331</v>
      </c>
      <c r="CF12">
        <f t="shared" si="4"/>
        <v>270.2</v>
      </c>
      <c r="CG12">
        <f t="shared" si="5"/>
        <v>275.60000000000002</v>
      </c>
      <c r="CH12">
        <f t="shared" si="6"/>
        <v>266.8</v>
      </c>
      <c r="CI12">
        <f t="shared" si="7"/>
        <v>264</v>
      </c>
      <c r="CJ12">
        <f t="shared" si="8"/>
        <v>258.5</v>
      </c>
      <c r="CK12">
        <f t="shared" si="9"/>
        <v>251.71428571428572</v>
      </c>
      <c r="CL12">
        <f t="shared" si="10"/>
        <v>253.16666666666666</v>
      </c>
      <c r="CM12">
        <f t="shared" si="11"/>
        <v>235.6</v>
      </c>
      <c r="CN12">
        <f t="shared" si="12"/>
        <v>229.75</v>
      </c>
      <c r="CO12">
        <f t="shared" si="13"/>
        <v>222</v>
      </c>
      <c r="CP12">
        <f t="shared" si="14"/>
        <v>203</v>
      </c>
      <c r="CQ12">
        <f t="shared" si="15"/>
        <v>192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  <c r="DE12" s="5">
        <v>13</v>
      </c>
    </row>
    <row r="13" spans="1:109" s="10" customFormat="1" ht="20" customHeight="1" x14ac:dyDescent="0.2">
      <c r="A13" s="9" t="s">
        <v>8</v>
      </c>
      <c r="B13" s="16"/>
      <c r="C13" s="16">
        <v>47</v>
      </c>
      <c r="D13" s="16">
        <v>73</v>
      </c>
      <c r="E13" s="16">
        <v>169</v>
      </c>
      <c r="F13" s="16">
        <v>174</v>
      </c>
      <c r="G13" s="16">
        <v>107</v>
      </c>
      <c r="H13" s="16">
        <v>83</v>
      </c>
      <c r="I13" s="16">
        <v>228</v>
      </c>
      <c r="J13" s="16">
        <v>148</v>
      </c>
      <c r="K13" s="16">
        <v>99</v>
      </c>
      <c r="L13" s="16">
        <v>122</v>
      </c>
      <c r="M13" s="16">
        <v>57</v>
      </c>
      <c r="N13" s="16">
        <v>71</v>
      </c>
      <c r="O13" s="16">
        <v>70</v>
      </c>
      <c r="P13" s="16">
        <v>99</v>
      </c>
      <c r="Q13" s="16">
        <v>27</v>
      </c>
      <c r="R13" s="16">
        <v>90</v>
      </c>
      <c r="S13" s="16"/>
      <c r="T13" s="16"/>
      <c r="U13" s="17"/>
      <c r="V13" s="17"/>
      <c r="X13" s="17">
        <v>117</v>
      </c>
      <c r="Y13" s="17">
        <v>150</v>
      </c>
      <c r="Z13" s="17">
        <v>122</v>
      </c>
      <c r="AA13" s="17">
        <v>138</v>
      </c>
      <c r="AB13" s="17">
        <v>152</v>
      </c>
      <c r="AC13" s="17">
        <v>93</v>
      </c>
      <c r="AD13" s="112">
        <v>192</v>
      </c>
      <c r="AE13" s="10">
        <v>304</v>
      </c>
      <c r="AF13" s="10">
        <v>131</v>
      </c>
      <c r="AG13" s="10">
        <f>9+56+35+17</f>
        <v>117</v>
      </c>
      <c r="AH13" s="10">
        <f>11+43+6+9+25+(2+1+2+2+2+4+2+2+4)</f>
        <v>115</v>
      </c>
      <c r="AI13" s="10">
        <f>(4+2+4+1+5+1+2+1+7+1+1+2+2+2+1+4+5)+(10+2+1+1+1+2+1+2+3+1+3+2+2+2+1+1+3+2+1)+(4+2+2+6+4+2+1+2+2+2+4+3+2+6+5+2+6+4+1)+(4+2+1+6+4+5+2+2+3+3+20+2)</f>
        <v>200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125.33333333333333</v>
      </c>
      <c r="BK13">
        <f t="shared" si="0"/>
        <v>125</v>
      </c>
      <c r="BL13">
        <f t="shared" si="2"/>
        <v>126</v>
      </c>
      <c r="BM13">
        <f t="shared" si="0"/>
        <v>125.8</v>
      </c>
      <c r="BN13">
        <f t="shared" si="0"/>
        <v>115.9</v>
      </c>
      <c r="BO13">
        <f t="shared" si="0"/>
        <v>108.4</v>
      </c>
      <c r="BP13">
        <f t="shared" si="0"/>
        <v>100.4</v>
      </c>
      <c r="BQ13">
        <f t="shared" si="0"/>
        <v>101.1</v>
      </c>
      <c r="BR13">
        <f t="shared" si="3"/>
        <v>87</v>
      </c>
      <c r="BS13">
        <f t="shared" si="3"/>
        <v>79.375</v>
      </c>
      <c r="BT13">
        <f t="shared" si="0"/>
        <v>76.571428571428569</v>
      </c>
      <c r="BU13">
        <f t="shared" si="0"/>
        <v>69</v>
      </c>
      <c r="BV13">
        <f t="shared" si="0"/>
        <v>71.400000000000006</v>
      </c>
      <c r="BW13">
        <f t="shared" si="0"/>
        <v>80.599999999999994</v>
      </c>
      <c r="BX13">
        <f t="shared" si="0"/>
        <v>96.6</v>
      </c>
      <c r="BY13">
        <f t="shared" si="0"/>
        <v>101.2</v>
      </c>
      <c r="BZ13">
        <f t="shared" si="0"/>
        <v>123.4</v>
      </c>
      <c r="CA13">
        <f t="shared" si="0"/>
        <v>135.80000000000001</v>
      </c>
      <c r="CB13">
        <f t="shared" si="0"/>
        <v>128.66666666666666</v>
      </c>
      <c r="CC13">
        <f t="shared" si="0"/>
        <v>137.71428571428572</v>
      </c>
      <c r="CD13">
        <f t="shared" si="0"/>
        <v>158.5</v>
      </c>
      <c r="CE13">
        <f t="shared" si="0"/>
        <v>155.44444444444446</v>
      </c>
      <c r="CF13">
        <f t="shared" si="4"/>
        <v>151.6</v>
      </c>
      <c r="CG13">
        <f t="shared" si="5"/>
        <v>151.4</v>
      </c>
      <c r="CH13">
        <f t="shared" si="6"/>
        <v>156.4</v>
      </c>
      <c r="CI13">
        <f t="shared" si="7"/>
        <v>160.22222222222223</v>
      </c>
      <c r="CJ13">
        <f t="shared" si="8"/>
        <v>163</v>
      </c>
      <c r="CK13">
        <f t="shared" si="9"/>
        <v>164.57142857142858</v>
      </c>
      <c r="CL13">
        <f t="shared" si="10"/>
        <v>176.5</v>
      </c>
      <c r="CM13">
        <f t="shared" si="11"/>
        <v>173.4</v>
      </c>
      <c r="CN13">
        <f t="shared" si="12"/>
        <v>140.75</v>
      </c>
      <c r="CO13">
        <f t="shared" si="13"/>
        <v>144</v>
      </c>
      <c r="CP13">
        <f t="shared" si="14"/>
        <v>157.5</v>
      </c>
      <c r="CQ13">
        <f t="shared" si="15"/>
        <v>200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  <c r="DE13" s="10">
        <v>8</v>
      </c>
    </row>
    <row r="14" spans="1:109" ht="20" customHeight="1" x14ac:dyDescent="0.2">
      <c r="A14" s="7" t="s">
        <v>9</v>
      </c>
      <c r="B14" s="14">
        <v>5</v>
      </c>
      <c r="C14" s="14">
        <v>16</v>
      </c>
      <c r="D14" s="14">
        <v>47</v>
      </c>
      <c r="E14" s="14">
        <v>85</v>
      </c>
      <c r="F14" s="14">
        <v>71</v>
      </c>
      <c r="G14" s="14">
        <v>130</v>
      </c>
      <c r="H14" s="14">
        <v>211</v>
      </c>
      <c r="I14" s="14">
        <v>164</v>
      </c>
      <c r="J14" s="14">
        <v>121</v>
      </c>
      <c r="K14" s="14">
        <v>110</v>
      </c>
      <c r="L14" s="14">
        <v>105</v>
      </c>
      <c r="M14" s="14">
        <v>78</v>
      </c>
      <c r="N14" s="14">
        <v>69</v>
      </c>
      <c r="O14" s="14">
        <v>66</v>
      </c>
      <c r="P14" s="14">
        <v>85</v>
      </c>
      <c r="Q14" s="14">
        <v>108</v>
      </c>
      <c r="R14" s="14">
        <v>40</v>
      </c>
      <c r="S14" s="14"/>
      <c r="T14" s="14"/>
      <c r="U14" s="15"/>
      <c r="V14" s="15"/>
      <c r="X14" s="15">
        <v>42</v>
      </c>
      <c r="Y14" s="15">
        <v>148</v>
      </c>
      <c r="Z14" s="15">
        <v>182</v>
      </c>
      <c r="AA14" s="15">
        <v>174</v>
      </c>
      <c r="AB14" s="15">
        <v>106</v>
      </c>
      <c r="AC14" s="15">
        <v>100</v>
      </c>
      <c r="AD14" s="111">
        <v>151</v>
      </c>
      <c r="AE14" s="124">
        <v>192</v>
      </c>
      <c r="AF14" s="124">
        <v>189</v>
      </c>
      <c r="AG14" s="124">
        <f>12+58+41+42+53</f>
        <v>206</v>
      </c>
      <c r="AH14" s="124">
        <f>38+47+30+(2+6+3+2+2+3+1+3+2+4+2+2+2)</f>
        <v>149</v>
      </c>
      <c r="AI14" s="124">
        <f>(2+2+2)</f>
        <v>6</v>
      </c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96</v>
      </c>
      <c r="BK14">
        <f t="shared" si="0"/>
        <v>106</v>
      </c>
      <c r="BL14">
        <f t="shared" si="2"/>
        <v>112.2</v>
      </c>
      <c r="BM14">
        <f t="shared" si="0"/>
        <v>114.4</v>
      </c>
      <c r="BN14">
        <f t="shared" si="0"/>
        <v>112.5</v>
      </c>
      <c r="BO14">
        <f t="shared" si="0"/>
        <v>113.9</v>
      </c>
      <c r="BP14">
        <f t="shared" si="0"/>
        <v>111.7</v>
      </c>
      <c r="BQ14">
        <f t="shared" si="0"/>
        <v>94.6</v>
      </c>
      <c r="BR14">
        <f t="shared" si="3"/>
        <v>86.888888888888886</v>
      </c>
      <c r="BS14">
        <f t="shared" si="3"/>
        <v>82.625</v>
      </c>
      <c r="BT14">
        <f t="shared" si="0"/>
        <v>78.714285714285708</v>
      </c>
      <c r="BU14">
        <f t="shared" si="0"/>
        <v>74.333333333333329</v>
      </c>
      <c r="BV14">
        <f t="shared" si="0"/>
        <v>73.599999999999994</v>
      </c>
      <c r="BW14">
        <f t="shared" si="0"/>
        <v>68.2</v>
      </c>
      <c r="BX14">
        <f t="shared" si="0"/>
        <v>84.6</v>
      </c>
      <c r="BY14">
        <f t="shared" si="0"/>
        <v>104</v>
      </c>
      <c r="BZ14">
        <f t="shared" si="0"/>
        <v>117.2</v>
      </c>
      <c r="CA14">
        <f t="shared" si="0"/>
        <v>130.4</v>
      </c>
      <c r="CB14">
        <f t="shared" si="0"/>
        <v>125.33333333333333</v>
      </c>
      <c r="CC14">
        <f t="shared" si="0"/>
        <v>129</v>
      </c>
      <c r="CD14">
        <f t="shared" si="0"/>
        <v>136.875</v>
      </c>
      <c r="CE14">
        <f t="shared" si="0"/>
        <v>142.66666666666666</v>
      </c>
      <c r="CF14">
        <f t="shared" si="4"/>
        <v>149</v>
      </c>
      <c r="CG14">
        <f t="shared" si="5"/>
        <v>159.69999999999999</v>
      </c>
      <c r="CH14">
        <f t="shared" si="6"/>
        <v>145.5</v>
      </c>
      <c r="CI14">
        <f t="shared" si="7"/>
        <v>141.44444444444446</v>
      </c>
      <c r="CJ14">
        <f t="shared" si="8"/>
        <v>137.375</v>
      </c>
      <c r="CK14">
        <f t="shared" si="9"/>
        <v>141.85714285714286</v>
      </c>
      <c r="CL14">
        <f t="shared" si="10"/>
        <v>148.83333333333334</v>
      </c>
      <c r="CM14">
        <f t="shared" si="11"/>
        <v>148.4</v>
      </c>
      <c r="CN14">
        <f t="shared" si="12"/>
        <v>137.5</v>
      </c>
      <c r="CO14">
        <f t="shared" si="13"/>
        <v>120.33333333333333</v>
      </c>
      <c r="CP14">
        <f t="shared" si="14"/>
        <v>77.5</v>
      </c>
      <c r="CQ14">
        <f t="shared" si="15"/>
        <v>6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  <c r="DE14" s="5">
        <v>0</v>
      </c>
    </row>
    <row r="15" spans="1:109" s="10" customFormat="1" ht="20" customHeight="1" x14ac:dyDescent="0.2">
      <c r="A15" s="9" t="s">
        <v>10</v>
      </c>
      <c r="B15" s="16">
        <v>20</v>
      </c>
      <c r="C15" s="16">
        <v>13</v>
      </c>
      <c r="D15" s="16">
        <v>5</v>
      </c>
      <c r="E15" s="16">
        <v>31</v>
      </c>
      <c r="F15" s="16">
        <v>27</v>
      </c>
      <c r="G15" s="16">
        <v>64</v>
      </c>
      <c r="H15" s="16">
        <v>36</v>
      </c>
      <c r="I15" s="16">
        <v>67</v>
      </c>
      <c r="J15" s="16">
        <v>34</v>
      </c>
      <c r="K15" s="16">
        <v>129</v>
      </c>
      <c r="L15" s="16">
        <v>65</v>
      </c>
      <c r="M15" s="16">
        <v>74</v>
      </c>
      <c r="N15" s="16">
        <v>5</v>
      </c>
      <c r="O15" s="16">
        <v>19</v>
      </c>
      <c r="P15" s="16">
        <v>39</v>
      </c>
      <c r="Q15" s="16">
        <v>9</v>
      </c>
      <c r="R15" s="16">
        <v>23</v>
      </c>
      <c r="S15" s="16"/>
      <c r="T15" s="16"/>
      <c r="U15" s="17"/>
      <c r="V15" s="17"/>
      <c r="W15" s="17"/>
      <c r="X15" s="17"/>
      <c r="Y15" s="17">
        <v>18</v>
      </c>
      <c r="Z15" s="17">
        <v>89</v>
      </c>
      <c r="AA15" s="17">
        <v>76</v>
      </c>
      <c r="AB15" s="17">
        <v>110</v>
      </c>
      <c r="AC15" s="17">
        <v>58</v>
      </c>
      <c r="AD15" s="112">
        <v>66</v>
      </c>
      <c r="AE15" s="10">
        <v>132</v>
      </c>
      <c r="AF15" s="10">
        <v>26</v>
      </c>
      <c r="AG15" s="10">
        <f>12+8+33</f>
        <v>53</v>
      </c>
      <c r="AH15" s="10">
        <f>33+3+25+(7+2+2+1+1+2+2+2+3+4+2+4+2+3)</f>
        <v>98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42.6</v>
      </c>
      <c r="BK15">
        <f t="shared" si="0"/>
        <v>47.1</v>
      </c>
      <c r="BL15">
        <f t="shared" si="2"/>
        <v>53.2</v>
      </c>
      <c r="BM15">
        <f t="shared" si="0"/>
        <v>53.2</v>
      </c>
      <c r="BN15">
        <f t="shared" si="0"/>
        <v>52</v>
      </c>
      <c r="BO15">
        <f t="shared" si="0"/>
        <v>53.2</v>
      </c>
      <c r="BP15">
        <f t="shared" si="0"/>
        <v>47.7</v>
      </c>
      <c r="BQ15">
        <f t="shared" si="0"/>
        <v>46.4</v>
      </c>
      <c r="BR15">
        <f t="shared" si="3"/>
        <v>44.111111111111114</v>
      </c>
      <c r="BS15">
        <f t="shared" si="3"/>
        <v>45.375</v>
      </c>
      <c r="BT15">
        <f t="shared" si="0"/>
        <v>33.428571428571431</v>
      </c>
      <c r="BU15">
        <f t="shared" si="0"/>
        <v>28.166666666666668</v>
      </c>
      <c r="BV15">
        <f t="shared" si="0"/>
        <v>19</v>
      </c>
      <c r="BW15">
        <f t="shared" si="0"/>
        <v>22.5</v>
      </c>
      <c r="BX15">
        <f t="shared" si="0"/>
        <v>22.25</v>
      </c>
      <c r="BY15">
        <f t="shared" si="0"/>
        <v>34.75</v>
      </c>
      <c r="BZ15">
        <f t="shared" si="0"/>
        <v>51.5</v>
      </c>
      <c r="CA15">
        <f t="shared" si="0"/>
        <v>73.25</v>
      </c>
      <c r="CB15">
        <f t="shared" si="0"/>
        <v>70.2</v>
      </c>
      <c r="CC15">
        <f t="shared" si="0"/>
        <v>69.5</v>
      </c>
      <c r="CD15">
        <f t="shared" si="0"/>
        <v>78.428571428571431</v>
      </c>
      <c r="CE15">
        <f t="shared" si="0"/>
        <v>71.875</v>
      </c>
      <c r="CF15">
        <f t="shared" si="4"/>
        <v>69.777777777777771</v>
      </c>
      <c r="CG15">
        <f t="shared" si="5"/>
        <v>72.599999999999994</v>
      </c>
      <c r="CH15">
        <f t="shared" si="6"/>
        <v>78.666666666666671</v>
      </c>
      <c r="CI15">
        <f t="shared" si="7"/>
        <v>77.375</v>
      </c>
      <c r="CJ15">
        <f t="shared" si="8"/>
        <v>77.571428571428569</v>
      </c>
      <c r="CK15">
        <f t="shared" si="9"/>
        <v>72.166666666666671</v>
      </c>
      <c r="CL15">
        <f t="shared" si="10"/>
        <v>75</v>
      </c>
      <c r="CM15">
        <f t="shared" si="11"/>
        <v>77.25</v>
      </c>
      <c r="CN15">
        <f t="shared" si="12"/>
        <v>59</v>
      </c>
      <c r="CO15">
        <f t="shared" si="13"/>
        <v>75.5</v>
      </c>
      <c r="CP15">
        <f t="shared" si="14"/>
        <v>98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  <c r="DE15" s="10">
        <v>7</v>
      </c>
    </row>
    <row r="16" spans="1:109" ht="20" customHeight="1" x14ac:dyDescent="0.2">
      <c r="A16" s="7" t="s">
        <v>11</v>
      </c>
      <c r="B16" s="14">
        <v>18</v>
      </c>
      <c r="C16" s="14">
        <v>10</v>
      </c>
      <c r="D16" s="14">
        <v>18</v>
      </c>
      <c r="E16" s="14">
        <v>29</v>
      </c>
      <c r="F16" s="14">
        <v>10</v>
      </c>
      <c r="G16" s="14">
        <v>16</v>
      </c>
      <c r="H16" s="14">
        <v>18</v>
      </c>
      <c r="I16" s="14">
        <v>23</v>
      </c>
      <c r="J16" s="14">
        <v>17</v>
      </c>
      <c r="K16" s="14">
        <v>22</v>
      </c>
      <c r="L16" s="14">
        <v>24</v>
      </c>
      <c r="M16" s="14">
        <v>20</v>
      </c>
      <c r="N16" s="14">
        <v>0</v>
      </c>
      <c r="O16" s="14">
        <v>11</v>
      </c>
      <c r="P16" s="14">
        <v>15</v>
      </c>
      <c r="Q16" s="14">
        <v>26</v>
      </c>
      <c r="R16" s="14">
        <v>17</v>
      </c>
      <c r="S16" s="14"/>
      <c r="T16" s="14"/>
      <c r="U16" s="15"/>
      <c r="V16" s="15"/>
      <c r="W16" s="15"/>
      <c r="X16" s="15">
        <v>4</v>
      </c>
      <c r="Y16" s="15">
        <v>16</v>
      </c>
      <c r="Z16" s="15">
        <v>33</v>
      </c>
      <c r="AA16" s="15">
        <v>36</v>
      </c>
      <c r="AB16" s="15">
        <v>24</v>
      </c>
      <c r="AC16" s="15">
        <v>52</v>
      </c>
      <c r="AD16" s="111">
        <v>59</v>
      </c>
      <c r="AE16" s="124">
        <v>32</v>
      </c>
      <c r="AF16" s="124">
        <v>79</v>
      </c>
      <c r="AG16" s="124">
        <f>3+60-24</f>
        <v>39</v>
      </c>
      <c r="AH16" s="124">
        <f>46+12+(1)</f>
        <v>59</v>
      </c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18.100000000000001</v>
      </c>
      <c r="BK16">
        <f t="shared" si="0"/>
        <v>18.7</v>
      </c>
      <c r="BL16">
        <f t="shared" si="2"/>
        <v>19.7</v>
      </c>
      <c r="BM16">
        <f t="shared" si="0"/>
        <v>17.899999999999999</v>
      </c>
      <c r="BN16">
        <f t="shared" si="0"/>
        <v>16.100000000000001</v>
      </c>
      <c r="BO16">
        <f t="shared" si="0"/>
        <v>16.600000000000001</v>
      </c>
      <c r="BP16">
        <f t="shared" si="0"/>
        <v>17.600000000000001</v>
      </c>
      <c r="BQ16">
        <f t="shared" si="0"/>
        <v>17.5</v>
      </c>
      <c r="BR16">
        <f t="shared" si="3"/>
        <v>16.888888888888889</v>
      </c>
      <c r="BS16">
        <f t="shared" si="3"/>
        <v>16.875</v>
      </c>
      <c r="BT16">
        <f t="shared" si="0"/>
        <v>16.142857142857142</v>
      </c>
      <c r="BU16">
        <f t="shared" si="0"/>
        <v>14.833333333333334</v>
      </c>
      <c r="BV16">
        <f t="shared" si="0"/>
        <v>13.8</v>
      </c>
      <c r="BW16">
        <f t="shared" si="0"/>
        <v>14.6</v>
      </c>
      <c r="BX16">
        <f t="shared" si="0"/>
        <v>15.6</v>
      </c>
      <c r="BY16">
        <f t="shared" si="0"/>
        <v>19.2</v>
      </c>
      <c r="BZ16">
        <f t="shared" si="0"/>
        <v>21.2</v>
      </c>
      <c r="CA16">
        <f t="shared" si="0"/>
        <v>22.6</v>
      </c>
      <c r="CB16">
        <f t="shared" si="0"/>
        <v>27.5</v>
      </c>
      <c r="CC16">
        <f t="shared" si="0"/>
        <v>32</v>
      </c>
      <c r="CD16">
        <f t="shared" si="0"/>
        <v>32</v>
      </c>
      <c r="CE16">
        <f t="shared" si="0"/>
        <v>37.222222222222221</v>
      </c>
      <c r="CF16">
        <f t="shared" si="4"/>
        <v>37.4</v>
      </c>
      <c r="CG16">
        <f t="shared" si="5"/>
        <v>42.9</v>
      </c>
      <c r="CH16">
        <f t="shared" si="6"/>
        <v>45.888888888888886</v>
      </c>
      <c r="CI16">
        <f t="shared" si="7"/>
        <v>47.5</v>
      </c>
      <c r="CJ16">
        <f t="shared" si="8"/>
        <v>49.142857142857146</v>
      </c>
      <c r="CK16">
        <f t="shared" si="9"/>
        <v>53.333333333333336</v>
      </c>
      <c r="CL16">
        <f t="shared" si="10"/>
        <v>53.6</v>
      </c>
      <c r="CM16">
        <f t="shared" si="11"/>
        <v>52.25</v>
      </c>
      <c r="CN16">
        <f t="shared" si="12"/>
        <v>59</v>
      </c>
      <c r="CO16">
        <f t="shared" si="13"/>
        <v>49</v>
      </c>
      <c r="CP16">
        <f t="shared" si="14"/>
        <v>59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  <c r="DE16" s="5">
        <v>0</v>
      </c>
    </row>
    <row r="17" spans="1:109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109" s="25" customFormat="1" ht="20" customHeight="1" x14ac:dyDescent="0.2">
      <c r="A18" s="21" t="s">
        <v>32</v>
      </c>
      <c r="B18" s="22">
        <f>SUM(B5:B16)</f>
        <v>43</v>
      </c>
      <c r="C18" s="22">
        <f t="shared" ref="C18:AZ18" si="29">SUM(C5:C16)</f>
        <v>398</v>
      </c>
      <c r="D18" s="22">
        <f t="shared" si="29"/>
        <v>556</v>
      </c>
      <c r="E18" s="22">
        <f t="shared" si="29"/>
        <v>934</v>
      </c>
      <c r="F18" s="22">
        <f t="shared" si="29"/>
        <v>1418</v>
      </c>
      <c r="G18" s="22">
        <f t="shared" si="29"/>
        <v>1279</v>
      </c>
      <c r="H18" s="22">
        <f t="shared" si="29"/>
        <v>1526</v>
      </c>
      <c r="I18" s="22">
        <f t="shared" si="29"/>
        <v>1809</v>
      </c>
      <c r="J18" s="22">
        <f t="shared" si="29"/>
        <v>1517</v>
      </c>
      <c r="K18" s="22">
        <f t="shared" si="29"/>
        <v>1132</v>
      </c>
      <c r="L18" s="22">
        <f t="shared" si="29"/>
        <v>1153</v>
      </c>
      <c r="M18" s="22">
        <f t="shared" si="29"/>
        <v>980</v>
      </c>
      <c r="N18" s="22">
        <f t="shared" si="29"/>
        <v>773</v>
      </c>
      <c r="O18" s="22">
        <f t="shared" si="29"/>
        <v>720</v>
      </c>
      <c r="P18" s="22">
        <f t="shared" si="29"/>
        <v>879</v>
      </c>
      <c r="Q18" s="22">
        <f t="shared" si="29"/>
        <v>692</v>
      </c>
      <c r="R18" s="22">
        <f t="shared" si="29"/>
        <v>763</v>
      </c>
      <c r="S18" s="22">
        <f t="shared" si="29"/>
        <v>0</v>
      </c>
      <c r="T18" s="22">
        <f t="shared" si="29"/>
        <v>0</v>
      </c>
      <c r="U18" s="22">
        <f t="shared" si="29"/>
        <v>0</v>
      </c>
      <c r="V18" s="22">
        <f t="shared" si="29"/>
        <v>0</v>
      </c>
      <c r="W18" s="22">
        <f t="shared" si="29"/>
        <v>0</v>
      </c>
      <c r="X18" s="22">
        <f t="shared" si="29"/>
        <v>692</v>
      </c>
      <c r="Y18" s="22">
        <f t="shared" si="29"/>
        <v>1095</v>
      </c>
      <c r="Z18" s="22">
        <f t="shared" si="29"/>
        <v>1231</v>
      </c>
      <c r="AA18" s="22">
        <f t="shared" si="29"/>
        <v>1575</v>
      </c>
      <c r="AB18" s="22">
        <f t="shared" si="29"/>
        <v>1642</v>
      </c>
      <c r="AC18" s="22">
        <f t="shared" si="29"/>
        <v>1391</v>
      </c>
      <c r="AD18" s="22">
        <f t="shared" si="29"/>
        <v>1650</v>
      </c>
      <c r="AE18" s="22">
        <f t="shared" si="29"/>
        <v>1909</v>
      </c>
      <c r="AF18" s="22">
        <f t="shared" si="29"/>
        <v>1727</v>
      </c>
      <c r="AG18" s="22">
        <f t="shared" si="29"/>
        <v>1432</v>
      </c>
      <c r="AH18" s="22">
        <f t="shared" si="29"/>
        <v>1342</v>
      </c>
      <c r="AI18" s="22">
        <f t="shared" si="29"/>
        <v>1066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447.3</v>
      </c>
      <c r="BZ18" s="25">
        <f>AVERAGE(R18:AA18)</f>
        <v>535.6</v>
      </c>
      <c r="CA18" s="25">
        <f>AVERAGE(S18:AB18)</f>
        <v>623.5</v>
      </c>
      <c r="CB18" s="25">
        <f>AVERAGE(T18:AC18)</f>
        <v>762.6</v>
      </c>
      <c r="DE18" s="25">
        <f>SUM(DE5:DE16)</f>
        <v>76</v>
      </c>
    </row>
    <row r="19" spans="1:109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109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109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109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109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109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109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109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109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109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109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109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109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109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transitionEvaluation="1" codeName="Sheet35">
    <tabColor theme="0"/>
  </sheetPr>
  <dimension ref="A1:DG192"/>
  <sheetViews>
    <sheetView defaultGridColor="0" colorId="22" zoomScale="70" zoomScaleNormal="70" workbookViewId="0">
      <pane xSplit="1" topLeftCell="U1" activePane="topRight" state="frozen"/>
      <selection activeCell="AT39" sqref="AT39"/>
      <selection pane="topRight" activeCell="AW32" sqref="AW32"/>
    </sheetView>
  </sheetViews>
  <sheetFormatPr baseColWidth="10" defaultColWidth="9.42578125" defaultRowHeight="20" customHeight="1" x14ac:dyDescent="0.2"/>
  <cols>
    <col min="1" max="1" width="22.28515625" style="5" customWidth="1"/>
    <col min="2" max="19" width="5.7109375" style="5" hidden="1" customWidth="1"/>
    <col min="20" max="20" width="2.28515625" style="5" hidden="1" customWidth="1"/>
    <col min="21" max="22" width="0.140625" style="5" customWidth="1"/>
    <col min="23" max="28" width="5.7109375" style="5" customWidth="1"/>
    <col min="29" max="29" width="9.42578125" style="5" customWidth="1"/>
    <col min="30" max="30" width="6.42578125" style="5" customWidth="1"/>
    <col min="31" max="31" width="6.42578125" customWidth="1"/>
    <col min="32" max="52" width="9.42578125" customWidth="1"/>
    <col min="53" max="74" width="9.42578125" style="5" customWidth="1"/>
    <col min="75" max="75" width="6.7109375" style="5" customWidth="1"/>
    <col min="76" max="76" width="8.28515625" style="5" customWidth="1"/>
    <col min="77" max="77" width="11.7109375" style="5" customWidth="1"/>
    <col min="78" max="79" width="16.5703125" style="5" customWidth="1"/>
    <col min="80" max="80" width="16.7109375" style="5" customWidth="1"/>
    <col min="81" max="81" width="9.42578125" style="5" customWidth="1"/>
    <col min="82" max="82" width="16.85546875" style="5" customWidth="1"/>
    <col min="83" max="111" width="9.42578125" style="5" hidden="1" customWidth="1"/>
    <col min="112" max="114" width="9.42578125" style="5" customWidth="1"/>
    <col min="115" max="16384" width="9.42578125" style="5"/>
  </cols>
  <sheetData>
    <row r="1" spans="1:108" s="34" customFormat="1" ht="25" customHeight="1" x14ac:dyDescent="0.2">
      <c r="A1" s="31" t="s">
        <v>14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</row>
    <row r="2" spans="1:108" s="34" customFormat="1" ht="25" customHeight="1" x14ac:dyDescent="0.25">
      <c r="A2" s="36" t="s">
        <v>52</v>
      </c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A2" s="35"/>
      <c r="BB2" s="35"/>
      <c r="BE2" s="35"/>
    </row>
    <row r="3" spans="1:108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27">
        <v>1997</v>
      </c>
      <c r="I3" s="27">
        <v>1998</v>
      </c>
      <c r="J3" s="27">
        <v>1999</v>
      </c>
      <c r="K3" s="27">
        <v>2000</v>
      </c>
      <c r="L3" s="27">
        <v>2001</v>
      </c>
      <c r="M3" s="27">
        <v>2002</v>
      </c>
      <c r="N3" s="27">
        <v>2003</v>
      </c>
      <c r="O3" s="27">
        <v>2004</v>
      </c>
      <c r="P3" s="27">
        <v>2005</v>
      </c>
      <c r="Q3" s="27">
        <v>2006</v>
      </c>
      <c r="R3" s="27">
        <v>2007</v>
      </c>
      <c r="S3" s="27">
        <v>2008</v>
      </c>
      <c r="T3" s="27">
        <v>2009</v>
      </c>
      <c r="U3" s="28">
        <v>2010</v>
      </c>
      <c r="V3" s="28">
        <v>2011</v>
      </c>
      <c r="W3" s="28">
        <v>2012</v>
      </c>
      <c r="X3" s="28">
        <v>2013</v>
      </c>
      <c r="Y3" s="28">
        <v>2014</v>
      </c>
      <c r="Z3" s="28">
        <v>2015</v>
      </c>
      <c r="AA3" s="28">
        <v>2016</v>
      </c>
      <c r="AB3" s="28">
        <v>2017</v>
      </c>
      <c r="AC3" s="28">
        <v>2018</v>
      </c>
      <c r="AD3" s="114">
        <v>2019</v>
      </c>
      <c r="AE3" s="114">
        <v>2020</v>
      </c>
      <c r="AF3" s="114">
        <v>2021</v>
      </c>
      <c r="AG3" s="114">
        <v>2022</v>
      </c>
      <c r="AH3" s="114">
        <v>2023</v>
      </c>
      <c r="AI3" s="114">
        <v>2024</v>
      </c>
      <c r="AJ3" s="114">
        <v>2025</v>
      </c>
      <c r="AK3" s="114">
        <v>2026</v>
      </c>
      <c r="AL3" s="114">
        <v>2027</v>
      </c>
      <c r="AM3" s="114">
        <v>2028</v>
      </c>
      <c r="AN3" s="114">
        <v>2029</v>
      </c>
      <c r="AO3" s="114">
        <v>2030</v>
      </c>
      <c r="AP3" s="114">
        <v>2031</v>
      </c>
      <c r="AQ3" s="114">
        <v>2032</v>
      </c>
      <c r="AR3" s="114">
        <v>2033</v>
      </c>
      <c r="AS3" s="114">
        <v>2034</v>
      </c>
      <c r="AT3" s="114">
        <v>2035</v>
      </c>
      <c r="AU3" s="114">
        <v>2036</v>
      </c>
      <c r="AV3" s="114">
        <v>2037</v>
      </c>
      <c r="AW3" s="114">
        <v>2038</v>
      </c>
      <c r="AX3" s="114">
        <v>2039</v>
      </c>
      <c r="AY3" s="114">
        <v>2040</v>
      </c>
      <c r="AZ3" s="114">
        <v>2041</v>
      </c>
      <c r="BA3" s="38" t="s">
        <v>97</v>
      </c>
      <c r="BB3" s="30"/>
      <c r="BC3" s="30"/>
      <c r="BE3" s="30"/>
      <c r="BF3" s="30"/>
      <c r="BG3" s="30"/>
      <c r="BK3" s="77">
        <v>2001</v>
      </c>
      <c r="BL3" s="77">
        <v>2002</v>
      </c>
      <c r="BM3" s="77">
        <v>2003</v>
      </c>
      <c r="BN3" s="77">
        <v>2004</v>
      </c>
      <c r="BO3" s="77">
        <v>2005</v>
      </c>
      <c r="BP3" s="77">
        <v>2006</v>
      </c>
      <c r="BQ3" s="77">
        <v>2007</v>
      </c>
      <c r="BR3" s="77">
        <v>2008</v>
      </c>
      <c r="BS3" s="77">
        <v>2009</v>
      </c>
      <c r="BT3" s="77">
        <v>2010</v>
      </c>
      <c r="BU3" s="77">
        <v>2011</v>
      </c>
      <c r="BV3" s="77">
        <v>2012</v>
      </c>
      <c r="BW3" s="77">
        <v>2013</v>
      </c>
      <c r="BX3" s="77">
        <v>2014</v>
      </c>
      <c r="BY3" s="77" t="s">
        <v>81</v>
      </c>
      <c r="BZ3" s="77" t="s">
        <v>83</v>
      </c>
      <c r="CA3" s="77" t="s">
        <v>92</v>
      </c>
      <c r="CB3" s="77" t="s">
        <v>96</v>
      </c>
      <c r="CC3" s="38" t="s">
        <v>102</v>
      </c>
      <c r="CD3" s="38" t="s">
        <v>101</v>
      </c>
      <c r="CE3" s="114">
        <v>2021</v>
      </c>
      <c r="CF3" s="114">
        <v>2022</v>
      </c>
      <c r="CG3" s="114">
        <v>2023</v>
      </c>
      <c r="CH3" s="114">
        <v>2024</v>
      </c>
      <c r="CI3" s="114">
        <v>2025</v>
      </c>
      <c r="CJ3" s="114">
        <v>2026</v>
      </c>
      <c r="CK3" s="114">
        <v>2027</v>
      </c>
      <c r="CL3" s="114">
        <v>2028</v>
      </c>
      <c r="CM3" s="114">
        <v>2029</v>
      </c>
      <c r="CN3" s="114">
        <v>2030</v>
      </c>
      <c r="CO3" s="114">
        <v>2031</v>
      </c>
      <c r="CP3" s="114">
        <v>2032</v>
      </c>
      <c r="CQ3" s="114">
        <v>2033</v>
      </c>
      <c r="CR3" s="114">
        <v>2034</v>
      </c>
      <c r="CS3" s="114">
        <v>2035</v>
      </c>
      <c r="CT3" s="114">
        <v>2036</v>
      </c>
      <c r="CU3" s="114">
        <v>2037</v>
      </c>
      <c r="CV3" s="114">
        <v>2038</v>
      </c>
      <c r="CW3" s="114">
        <v>2039</v>
      </c>
      <c r="CX3" s="114">
        <v>2040</v>
      </c>
      <c r="CY3" s="114">
        <v>2041</v>
      </c>
      <c r="CZ3" s="114">
        <v>2042</v>
      </c>
      <c r="DA3" s="114">
        <v>2043</v>
      </c>
      <c r="DB3" s="114">
        <v>2044</v>
      </c>
      <c r="DC3" s="114">
        <v>2045</v>
      </c>
      <c r="DD3" s="114">
        <v>2046</v>
      </c>
    </row>
    <row r="4" spans="1:108" ht="20" customHeight="1" x14ac:dyDescent="0.2">
      <c r="A4" s="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11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2"/>
      <c r="CB4" s="1"/>
    </row>
    <row r="5" spans="1:108" s="10" customFormat="1" ht="20" customHeight="1" x14ac:dyDescent="0.2">
      <c r="A5" s="9" t="s">
        <v>0</v>
      </c>
      <c r="B5" s="16">
        <v>5</v>
      </c>
      <c r="C5" s="16">
        <v>19</v>
      </c>
      <c r="D5" s="16">
        <v>7</v>
      </c>
      <c r="E5" s="16">
        <v>48</v>
      </c>
      <c r="F5" s="16">
        <v>3</v>
      </c>
      <c r="G5" s="16">
        <v>36</v>
      </c>
      <c r="H5" s="16">
        <v>36</v>
      </c>
      <c r="I5" s="16">
        <v>41</v>
      </c>
      <c r="J5" s="16">
        <v>30</v>
      </c>
      <c r="K5" s="16">
        <v>13</v>
      </c>
      <c r="L5" s="16">
        <v>41</v>
      </c>
      <c r="M5" s="16">
        <v>26</v>
      </c>
      <c r="N5" s="16">
        <v>31</v>
      </c>
      <c r="O5" s="16">
        <v>6</v>
      </c>
      <c r="P5" s="16">
        <v>1</v>
      </c>
      <c r="Q5" s="16">
        <v>5</v>
      </c>
      <c r="R5" s="16">
        <v>22</v>
      </c>
      <c r="S5" s="16"/>
      <c r="T5" s="16"/>
      <c r="U5" s="17">
        <v>12</v>
      </c>
      <c r="V5" s="17"/>
      <c r="W5" s="17">
        <v>5</v>
      </c>
      <c r="X5" s="17">
        <v>6</v>
      </c>
      <c r="Y5" s="17">
        <v>7</v>
      </c>
      <c r="Z5" s="17">
        <v>9</v>
      </c>
      <c r="AA5" s="17">
        <v>15</v>
      </c>
      <c r="AB5" s="17">
        <v>7</v>
      </c>
      <c r="AC5" s="17">
        <v>9</v>
      </c>
      <c r="AD5" s="112">
        <v>20</v>
      </c>
      <c r="AE5" s="10">
        <v>4</v>
      </c>
      <c r="AF5" s="10">
        <v>24</v>
      </c>
      <c r="BA5"/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AVERAGE(B5:K5)</f>
        <v>23.8</v>
      </c>
      <c r="BK5">
        <f t="shared" ref="BK5:DD16" si="0">AVERAGE(C5:L5)</f>
        <v>27.4</v>
      </c>
      <c r="BL5">
        <f>AVERAGE(D5:M5)</f>
        <v>28.1</v>
      </c>
      <c r="BM5">
        <f t="shared" si="0"/>
        <v>30.5</v>
      </c>
      <c r="BN5">
        <f t="shared" si="0"/>
        <v>26.3</v>
      </c>
      <c r="BO5">
        <f t="shared" si="0"/>
        <v>26.1</v>
      </c>
      <c r="BP5">
        <f t="shared" si="0"/>
        <v>23</v>
      </c>
      <c r="BQ5">
        <f t="shared" si="0"/>
        <v>21.6</v>
      </c>
      <c r="BR5">
        <f t="shared" si="0"/>
        <v>19.444444444444443</v>
      </c>
      <c r="BS5">
        <f t="shared" si="0"/>
        <v>18.125</v>
      </c>
      <c r="BT5">
        <f t="shared" si="0"/>
        <v>18</v>
      </c>
      <c r="BU5">
        <f t="shared" si="0"/>
        <v>14.714285714285714</v>
      </c>
      <c r="BV5">
        <f t="shared" si="0"/>
        <v>11.714285714285714</v>
      </c>
      <c r="BW5">
        <f t="shared" si="0"/>
        <v>8.1428571428571423</v>
      </c>
      <c r="BX5">
        <f t="shared" si="0"/>
        <v>8.2857142857142865</v>
      </c>
      <c r="BY5">
        <f t="shared" si="0"/>
        <v>9.4285714285714288</v>
      </c>
      <c r="BZ5">
        <f t="shared" si="0"/>
        <v>10.857142857142858</v>
      </c>
      <c r="CA5">
        <f t="shared" si="0"/>
        <v>8.7142857142857135</v>
      </c>
      <c r="CB5">
        <f t="shared" si="0"/>
        <v>8.75</v>
      </c>
      <c r="CC5">
        <f t="shared" si="0"/>
        <v>10</v>
      </c>
      <c r="CD5">
        <f t="shared" si="0"/>
        <v>9.1111111111111107</v>
      </c>
      <c r="CE5">
        <f t="shared" si="0"/>
        <v>10.6</v>
      </c>
      <c r="CF5">
        <f t="shared" si="0"/>
        <v>11.222222222222221</v>
      </c>
      <c r="CG5">
        <f t="shared" si="0"/>
        <v>11.875</v>
      </c>
      <c r="CH5">
        <f t="shared" si="0"/>
        <v>12.571428571428571</v>
      </c>
      <c r="CI5">
        <f t="shared" si="0"/>
        <v>13.166666666666666</v>
      </c>
      <c r="CJ5">
        <f t="shared" si="0"/>
        <v>12.8</v>
      </c>
      <c r="CK5">
        <f t="shared" si="0"/>
        <v>14.25</v>
      </c>
      <c r="CL5">
        <f t="shared" si="0"/>
        <v>16</v>
      </c>
      <c r="CM5">
        <f t="shared" si="0"/>
        <v>14</v>
      </c>
      <c r="CN5">
        <f t="shared" si="0"/>
        <v>24</v>
      </c>
      <c r="CO5" t="e">
        <f t="shared" si="0"/>
        <v>#DIV/0!</v>
      </c>
      <c r="CP5" t="e">
        <f t="shared" si="0"/>
        <v>#DIV/0!</v>
      </c>
      <c r="CQ5" t="e">
        <f t="shared" si="0"/>
        <v>#DIV/0!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  <c r="CZ5" t="e">
        <f t="shared" si="0"/>
        <v>#DIV/0!</v>
      </c>
      <c r="DA5" t="e">
        <f t="shared" si="0"/>
        <v>#N/A</v>
      </c>
      <c r="DB5" t="e">
        <f t="shared" si="0"/>
        <v>#N/A</v>
      </c>
      <c r="DC5" t="e">
        <f t="shared" si="0"/>
        <v>#N/A</v>
      </c>
      <c r="DD5" t="e">
        <f t="shared" si="0"/>
        <v>#N/A</v>
      </c>
    </row>
    <row r="6" spans="1:108" ht="20" customHeight="1" x14ac:dyDescent="0.2">
      <c r="A6" s="7" t="s">
        <v>1</v>
      </c>
      <c r="B6" s="14">
        <v>37</v>
      </c>
      <c r="C6" s="14">
        <v>13</v>
      </c>
      <c r="D6" s="14">
        <v>64</v>
      </c>
      <c r="E6" s="14">
        <v>123</v>
      </c>
      <c r="F6" s="14">
        <v>103</v>
      </c>
      <c r="G6" s="14">
        <v>65</v>
      </c>
      <c r="H6" s="14">
        <v>73</v>
      </c>
      <c r="I6" s="14">
        <v>19</v>
      </c>
      <c r="J6" s="14">
        <v>63</v>
      </c>
      <c r="K6" s="14">
        <v>64</v>
      </c>
      <c r="L6" s="14">
        <v>56</v>
      </c>
      <c r="M6" s="14">
        <v>20</v>
      </c>
      <c r="N6" s="14">
        <v>11</v>
      </c>
      <c r="O6" s="14">
        <v>41</v>
      </c>
      <c r="P6" s="14">
        <v>19</v>
      </c>
      <c r="Q6" s="14">
        <v>12</v>
      </c>
      <c r="R6" s="14">
        <v>9</v>
      </c>
      <c r="S6" s="14"/>
      <c r="T6" s="14"/>
      <c r="U6" s="15">
        <v>6</v>
      </c>
      <c r="V6" s="15"/>
      <c r="W6" s="15">
        <v>18</v>
      </c>
      <c r="X6" s="15">
        <v>10</v>
      </c>
      <c r="Y6" s="15">
        <v>8</v>
      </c>
      <c r="Z6" s="15">
        <v>9</v>
      </c>
      <c r="AA6" s="15">
        <v>4</v>
      </c>
      <c r="AB6" s="15">
        <v>13</v>
      </c>
      <c r="AC6" s="15">
        <v>11</v>
      </c>
      <c r="AD6" s="111">
        <v>34</v>
      </c>
      <c r="AE6" s="124">
        <v>27</v>
      </c>
      <c r="AF6" s="124">
        <v>30</v>
      </c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6" si="1">AVERAGE(B6:K6)</f>
        <v>62.4</v>
      </c>
      <c r="BK6">
        <f t="shared" si="0"/>
        <v>64.3</v>
      </c>
      <c r="BL6">
        <f t="shared" ref="BL6:BL16" si="2">AVERAGE(D6:M6)</f>
        <v>65</v>
      </c>
      <c r="BM6">
        <f t="shared" si="0"/>
        <v>59.7</v>
      </c>
      <c r="BN6">
        <f t="shared" si="0"/>
        <v>51.5</v>
      </c>
      <c r="BO6">
        <f t="shared" si="0"/>
        <v>43.1</v>
      </c>
      <c r="BP6">
        <f t="shared" si="0"/>
        <v>37.799999999999997</v>
      </c>
      <c r="BQ6">
        <f t="shared" si="0"/>
        <v>31.4</v>
      </c>
      <c r="BR6">
        <f t="shared" ref="BR6:BS16" si="3">AVERAGE(J6:S6)</f>
        <v>32.777777777777779</v>
      </c>
      <c r="BS6">
        <f t="shared" si="3"/>
        <v>29</v>
      </c>
      <c r="BT6">
        <f t="shared" si="0"/>
        <v>21.75</v>
      </c>
      <c r="BU6">
        <f t="shared" si="0"/>
        <v>16.857142857142858</v>
      </c>
      <c r="BV6">
        <f t="shared" si="0"/>
        <v>16.571428571428573</v>
      </c>
      <c r="BW6">
        <f t="shared" si="0"/>
        <v>16.428571428571427</v>
      </c>
      <c r="BX6">
        <f t="shared" si="0"/>
        <v>11.714285714285714</v>
      </c>
      <c r="BY6">
        <f t="shared" si="0"/>
        <v>10.285714285714286</v>
      </c>
      <c r="BZ6">
        <f t="shared" si="0"/>
        <v>9.1428571428571423</v>
      </c>
      <c r="CA6">
        <f t="shared" si="0"/>
        <v>9.7142857142857135</v>
      </c>
      <c r="CB6">
        <f t="shared" si="0"/>
        <v>9.875</v>
      </c>
      <c r="CC6">
        <f t="shared" si="0"/>
        <v>12.555555555555555</v>
      </c>
      <c r="CD6">
        <f t="shared" si="0"/>
        <v>14.888888888888889</v>
      </c>
      <c r="CE6">
        <f t="shared" si="0"/>
        <v>16.399999999999999</v>
      </c>
      <c r="CF6">
        <f t="shared" ref="CF6:CF16" si="4">AVERAGE(X6:AG6)</f>
        <v>16.222222222222221</v>
      </c>
      <c r="CG6">
        <f t="shared" ref="CG6:CG16" si="5">AVERAGE(Y6:AH6)</f>
        <v>17</v>
      </c>
      <c r="CH6">
        <f t="shared" ref="CH6:CH16" si="6">AVERAGE(Z6:AI6)</f>
        <v>18.285714285714285</v>
      </c>
      <c r="CI6">
        <f t="shared" ref="CI6:CI16" si="7">AVERAGE(AA6:AJ6)</f>
        <v>19.833333333333332</v>
      </c>
      <c r="CJ6">
        <f t="shared" ref="CJ6:CJ16" si="8">AVERAGE(AB6:AK6)</f>
        <v>23</v>
      </c>
      <c r="CK6">
        <f t="shared" ref="CK6:CK16" si="9">AVERAGE(AC6:AL6)</f>
        <v>25.5</v>
      </c>
      <c r="CL6">
        <f t="shared" ref="CL6:CL16" si="10">AVERAGE(AD6:AM6)</f>
        <v>30.333333333333332</v>
      </c>
      <c r="CM6">
        <f t="shared" ref="CM6:CM16" si="11">AVERAGE(AE6:AN6)</f>
        <v>28.5</v>
      </c>
      <c r="CN6">
        <f t="shared" ref="CN6:CN16" si="12">AVERAGE(AF6:AO6)</f>
        <v>30</v>
      </c>
      <c r="CO6" t="e">
        <f t="shared" ref="CO6:CO16" si="13">AVERAGE(AG6:AP6)</f>
        <v>#DIV/0!</v>
      </c>
      <c r="CP6" t="e">
        <f t="shared" ref="CP6:CP16" si="14">AVERAGE(AH6:AQ6)</f>
        <v>#DIV/0!</v>
      </c>
      <c r="CQ6" t="e">
        <f t="shared" ref="CQ6:CQ16" si="15">AVERAGE(AI6:AR6)</f>
        <v>#DIV/0!</v>
      </c>
      <c r="CR6" t="e">
        <f t="shared" ref="CR6:CR16" si="16">AVERAGE(AJ6:AS6)</f>
        <v>#DIV/0!</v>
      </c>
      <c r="CS6" t="e">
        <f t="shared" ref="CS6:CS16" si="17">AVERAGE(AK6:AT6)</f>
        <v>#DIV/0!</v>
      </c>
      <c r="CT6" t="e">
        <f t="shared" ref="CT6:CT16" si="18">AVERAGE(AL6:AU6)</f>
        <v>#DIV/0!</v>
      </c>
      <c r="CU6" t="e">
        <f t="shared" ref="CU6:CU16" si="19">AVERAGE(AM6:AV6)</f>
        <v>#DIV/0!</v>
      </c>
      <c r="CV6" t="e">
        <f t="shared" ref="CV6:CV16" si="20">AVERAGE(AN6:AW6)</f>
        <v>#DIV/0!</v>
      </c>
      <c r="CW6" t="e">
        <f t="shared" ref="CW6:CW16" si="21">AVERAGE(AO6:AX6)</f>
        <v>#DIV/0!</v>
      </c>
      <c r="CX6" t="e">
        <f t="shared" ref="CX6:CX16" si="22">AVERAGE(AP6:AY6)</f>
        <v>#DIV/0!</v>
      </c>
      <c r="CY6" t="e">
        <f t="shared" ref="CY6:CY16" si="23">AVERAGE(AQ6:AZ6)</f>
        <v>#DIV/0!</v>
      </c>
      <c r="CZ6" t="e">
        <f t="shared" ref="CZ6:CZ16" si="24">AVERAGE(AR6:BA6)</f>
        <v>#N/A</v>
      </c>
      <c r="DA6" t="e">
        <f t="shared" ref="DA6:DA16" si="25">AVERAGE(AS6:BB6)</f>
        <v>#N/A</v>
      </c>
      <c r="DB6" t="e">
        <f t="shared" ref="DB6:DB16" si="26">AVERAGE(AT6:BC6)</f>
        <v>#N/A</v>
      </c>
      <c r="DC6" t="e">
        <f t="shared" ref="DC6:DC16" si="27">AVERAGE(AU6:BD6)</f>
        <v>#N/A</v>
      </c>
      <c r="DD6" t="e">
        <f t="shared" ref="DD6:DD16" si="28">AVERAGE(AV6:BE6)</f>
        <v>#N/A</v>
      </c>
    </row>
    <row r="7" spans="1:108" s="10" customFormat="1" ht="20" customHeight="1" x14ac:dyDescent="0.2">
      <c r="A7" s="9" t="s">
        <v>2</v>
      </c>
      <c r="B7" s="16">
        <v>11</v>
      </c>
      <c r="C7" s="16">
        <v>5</v>
      </c>
      <c r="D7" s="16">
        <v>57</v>
      </c>
      <c r="E7" s="16">
        <v>128</v>
      </c>
      <c r="F7" s="16">
        <v>27</v>
      </c>
      <c r="G7" s="16">
        <v>45</v>
      </c>
      <c r="H7" s="16">
        <v>60</v>
      </c>
      <c r="I7" s="16">
        <v>12</v>
      </c>
      <c r="J7" s="16">
        <v>43</v>
      </c>
      <c r="K7" s="16">
        <v>14</v>
      </c>
      <c r="L7" s="16">
        <v>107</v>
      </c>
      <c r="M7" s="16">
        <v>4</v>
      </c>
      <c r="N7" s="16">
        <v>12</v>
      </c>
      <c r="O7" s="16">
        <v>7</v>
      </c>
      <c r="P7" s="16">
        <v>46</v>
      </c>
      <c r="Q7" s="16">
        <v>6</v>
      </c>
      <c r="R7" s="16">
        <v>7</v>
      </c>
      <c r="S7" s="16"/>
      <c r="T7" s="16"/>
      <c r="U7" s="17">
        <v>25</v>
      </c>
      <c r="V7" s="17"/>
      <c r="W7" s="17">
        <v>16</v>
      </c>
      <c r="X7" s="17">
        <v>10</v>
      </c>
      <c r="Y7" s="17">
        <v>13</v>
      </c>
      <c r="Z7" s="17">
        <v>17</v>
      </c>
      <c r="AA7" s="17">
        <v>16</v>
      </c>
      <c r="AB7" s="17">
        <v>8</v>
      </c>
      <c r="AC7" s="17">
        <v>19</v>
      </c>
      <c r="AD7" s="112">
        <v>19</v>
      </c>
      <c r="AE7" s="10">
        <v>28</v>
      </c>
      <c r="AF7" s="10">
        <v>18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40.200000000000003</v>
      </c>
      <c r="BK7">
        <f t="shared" si="0"/>
        <v>49.8</v>
      </c>
      <c r="BL7">
        <f t="shared" si="2"/>
        <v>49.7</v>
      </c>
      <c r="BM7">
        <f t="shared" si="0"/>
        <v>45.2</v>
      </c>
      <c r="BN7">
        <f t="shared" si="0"/>
        <v>33.1</v>
      </c>
      <c r="BO7">
        <f t="shared" si="0"/>
        <v>35</v>
      </c>
      <c r="BP7">
        <f t="shared" si="0"/>
        <v>31.1</v>
      </c>
      <c r="BQ7">
        <f t="shared" si="0"/>
        <v>25.8</v>
      </c>
      <c r="BR7">
        <f t="shared" si="3"/>
        <v>27.333333333333332</v>
      </c>
      <c r="BS7">
        <f t="shared" si="3"/>
        <v>25.375</v>
      </c>
      <c r="BT7">
        <f t="shared" si="0"/>
        <v>26.75</v>
      </c>
      <c r="BU7">
        <f t="shared" si="0"/>
        <v>15.285714285714286</v>
      </c>
      <c r="BV7">
        <f t="shared" si="0"/>
        <v>17</v>
      </c>
      <c r="BW7">
        <f t="shared" si="0"/>
        <v>16.714285714285715</v>
      </c>
      <c r="BX7">
        <f>AVERAGE(P7:Y7)</f>
        <v>17.571428571428573</v>
      </c>
      <c r="BY7">
        <f t="shared" si="0"/>
        <v>13.428571428571429</v>
      </c>
      <c r="BZ7">
        <f t="shared" si="0"/>
        <v>14.857142857142858</v>
      </c>
      <c r="CA7">
        <f t="shared" si="0"/>
        <v>15</v>
      </c>
      <c r="CB7">
        <f t="shared" si="0"/>
        <v>15.5</v>
      </c>
      <c r="CC7">
        <f t="shared" si="0"/>
        <v>15.888888888888889</v>
      </c>
      <c r="CD7">
        <f t="shared" si="0"/>
        <v>16.222222222222221</v>
      </c>
      <c r="CE7">
        <f>AVERAGE(W7:AF7)</f>
        <v>16.399999999999999</v>
      </c>
      <c r="CF7">
        <f t="shared" si="4"/>
        <v>16.444444444444443</v>
      </c>
      <c r="CG7">
        <f t="shared" si="5"/>
        <v>17.25</v>
      </c>
      <c r="CH7">
        <f t="shared" si="6"/>
        <v>17.857142857142858</v>
      </c>
      <c r="CI7">
        <f t="shared" si="7"/>
        <v>18</v>
      </c>
      <c r="CJ7">
        <f t="shared" si="8"/>
        <v>18.399999999999999</v>
      </c>
      <c r="CK7">
        <f t="shared" si="9"/>
        <v>21</v>
      </c>
      <c r="CL7">
        <f t="shared" si="10"/>
        <v>21.666666666666668</v>
      </c>
      <c r="CM7">
        <f t="shared" si="11"/>
        <v>23</v>
      </c>
      <c r="CN7">
        <f t="shared" si="12"/>
        <v>18</v>
      </c>
      <c r="CO7" t="e">
        <f t="shared" si="13"/>
        <v>#DIV/0!</v>
      </c>
      <c r="CP7" t="e">
        <f t="shared" si="14"/>
        <v>#DIV/0!</v>
      </c>
      <c r="CQ7" t="e">
        <f t="shared" si="15"/>
        <v>#DIV/0!</v>
      </c>
      <c r="CR7" t="e">
        <f t="shared" si="16"/>
        <v>#DIV/0!</v>
      </c>
      <c r="CS7" t="e">
        <f t="shared" si="17"/>
        <v>#DIV/0!</v>
      </c>
      <c r="CT7" t="e">
        <f t="shared" si="18"/>
        <v>#DIV/0!</v>
      </c>
      <c r="CU7" t="e">
        <f t="shared" si="19"/>
        <v>#DIV/0!</v>
      </c>
      <c r="CV7" t="e">
        <f t="shared" si="20"/>
        <v>#DIV/0!</v>
      </c>
      <c r="CW7" t="e">
        <f t="shared" si="21"/>
        <v>#DIV/0!</v>
      </c>
      <c r="CX7" t="e">
        <f t="shared" si="22"/>
        <v>#DIV/0!</v>
      </c>
      <c r="CY7" t="e">
        <f t="shared" si="23"/>
        <v>#DIV/0!</v>
      </c>
      <c r="CZ7" t="e">
        <f t="shared" si="24"/>
        <v>#N/A</v>
      </c>
      <c r="DA7" t="e">
        <f t="shared" si="25"/>
        <v>#N/A</v>
      </c>
      <c r="DB7" t="e">
        <f t="shared" si="26"/>
        <v>#N/A</v>
      </c>
      <c r="DC7" t="e">
        <f t="shared" si="27"/>
        <v>#N/A</v>
      </c>
      <c r="DD7" t="e">
        <f t="shared" si="28"/>
        <v>#N/A</v>
      </c>
    </row>
    <row r="8" spans="1:108" ht="20" customHeight="1" x14ac:dyDescent="0.2">
      <c r="A8" s="7" t="s">
        <v>3</v>
      </c>
      <c r="B8" s="14">
        <v>42</v>
      </c>
      <c r="C8" s="14">
        <v>21</v>
      </c>
      <c r="D8" s="14">
        <v>8</v>
      </c>
      <c r="E8" s="14">
        <v>11</v>
      </c>
      <c r="F8" s="14">
        <v>63</v>
      </c>
      <c r="G8" s="14">
        <v>25</v>
      </c>
      <c r="H8" s="14">
        <v>21</v>
      </c>
      <c r="I8" s="14">
        <v>45</v>
      </c>
      <c r="J8" s="14">
        <v>2</v>
      </c>
      <c r="K8" s="14">
        <v>14</v>
      </c>
      <c r="L8" s="14">
        <v>12</v>
      </c>
      <c r="M8" s="14">
        <v>21</v>
      </c>
      <c r="N8" s="14">
        <v>18</v>
      </c>
      <c r="O8" s="14">
        <v>2</v>
      </c>
      <c r="P8" s="14">
        <v>19</v>
      </c>
      <c r="Q8" s="14">
        <v>15</v>
      </c>
      <c r="R8" s="14">
        <v>16</v>
      </c>
      <c r="S8" s="14"/>
      <c r="T8" s="14"/>
      <c r="U8" s="15">
        <v>16</v>
      </c>
      <c r="V8" s="15"/>
      <c r="W8" s="15">
        <v>14</v>
      </c>
      <c r="X8" s="15">
        <v>13</v>
      </c>
      <c r="Y8" s="15">
        <v>21</v>
      </c>
      <c r="Z8" s="15">
        <v>28</v>
      </c>
      <c r="AA8" s="15">
        <v>18</v>
      </c>
      <c r="AB8" s="15">
        <v>16</v>
      </c>
      <c r="AC8" s="15">
        <v>8</v>
      </c>
      <c r="AD8" s="111">
        <v>9</v>
      </c>
      <c r="AE8" s="124">
        <v>44</v>
      </c>
      <c r="AF8" s="124">
        <v>41</v>
      </c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25.2</v>
      </c>
      <c r="BK8">
        <f t="shared" si="0"/>
        <v>22.2</v>
      </c>
      <c r="BL8">
        <f t="shared" si="2"/>
        <v>22.2</v>
      </c>
      <c r="BM8">
        <f t="shared" si="0"/>
        <v>23.2</v>
      </c>
      <c r="BN8">
        <f t="shared" si="0"/>
        <v>22.3</v>
      </c>
      <c r="BO8">
        <f t="shared" si="0"/>
        <v>17.899999999999999</v>
      </c>
      <c r="BP8">
        <f t="shared" si="0"/>
        <v>16.899999999999999</v>
      </c>
      <c r="BQ8">
        <f t="shared" si="0"/>
        <v>16.399999999999999</v>
      </c>
      <c r="BR8">
        <f t="shared" si="3"/>
        <v>13.222222222222221</v>
      </c>
      <c r="BS8">
        <f t="shared" si="3"/>
        <v>14.625</v>
      </c>
      <c r="BT8">
        <f>AVERAGE(L8:U8)</f>
        <v>14.875</v>
      </c>
      <c r="BU8">
        <f t="shared" si="0"/>
        <v>15.285714285714286</v>
      </c>
      <c r="BV8">
        <f t="shared" si="0"/>
        <v>14.285714285714286</v>
      </c>
      <c r="BW8">
        <f t="shared" si="0"/>
        <v>13.571428571428571</v>
      </c>
      <c r="BX8">
        <f t="shared" si="0"/>
        <v>16.285714285714285</v>
      </c>
      <c r="BY8">
        <f t="shared" si="0"/>
        <v>17.571428571428573</v>
      </c>
      <c r="BZ8">
        <f t="shared" si="0"/>
        <v>18</v>
      </c>
      <c r="CA8">
        <f t="shared" si="0"/>
        <v>18</v>
      </c>
      <c r="CB8">
        <f t="shared" si="0"/>
        <v>16.75</v>
      </c>
      <c r="CC8">
        <f t="shared" si="0"/>
        <v>15.888888888888889</v>
      </c>
      <c r="CD8">
        <f t="shared" si="0"/>
        <v>19</v>
      </c>
      <c r="CE8">
        <f t="shared" si="0"/>
        <v>21.2</v>
      </c>
      <c r="CF8">
        <f t="shared" si="4"/>
        <v>22</v>
      </c>
      <c r="CG8">
        <f t="shared" si="5"/>
        <v>23.125</v>
      </c>
      <c r="CH8">
        <f t="shared" si="6"/>
        <v>23.428571428571427</v>
      </c>
      <c r="CI8">
        <f t="shared" si="7"/>
        <v>22.666666666666668</v>
      </c>
      <c r="CJ8">
        <f t="shared" si="8"/>
        <v>23.6</v>
      </c>
      <c r="CK8">
        <f t="shared" si="9"/>
        <v>25.5</v>
      </c>
      <c r="CL8">
        <f t="shared" si="10"/>
        <v>31.333333333333332</v>
      </c>
      <c r="CM8">
        <f t="shared" si="11"/>
        <v>42.5</v>
      </c>
      <c r="CN8">
        <f t="shared" si="12"/>
        <v>41</v>
      </c>
      <c r="CO8" t="e">
        <f t="shared" si="13"/>
        <v>#DIV/0!</v>
      </c>
      <c r="CP8" t="e">
        <f t="shared" si="14"/>
        <v>#DIV/0!</v>
      </c>
      <c r="CQ8" t="e">
        <f t="shared" si="15"/>
        <v>#DIV/0!</v>
      </c>
      <c r="CR8" t="e">
        <f t="shared" si="16"/>
        <v>#DIV/0!</v>
      </c>
      <c r="CS8" t="e">
        <f t="shared" si="17"/>
        <v>#DIV/0!</v>
      </c>
      <c r="CT8" t="e">
        <f t="shared" si="18"/>
        <v>#DIV/0!</v>
      </c>
      <c r="CU8" t="e">
        <f t="shared" si="19"/>
        <v>#DIV/0!</v>
      </c>
      <c r="CV8" t="e">
        <f t="shared" si="20"/>
        <v>#DIV/0!</v>
      </c>
      <c r="CW8" t="e">
        <f t="shared" si="21"/>
        <v>#DIV/0!</v>
      </c>
      <c r="CX8" t="e">
        <f t="shared" si="22"/>
        <v>#DIV/0!</v>
      </c>
      <c r="CY8" t="e">
        <f t="shared" si="23"/>
        <v>#DIV/0!</v>
      </c>
      <c r="CZ8" t="e">
        <f t="shared" si="24"/>
        <v>#N/A</v>
      </c>
      <c r="DA8" t="e">
        <f t="shared" si="25"/>
        <v>#N/A</v>
      </c>
      <c r="DB8" t="e">
        <f t="shared" si="26"/>
        <v>#N/A</v>
      </c>
      <c r="DC8" t="e">
        <f t="shared" si="27"/>
        <v>#N/A</v>
      </c>
      <c r="DD8" t="e">
        <f t="shared" si="28"/>
        <v>#N/A</v>
      </c>
    </row>
    <row r="9" spans="1:108" s="10" customFormat="1" ht="20" customHeight="1" x14ac:dyDescent="0.2">
      <c r="A9" s="9" t="s">
        <v>4</v>
      </c>
      <c r="B9" s="16">
        <v>41</v>
      </c>
      <c r="C9" s="16">
        <v>27</v>
      </c>
      <c r="D9" s="16">
        <v>53</v>
      </c>
      <c r="E9" s="16">
        <v>51</v>
      </c>
      <c r="F9" s="16">
        <v>75</v>
      </c>
      <c r="G9" s="16">
        <v>45</v>
      </c>
      <c r="H9" s="16">
        <v>39</v>
      </c>
      <c r="I9" s="16">
        <v>57</v>
      </c>
      <c r="J9" s="16">
        <v>55</v>
      </c>
      <c r="K9" s="16">
        <v>44</v>
      </c>
      <c r="L9" s="16">
        <v>26</v>
      </c>
      <c r="M9" s="16">
        <v>25</v>
      </c>
      <c r="N9" s="16">
        <v>35</v>
      </c>
      <c r="O9" s="16">
        <v>35</v>
      </c>
      <c r="P9" s="16">
        <v>37</v>
      </c>
      <c r="Q9" s="16">
        <v>31</v>
      </c>
      <c r="R9" s="16">
        <v>15</v>
      </c>
      <c r="S9" s="16"/>
      <c r="T9" s="16"/>
      <c r="U9" s="17">
        <v>9</v>
      </c>
      <c r="V9" s="17"/>
      <c r="W9" s="17">
        <v>20</v>
      </c>
      <c r="X9" s="17">
        <v>33</v>
      </c>
      <c r="Y9" s="17">
        <v>53</v>
      </c>
      <c r="Z9" s="17">
        <v>40</v>
      </c>
      <c r="AA9" s="17">
        <v>38</v>
      </c>
      <c r="AB9" s="17">
        <v>24</v>
      </c>
      <c r="AC9" s="17">
        <v>23</v>
      </c>
      <c r="AD9" s="112">
        <v>41</v>
      </c>
      <c r="AE9" s="10">
        <v>71</v>
      </c>
      <c r="AF9" s="10">
        <v>26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48.7</v>
      </c>
      <c r="BK9">
        <f t="shared" si="0"/>
        <v>47.2</v>
      </c>
      <c r="BL9">
        <f t="shared" si="2"/>
        <v>47</v>
      </c>
      <c r="BM9">
        <f t="shared" si="0"/>
        <v>45.2</v>
      </c>
      <c r="BN9">
        <f t="shared" si="0"/>
        <v>43.6</v>
      </c>
      <c r="BO9">
        <f t="shared" si="0"/>
        <v>39.799999999999997</v>
      </c>
      <c r="BP9">
        <f t="shared" si="0"/>
        <v>38.4</v>
      </c>
      <c r="BQ9">
        <f t="shared" si="0"/>
        <v>36</v>
      </c>
      <c r="BR9">
        <f t="shared" si="3"/>
        <v>33.666666666666664</v>
      </c>
      <c r="BS9">
        <f t="shared" si="3"/>
        <v>31</v>
      </c>
      <c r="BT9">
        <f t="shared" si="0"/>
        <v>26.625</v>
      </c>
      <c r="BU9">
        <f t="shared" si="0"/>
        <v>26.714285714285715</v>
      </c>
      <c r="BV9">
        <f t="shared" si="0"/>
        <v>26</v>
      </c>
      <c r="BW9">
        <f t="shared" si="0"/>
        <v>25.714285714285715</v>
      </c>
      <c r="BX9">
        <f t="shared" si="0"/>
        <v>28.285714285714285</v>
      </c>
      <c r="BY9">
        <f t="shared" si="0"/>
        <v>28.714285714285715</v>
      </c>
      <c r="BZ9">
        <f t="shared" si="0"/>
        <v>29.714285714285715</v>
      </c>
      <c r="CA9">
        <f t="shared" si="0"/>
        <v>31</v>
      </c>
      <c r="CB9">
        <f t="shared" si="0"/>
        <v>30</v>
      </c>
      <c r="CC9">
        <f t="shared" si="0"/>
        <v>31.222222222222221</v>
      </c>
      <c r="CD9">
        <f t="shared" si="0"/>
        <v>38.111111111111114</v>
      </c>
      <c r="CE9">
        <f t="shared" si="0"/>
        <v>36.9</v>
      </c>
      <c r="CF9">
        <f t="shared" si="4"/>
        <v>38.777777777777779</v>
      </c>
      <c r="CG9">
        <f t="shared" si="5"/>
        <v>39.5</v>
      </c>
      <c r="CH9">
        <f t="shared" si="6"/>
        <v>37.571428571428569</v>
      </c>
      <c r="CI9">
        <f t="shared" si="7"/>
        <v>37.166666666666664</v>
      </c>
      <c r="CJ9">
        <f t="shared" si="8"/>
        <v>37</v>
      </c>
      <c r="CK9">
        <f t="shared" si="9"/>
        <v>40.25</v>
      </c>
      <c r="CL9">
        <f t="shared" si="10"/>
        <v>46</v>
      </c>
      <c r="CM9">
        <f t="shared" si="11"/>
        <v>48.5</v>
      </c>
      <c r="CN9">
        <f t="shared" si="12"/>
        <v>26</v>
      </c>
      <c r="CO9" t="e">
        <f t="shared" si="13"/>
        <v>#DIV/0!</v>
      </c>
      <c r="CP9" t="e">
        <f t="shared" si="14"/>
        <v>#DIV/0!</v>
      </c>
      <c r="CQ9" t="e">
        <f t="shared" si="15"/>
        <v>#DIV/0!</v>
      </c>
      <c r="CR9" t="e">
        <f t="shared" si="16"/>
        <v>#DIV/0!</v>
      </c>
      <c r="CS9" t="e">
        <f t="shared" si="17"/>
        <v>#DIV/0!</v>
      </c>
      <c r="CT9" t="e">
        <f t="shared" si="18"/>
        <v>#DIV/0!</v>
      </c>
      <c r="CU9" t="e">
        <f t="shared" si="19"/>
        <v>#DIV/0!</v>
      </c>
      <c r="CV9" t="e">
        <f t="shared" si="20"/>
        <v>#DIV/0!</v>
      </c>
      <c r="CW9" t="e">
        <f t="shared" si="21"/>
        <v>#DIV/0!</v>
      </c>
      <c r="CX9" t="e">
        <f t="shared" si="22"/>
        <v>#DIV/0!</v>
      </c>
      <c r="CY9" t="e">
        <f t="shared" si="23"/>
        <v>#DIV/0!</v>
      </c>
      <c r="CZ9" t="e">
        <f t="shared" si="24"/>
        <v>#N/A</v>
      </c>
      <c r="DA9" t="e">
        <f t="shared" si="25"/>
        <v>#N/A</v>
      </c>
      <c r="DB9" t="e">
        <f t="shared" si="26"/>
        <v>#N/A</v>
      </c>
      <c r="DC9" t="e">
        <f t="shared" si="27"/>
        <v>#N/A</v>
      </c>
      <c r="DD9" t="e">
        <f t="shared" si="28"/>
        <v>#N/A</v>
      </c>
    </row>
    <row r="10" spans="1:108" ht="20" customHeight="1" x14ac:dyDescent="0.2">
      <c r="A10" s="7" t="s">
        <v>5</v>
      </c>
      <c r="B10" s="14">
        <v>67</v>
      </c>
      <c r="C10" s="14">
        <v>17</v>
      </c>
      <c r="D10" s="14">
        <v>33</v>
      </c>
      <c r="E10" s="14">
        <v>27</v>
      </c>
      <c r="F10" s="14">
        <v>27</v>
      </c>
      <c r="G10" s="14">
        <v>30</v>
      </c>
      <c r="H10" s="14">
        <v>53</v>
      </c>
      <c r="I10" s="14">
        <v>37</v>
      </c>
      <c r="J10" s="14">
        <v>36</v>
      </c>
      <c r="K10" s="14">
        <v>76</v>
      </c>
      <c r="L10" s="14">
        <v>24</v>
      </c>
      <c r="M10" s="14">
        <v>35</v>
      </c>
      <c r="N10" s="14">
        <v>21</v>
      </c>
      <c r="O10" s="14">
        <v>37</v>
      </c>
      <c r="P10" s="14">
        <v>60</v>
      </c>
      <c r="Q10" s="14">
        <v>14</v>
      </c>
      <c r="R10" s="14">
        <v>26</v>
      </c>
      <c r="S10" s="14"/>
      <c r="T10" s="14"/>
      <c r="U10" s="15">
        <v>0</v>
      </c>
      <c r="V10" s="15"/>
      <c r="W10" s="15">
        <v>21</v>
      </c>
      <c r="X10" s="15">
        <v>19</v>
      </c>
      <c r="Y10" s="15">
        <v>42</v>
      </c>
      <c r="Z10" s="15">
        <v>29</v>
      </c>
      <c r="AA10" s="15">
        <v>33</v>
      </c>
      <c r="AB10" s="15">
        <v>25</v>
      </c>
      <c r="AC10" s="15">
        <v>24</v>
      </c>
      <c r="AD10" s="111">
        <v>31</v>
      </c>
      <c r="AE10" s="124">
        <v>69</v>
      </c>
      <c r="AF10" s="124">
        <v>24</v>
      </c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40.299999999999997</v>
      </c>
      <c r="BK10">
        <f t="shared" si="0"/>
        <v>36</v>
      </c>
      <c r="BL10">
        <f t="shared" si="2"/>
        <v>37.799999999999997</v>
      </c>
      <c r="BM10">
        <f t="shared" si="0"/>
        <v>36.6</v>
      </c>
      <c r="BN10">
        <f t="shared" si="0"/>
        <v>37.6</v>
      </c>
      <c r="BO10">
        <f t="shared" si="0"/>
        <v>40.9</v>
      </c>
      <c r="BP10">
        <f t="shared" si="0"/>
        <v>39.299999999999997</v>
      </c>
      <c r="BQ10">
        <f t="shared" si="0"/>
        <v>36.6</v>
      </c>
      <c r="BR10">
        <f t="shared" si="3"/>
        <v>36.555555555555557</v>
      </c>
      <c r="BS10">
        <f t="shared" si="3"/>
        <v>36.625</v>
      </c>
      <c r="BT10">
        <f t="shared" si="0"/>
        <v>27.125</v>
      </c>
      <c r="BU10">
        <f t="shared" si="0"/>
        <v>27.571428571428573</v>
      </c>
      <c r="BV10">
        <f t="shared" si="0"/>
        <v>25.571428571428573</v>
      </c>
      <c r="BW10">
        <f t="shared" si="0"/>
        <v>25.285714285714285</v>
      </c>
      <c r="BX10">
        <f t="shared" si="0"/>
        <v>26</v>
      </c>
      <c r="BY10">
        <f t="shared" si="0"/>
        <v>21.571428571428573</v>
      </c>
      <c r="BZ10">
        <f t="shared" si="0"/>
        <v>24.285714285714285</v>
      </c>
      <c r="CA10">
        <f t="shared" si="0"/>
        <v>24.142857142857142</v>
      </c>
      <c r="CB10">
        <f t="shared" si="0"/>
        <v>24.125</v>
      </c>
      <c r="CC10">
        <f t="shared" si="0"/>
        <v>24.888888888888889</v>
      </c>
      <c r="CD10">
        <f t="shared" si="0"/>
        <v>32.555555555555557</v>
      </c>
      <c r="CE10">
        <f t="shared" si="0"/>
        <v>31.7</v>
      </c>
      <c r="CF10">
        <f t="shared" si="4"/>
        <v>32.888888888888886</v>
      </c>
      <c r="CG10">
        <f t="shared" si="5"/>
        <v>34.625</v>
      </c>
      <c r="CH10">
        <f t="shared" si="6"/>
        <v>33.571428571428569</v>
      </c>
      <c r="CI10">
        <f t="shared" si="7"/>
        <v>34.333333333333336</v>
      </c>
      <c r="CJ10">
        <f t="shared" si="8"/>
        <v>34.6</v>
      </c>
      <c r="CK10">
        <f t="shared" si="9"/>
        <v>37</v>
      </c>
      <c r="CL10">
        <f t="shared" si="10"/>
        <v>41.333333333333336</v>
      </c>
      <c r="CM10">
        <f t="shared" si="11"/>
        <v>46.5</v>
      </c>
      <c r="CN10">
        <f t="shared" si="12"/>
        <v>24</v>
      </c>
      <c r="CO10" t="e">
        <f t="shared" si="13"/>
        <v>#DIV/0!</v>
      </c>
      <c r="CP10" t="e">
        <f t="shared" si="14"/>
        <v>#DIV/0!</v>
      </c>
      <c r="CQ10" t="e">
        <f t="shared" si="15"/>
        <v>#DIV/0!</v>
      </c>
      <c r="CR10" t="e">
        <f t="shared" si="16"/>
        <v>#DIV/0!</v>
      </c>
      <c r="CS10" t="e">
        <f t="shared" si="17"/>
        <v>#DIV/0!</v>
      </c>
      <c r="CT10" t="e">
        <f t="shared" si="18"/>
        <v>#DIV/0!</v>
      </c>
      <c r="CU10" t="e">
        <f t="shared" si="19"/>
        <v>#DIV/0!</v>
      </c>
      <c r="CV10" t="e">
        <f t="shared" si="20"/>
        <v>#DIV/0!</v>
      </c>
      <c r="CW10" t="e">
        <f t="shared" si="21"/>
        <v>#DIV/0!</v>
      </c>
      <c r="CX10" t="e">
        <f t="shared" si="22"/>
        <v>#DIV/0!</v>
      </c>
      <c r="CY10" t="e">
        <f t="shared" si="23"/>
        <v>#DIV/0!</v>
      </c>
      <c r="CZ10" t="e">
        <f t="shared" si="24"/>
        <v>#N/A</v>
      </c>
      <c r="DA10" t="e">
        <f t="shared" si="25"/>
        <v>#N/A</v>
      </c>
      <c r="DB10" t="e">
        <f t="shared" si="26"/>
        <v>#N/A</v>
      </c>
      <c r="DC10" t="e">
        <f t="shared" si="27"/>
        <v>#N/A</v>
      </c>
      <c r="DD10" t="e">
        <f t="shared" si="28"/>
        <v>#N/A</v>
      </c>
    </row>
    <row r="11" spans="1:108" s="10" customFormat="1" ht="20" customHeight="1" x14ac:dyDescent="0.2">
      <c r="A11" s="9" t="s">
        <v>6</v>
      </c>
      <c r="B11" s="16">
        <v>136</v>
      </c>
      <c r="C11" s="16">
        <v>75</v>
      </c>
      <c r="D11" s="16">
        <v>119</v>
      </c>
      <c r="E11" s="16">
        <v>151</v>
      </c>
      <c r="F11" s="16">
        <v>59</v>
      </c>
      <c r="G11" s="16">
        <v>100</v>
      </c>
      <c r="H11" s="16">
        <v>37</v>
      </c>
      <c r="I11" s="16">
        <v>55</v>
      </c>
      <c r="J11" s="16">
        <v>77</v>
      </c>
      <c r="K11" s="16">
        <v>248</v>
      </c>
      <c r="L11" s="16">
        <v>78</v>
      </c>
      <c r="M11" s="16">
        <v>38</v>
      </c>
      <c r="N11" s="16">
        <v>54</v>
      </c>
      <c r="O11" s="16">
        <v>62</v>
      </c>
      <c r="P11" s="16">
        <v>56</v>
      </c>
      <c r="Q11" s="16">
        <v>16</v>
      </c>
      <c r="R11" s="16">
        <v>75</v>
      </c>
      <c r="S11" s="16"/>
      <c r="T11" s="16"/>
      <c r="U11" s="17">
        <v>9</v>
      </c>
      <c r="V11" s="17"/>
      <c r="W11" s="17">
        <v>48</v>
      </c>
      <c r="X11" s="17">
        <v>44</v>
      </c>
      <c r="Y11" s="17">
        <v>74</v>
      </c>
      <c r="Z11" s="17">
        <v>36</v>
      </c>
      <c r="AA11" s="17">
        <v>49</v>
      </c>
      <c r="AB11" s="17">
        <v>46</v>
      </c>
      <c r="AC11" s="17">
        <v>29</v>
      </c>
      <c r="AD11" s="112">
        <v>33</v>
      </c>
      <c r="AE11" s="10">
        <v>79</v>
      </c>
      <c r="AF11" s="10">
        <v>98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105.7</v>
      </c>
      <c r="BK11">
        <f t="shared" si="0"/>
        <v>99.9</v>
      </c>
      <c r="BL11">
        <f t="shared" si="2"/>
        <v>96.2</v>
      </c>
      <c r="BM11">
        <f t="shared" si="0"/>
        <v>89.7</v>
      </c>
      <c r="BN11">
        <f t="shared" si="0"/>
        <v>80.8</v>
      </c>
      <c r="BO11">
        <f t="shared" si="0"/>
        <v>80.5</v>
      </c>
      <c r="BP11">
        <f t="shared" si="0"/>
        <v>72.099999999999994</v>
      </c>
      <c r="BQ11">
        <f t="shared" si="0"/>
        <v>75.900000000000006</v>
      </c>
      <c r="BR11">
        <f t="shared" si="3"/>
        <v>78.222222222222229</v>
      </c>
      <c r="BS11">
        <f t="shared" si="3"/>
        <v>78.375</v>
      </c>
      <c r="BT11">
        <f t="shared" si="0"/>
        <v>48.5</v>
      </c>
      <c r="BU11">
        <f t="shared" si="0"/>
        <v>44.285714285714285</v>
      </c>
      <c r="BV11">
        <f t="shared" si="0"/>
        <v>45.714285714285715</v>
      </c>
      <c r="BW11">
        <f t="shared" si="0"/>
        <v>44.285714285714285</v>
      </c>
      <c r="BX11">
        <f t="shared" si="0"/>
        <v>46</v>
      </c>
      <c r="BY11">
        <f t="shared" si="0"/>
        <v>43.142857142857146</v>
      </c>
      <c r="BZ11">
        <f t="shared" si="0"/>
        <v>47.857142857142854</v>
      </c>
      <c r="CA11">
        <f t="shared" si="0"/>
        <v>43.714285714285715</v>
      </c>
      <c r="CB11">
        <f t="shared" si="0"/>
        <v>41.875</v>
      </c>
      <c r="CC11">
        <f t="shared" si="0"/>
        <v>40.888888888888886</v>
      </c>
      <c r="CD11">
        <f t="shared" si="0"/>
        <v>48.666666666666664</v>
      </c>
      <c r="CE11">
        <f t="shared" si="0"/>
        <v>53.6</v>
      </c>
      <c r="CF11">
        <f t="shared" si="4"/>
        <v>54.222222222222221</v>
      </c>
      <c r="CG11">
        <f t="shared" si="5"/>
        <v>55.5</v>
      </c>
      <c r="CH11">
        <f t="shared" si="6"/>
        <v>52.857142857142854</v>
      </c>
      <c r="CI11">
        <f t="shared" si="7"/>
        <v>55.666666666666664</v>
      </c>
      <c r="CJ11">
        <f t="shared" si="8"/>
        <v>57</v>
      </c>
      <c r="CK11">
        <f t="shared" si="9"/>
        <v>59.75</v>
      </c>
      <c r="CL11">
        <f t="shared" si="10"/>
        <v>70</v>
      </c>
      <c r="CM11">
        <f t="shared" si="11"/>
        <v>88.5</v>
      </c>
      <c r="CN11">
        <f t="shared" si="12"/>
        <v>98</v>
      </c>
      <c r="CO11" t="e">
        <f t="shared" si="13"/>
        <v>#DIV/0!</v>
      </c>
      <c r="CP11" t="e">
        <f t="shared" si="14"/>
        <v>#DIV/0!</v>
      </c>
      <c r="CQ11" t="e">
        <f t="shared" si="15"/>
        <v>#DIV/0!</v>
      </c>
      <c r="CR11" t="e">
        <f t="shared" si="16"/>
        <v>#DIV/0!</v>
      </c>
      <c r="CS11" t="e">
        <f t="shared" si="17"/>
        <v>#DIV/0!</v>
      </c>
      <c r="CT11" t="e">
        <f t="shared" si="18"/>
        <v>#DIV/0!</v>
      </c>
      <c r="CU11" t="e">
        <f t="shared" si="19"/>
        <v>#DIV/0!</v>
      </c>
      <c r="CV11" t="e">
        <f t="shared" si="20"/>
        <v>#DIV/0!</v>
      </c>
      <c r="CW11" t="e">
        <f t="shared" si="21"/>
        <v>#DIV/0!</v>
      </c>
      <c r="CX11" t="e">
        <f t="shared" si="22"/>
        <v>#DIV/0!</v>
      </c>
      <c r="CY11" t="e">
        <f t="shared" si="23"/>
        <v>#DIV/0!</v>
      </c>
      <c r="CZ11" t="e">
        <f t="shared" si="24"/>
        <v>#N/A</v>
      </c>
      <c r="DA11" t="e">
        <f t="shared" si="25"/>
        <v>#N/A</v>
      </c>
      <c r="DB11" t="e">
        <f t="shared" si="26"/>
        <v>#N/A</v>
      </c>
      <c r="DC11" t="e">
        <f t="shared" si="27"/>
        <v>#N/A</v>
      </c>
      <c r="DD11" t="e">
        <f t="shared" si="28"/>
        <v>#N/A</v>
      </c>
    </row>
    <row r="12" spans="1:108" ht="20" customHeight="1" x14ac:dyDescent="0.2">
      <c r="A12" s="7" t="s">
        <v>7</v>
      </c>
      <c r="B12" s="14">
        <v>53</v>
      </c>
      <c r="C12" s="14">
        <v>74</v>
      </c>
      <c r="D12" s="14">
        <v>93</v>
      </c>
      <c r="E12" s="14">
        <v>49</v>
      </c>
      <c r="F12" s="14">
        <v>88</v>
      </c>
      <c r="G12" s="14">
        <v>70</v>
      </c>
      <c r="H12" s="14">
        <v>105</v>
      </c>
      <c r="I12" s="14">
        <v>164</v>
      </c>
      <c r="J12" s="14">
        <v>95</v>
      </c>
      <c r="K12" s="14">
        <v>61</v>
      </c>
      <c r="L12" s="14">
        <v>47</v>
      </c>
      <c r="M12" s="14">
        <v>74</v>
      </c>
      <c r="N12" s="14">
        <v>52</v>
      </c>
      <c r="O12" s="14">
        <v>58</v>
      </c>
      <c r="P12" s="14">
        <v>53</v>
      </c>
      <c r="Q12" s="14">
        <v>71</v>
      </c>
      <c r="R12" s="14">
        <v>50</v>
      </c>
      <c r="S12" s="14"/>
      <c r="T12" s="14"/>
      <c r="U12" s="15">
        <v>89</v>
      </c>
      <c r="V12" s="15"/>
      <c r="W12" s="15">
        <v>44</v>
      </c>
      <c r="X12" s="15">
        <v>57</v>
      </c>
      <c r="Y12" s="15">
        <v>73</v>
      </c>
      <c r="Z12" s="15">
        <v>40</v>
      </c>
      <c r="AA12" s="15">
        <v>52</v>
      </c>
      <c r="AB12" s="15">
        <v>17</v>
      </c>
      <c r="AC12" s="15">
        <v>53</v>
      </c>
      <c r="AD12" s="111">
        <v>51</v>
      </c>
      <c r="AE12" s="124">
        <v>74</v>
      </c>
      <c r="AF12" s="124">
        <v>51</v>
      </c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>
        <f t="shared" si="1"/>
        <v>85.2</v>
      </c>
      <c r="BK12">
        <f t="shared" si="0"/>
        <v>84.6</v>
      </c>
      <c r="BL12">
        <f t="shared" si="2"/>
        <v>84.6</v>
      </c>
      <c r="BM12">
        <f t="shared" si="0"/>
        <v>80.5</v>
      </c>
      <c r="BN12">
        <f t="shared" si="0"/>
        <v>81.400000000000006</v>
      </c>
      <c r="BO12">
        <f t="shared" si="0"/>
        <v>77.900000000000006</v>
      </c>
      <c r="BP12">
        <f t="shared" si="0"/>
        <v>78</v>
      </c>
      <c r="BQ12">
        <f t="shared" si="0"/>
        <v>72.5</v>
      </c>
      <c r="BR12">
        <f t="shared" si="3"/>
        <v>62.333333333333336</v>
      </c>
      <c r="BS12">
        <f t="shared" si="3"/>
        <v>58.25</v>
      </c>
      <c r="BT12">
        <f t="shared" si="0"/>
        <v>61.75</v>
      </c>
      <c r="BU12">
        <f t="shared" si="0"/>
        <v>63.857142857142854</v>
      </c>
      <c r="BV12">
        <f t="shared" si="0"/>
        <v>59.571428571428569</v>
      </c>
      <c r="BW12">
        <f t="shared" si="0"/>
        <v>60.285714285714285</v>
      </c>
      <c r="BX12">
        <f t="shared" si="0"/>
        <v>62.428571428571431</v>
      </c>
      <c r="BY12">
        <f t="shared" si="0"/>
        <v>60.571428571428569</v>
      </c>
      <c r="BZ12">
        <f t="shared" si="0"/>
        <v>57.857142857142854</v>
      </c>
      <c r="CA12">
        <f t="shared" si="0"/>
        <v>53.142857142857146</v>
      </c>
      <c r="CB12">
        <f t="shared" si="0"/>
        <v>53.125</v>
      </c>
      <c r="CC12">
        <f t="shared" si="0"/>
        <v>52.888888888888886</v>
      </c>
      <c r="CD12">
        <f t="shared" si="0"/>
        <v>51.222222222222221</v>
      </c>
      <c r="CE12">
        <f t="shared" si="0"/>
        <v>51.2</v>
      </c>
      <c r="CF12">
        <f t="shared" si="4"/>
        <v>52</v>
      </c>
      <c r="CG12">
        <f t="shared" si="5"/>
        <v>51.375</v>
      </c>
      <c r="CH12">
        <f t="shared" si="6"/>
        <v>48.285714285714285</v>
      </c>
      <c r="CI12">
        <f t="shared" si="7"/>
        <v>49.666666666666664</v>
      </c>
      <c r="CJ12">
        <f t="shared" si="8"/>
        <v>49.2</v>
      </c>
      <c r="CK12">
        <f t="shared" si="9"/>
        <v>57.25</v>
      </c>
      <c r="CL12">
        <f t="shared" si="10"/>
        <v>58.666666666666664</v>
      </c>
      <c r="CM12">
        <f t="shared" si="11"/>
        <v>62.5</v>
      </c>
      <c r="CN12">
        <f t="shared" si="12"/>
        <v>51</v>
      </c>
      <c r="CO12" t="e">
        <f t="shared" si="13"/>
        <v>#DIV/0!</v>
      </c>
      <c r="CP12" t="e">
        <f t="shared" si="14"/>
        <v>#DIV/0!</v>
      </c>
      <c r="CQ12" t="e">
        <f t="shared" si="15"/>
        <v>#DIV/0!</v>
      </c>
      <c r="CR12" t="e">
        <f t="shared" si="16"/>
        <v>#DIV/0!</v>
      </c>
      <c r="CS12" t="e">
        <f t="shared" si="17"/>
        <v>#DIV/0!</v>
      </c>
      <c r="CT12" t="e">
        <f t="shared" si="18"/>
        <v>#DIV/0!</v>
      </c>
      <c r="CU12" t="e">
        <f t="shared" si="19"/>
        <v>#DIV/0!</v>
      </c>
      <c r="CV12" t="e">
        <f t="shared" si="20"/>
        <v>#DIV/0!</v>
      </c>
      <c r="CW12" t="e">
        <f t="shared" si="21"/>
        <v>#DIV/0!</v>
      </c>
      <c r="CX12" t="e">
        <f t="shared" si="22"/>
        <v>#DIV/0!</v>
      </c>
      <c r="CY12" t="e">
        <f t="shared" si="23"/>
        <v>#DIV/0!</v>
      </c>
      <c r="CZ12" t="e">
        <f t="shared" si="24"/>
        <v>#N/A</v>
      </c>
      <c r="DA12" t="e">
        <f t="shared" si="25"/>
        <v>#N/A</v>
      </c>
      <c r="DB12" t="e">
        <f t="shared" si="26"/>
        <v>#N/A</v>
      </c>
      <c r="DC12" t="e">
        <f t="shared" si="27"/>
        <v>#N/A</v>
      </c>
      <c r="DD12" t="e">
        <f t="shared" si="28"/>
        <v>#N/A</v>
      </c>
    </row>
    <row r="13" spans="1:108" s="10" customFormat="1" ht="20" customHeight="1" x14ac:dyDescent="0.2">
      <c r="A13" s="9" t="s">
        <v>8</v>
      </c>
      <c r="B13" s="16">
        <v>31</v>
      </c>
      <c r="C13" s="16">
        <v>47</v>
      </c>
      <c r="D13" s="16">
        <v>91</v>
      </c>
      <c r="E13" s="16">
        <v>78</v>
      </c>
      <c r="F13" s="16">
        <v>88</v>
      </c>
      <c r="G13" s="16">
        <v>60</v>
      </c>
      <c r="H13" s="16">
        <v>53</v>
      </c>
      <c r="I13" s="16">
        <v>28</v>
      </c>
      <c r="J13" s="16">
        <v>41</v>
      </c>
      <c r="K13" s="16">
        <v>38</v>
      </c>
      <c r="L13" s="16">
        <v>64</v>
      </c>
      <c r="M13" s="16">
        <v>33</v>
      </c>
      <c r="N13" s="16">
        <v>16</v>
      </c>
      <c r="O13" s="16">
        <v>32</v>
      </c>
      <c r="P13" s="16">
        <v>35</v>
      </c>
      <c r="Q13" s="16">
        <v>27</v>
      </c>
      <c r="R13" s="16">
        <v>67</v>
      </c>
      <c r="S13" s="16"/>
      <c r="T13" s="16"/>
      <c r="U13" s="17">
        <v>12</v>
      </c>
      <c r="V13" s="17"/>
      <c r="W13" s="17">
        <v>14</v>
      </c>
      <c r="X13" s="17">
        <v>47</v>
      </c>
      <c r="Y13" s="17">
        <v>22</v>
      </c>
      <c r="Z13" s="17">
        <v>30</v>
      </c>
      <c r="AA13" s="17">
        <v>48</v>
      </c>
      <c r="AB13" s="17">
        <v>41</v>
      </c>
      <c r="AC13" s="17">
        <v>26</v>
      </c>
      <c r="AD13" s="112">
        <v>32</v>
      </c>
      <c r="AE13" s="10">
        <v>101</v>
      </c>
      <c r="AF13" s="10">
        <v>42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>
        <f t="shared" si="1"/>
        <v>55.5</v>
      </c>
      <c r="BK13">
        <f t="shared" si="0"/>
        <v>58.8</v>
      </c>
      <c r="BL13">
        <f t="shared" si="2"/>
        <v>57.4</v>
      </c>
      <c r="BM13">
        <f t="shared" si="0"/>
        <v>49.9</v>
      </c>
      <c r="BN13">
        <f t="shared" si="0"/>
        <v>45.3</v>
      </c>
      <c r="BO13">
        <f t="shared" si="0"/>
        <v>40</v>
      </c>
      <c r="BP13">
        <f t="shared" si="0"/>
        <v>36.700000000000003</v>
      </c>
      <c r="BQ13">
        <f t="shared" si="0"/>
        <v>38.1</v>
      </c>
      <c r="BR13">
        <f t="shared" si="3"/>
        <v>39.222222222222221</v>
      </c>
      <c r="BS13">
        <f t="shared" si="3"/>
        <v>39</v>
      </c>
      <c r="BT13">
        <f t="shared" si="0"/>
        <v>35.75</v>
      </c>
      <c r="BU13">
        <f t="shared" si="0"/>
        <v>31.714285714285715</v>
      </c>
      <c r="BV13">
        <f t="shared" si="0"/>
        <v>29</v>
      </c>
      <c r="BW13">
        <f t="shared" si="0"/>
        <v>33.428571428571431</v>
      </c>
      <c r="BX13">
        <f t="shared" si="0"/>
        <v>32</v>
      </c>
      <c r="BY13">
        <f t="shared" si="0"/>
        <v>31.285714285714285</v>
      </c>
      <c r="BZ13">
        <f t="shared" si="0"/>
        <v>34.285714285714285</v>
      </c>
      <c r="CA13">
        <f t="shared" si="0"/>
        <v>30.571428571428573</v>
      </c>
      <c r="CB13">
        <f t="shared" si="0"/>
        <v>30</v>
      </c>
      <c r="CC13">
        <f t="shared" si="0"/>
        <v>30.222222222222221</v>
      </c>
      <c r="CD13">
        <f t="shared" si="0"/>
        <v>40.111111111111114</v>
      </c>
      <c r="CE13">
        <f t="shared" si="0"/>
        <v>40.299999999999997</v>
      </c>
      <c r="CF13">
        <f t="shared" si="4"/>
        <v>43.222222222222221</v>
      </c>
      <c r="CG13">
        <f t="shared" si="5"/>
        <v>42.75</v>
      </c>
      <c r="CH13">
        <f t="shared" si="6"/>
        <v>45.714285714285715</v>
      </c>
      <c r="CI13">
        <f t="shared" si="7"/>
        <v>48.333333333333336</v>
      </c>
      <c r="CJ13">
        <f t="shared" si="8"/>
        <v>48.4</v>
      </c>
      <c r="CK13">
        <f t="shared" si="9"/>
        <v>50.25</v>
      </c>
      <c r="CL13">
        <f t="shared" si="10"/>
        <v>58.333333333333336</v>
      </c>
      <c r="CM13">
        <f t="shared" si="11"/>
        <v>71.5</v>
      </c>
      <c r="CN13">
        <f t="shared" si="12"/>
        <v>42</v>
      </c>
      <c r="CO13" t="e">
        <f t="shared" si="13"/>
        <v>#DIV/0!</v>
      </c>
      <c r="CP13" t="e">
        <f t="shared" si="14"/>
        <v>#DIV/0!</v>
      </c>
      <c r="CQ13" t="e">
        <f t="shared" si="15"/>
        <v>#DIV/0!</v>
      </c>
      <c r="CR13" t="e">
        <f t="shared" si="16"/>
        <v>#DIV/0!</v>
      </c>
      <c r="CS13" t="e">
        <f t="shared" si="17"/>
        <v>#DIV/0!</v>
      </c>
      <c r="CT13" t="e">
        <f t="shared" si="18"/>
        <v>#DIV/0!</v>
      </c>
      <c r="CU13" t="e">
        <f t="shared" si="19"/>
        <v>#DIV/0!</v>
      </c>
      <c r="CV13" t="e">
        <f t="shared" si="20"/>
        <v>#DIV/0!</v>
      </c>
      <c r="CW13" t="e">
        <f t="shared" si="21"/>
        <v>#DIV/0!</v>
      </c>
      <c r="CX13" t="e">
        <f t="shared" si="22"/>
        <v>#DIV/0!</v>
      </c>
      <c r="CY13" t="e">
        <f t="shared" si="23"/>
        <v>#DIV/0!</v>
      </c>
      <c r="CZ13" t="e">
        <f t="shared" si="24"/>
        <v>#N/A</v>
      </c>
      <c r="DA13" t="e">
        <f t="shared" si="25"/>
        <v>#N/A</v>
      </c>
      <c r="DB13" t="e">
        <f t="shared" si="26"/>
        <v>#N/A</v>
      </c>
      <c r="DC13" t="e">
        <f t="shared" si="27"/>
        <v>#N/A</v>
      </c>
      <c r="DD13" t="e">
        <f t="shared" si="28"/>
        <v>#N/A</v>
      </c>
    </row>
    <row r="14" spans="1:108" ht="20" customHeight="1" x14ac:dyDescent="0.2">
      <c r="A14" s="7" t="s">
        <v>9</v>
      </c>
      <c r="B14" s="14">
        <v>48</v>
      </c>
      <c r="C14" s="14">
        <v>70</v>
      </c>
      <c r="D14" s="14">
        <v>53</v>
      </c>
      <c r="E14" s="14">
        <v>50</v>
      </c>
      <c r="F14" s="14">
        <v>34</v>
      </c>
      <c r="G14" s="14">
        <v>39</v>
      </c>
      <c r="H14" s="14">
        <v>71</v>
      </c>
      <c r="I14" s="14">
        <v>34</v>
      </c>
      <c r="J14" s="14">
        <v>56</v>
      </c>
      <c r="K14" s="14">
        <v>103</v>
      </c>
      <c r="L14" s="14">
        <v>38</v>
      </c>
      <c r="M14" s="14">
        <v>32</v>
      </c>
      <c r="N14" s="14">
        <v>19</v>
      </c>
      <c r="O14" s="14">
        <v>22</v>
      </c>
      <c r="P14" s="14">
        <v>19</v>
      </c>
      <c r="Q14" s="14">
        <v>35</v>
      </c>
      <c r="R14" s="14">
        <v>18</v>
      </c>
      <c r="S14" s="14"/>
      <c r="T14" s="14"/>
      <c r="U14" s="15">
        <v>0</v>
      </c>
      <c r="V14" s="15"/>
      <c r="W14" s="15">
        <v>25</v>
      </c>
      <c r="X14" s="15">
        <v>36</v>
      </c>
      <c r="Y14" s="15">
        <v>61</v>
      </c>
      <c r="Z14" s="15">
        <v>32</v>
      </c>
      <c r="AA14" s="15">
        <v>39</v>
      </c>
      <c r="AB14" s="15">
        <v>65</v>
      </c>
      <c r="AC14" s="15">
        <v>37</v>
      </c>
      <c r="AD14" s="111">
        <v>49</v>
      </c>
      <c r="AE14" s="124">
        <v>55</v>
      </c>
      <c r="AF14" s="124">
        <v>55</v>
      </c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 t="shared" si="1"/>
        <v>55.8</v>
      </c>
      <c r="BK14">
        <f t="shared" si="0"/>
        <v>54.8</v>
      </c>
      <c r="BL14">
        <f t="shared" si="2"/>
        <v>51</v>
      </c>
      <c r="BM14">
        <f t="shared" si="0"/>
        <v>47.6</v>
      </c>
      <c r="BN14">
        <f t="shared" si="0"/>
        <v>44.8</v>
      </c>
      <c r="BO14">
        <f t="shared" si="0"/>
        <v>43.3</v>
      </c>
      <c r="BP14">
        <f t="shared" si="0"/>
        <v>42.9</v>
      </c>
      <c r="BQ14">
        <f t="shared" si="0"/>
        <v>37.6</v>
      </c>
      <c r="BR14">
        <f t="shared" si="3"/>
        <v>38</v>
      </c>
      <c r="BS14">
        <f t="shared" si="3"/>
        <v>35.75</v>
      </c>
      <c r="BT14">
        <f t="shared" si="0"/>
        <v>22.875</v>
      </c>
      <c r="BU14">
        <f t="shared" si="0"/>
        <v>20.714285714285715</v>
      </c>
      <c r="BV14">
        <f t="shared" si="0"/>
        <v>19.714285714285715</v>
      </c>
      <c r="BW14">
        <f t="shared" si="0"/>
        <v>22.142857142857142</v>
      </c>
      <c r="BX14">
        <f t="shared" si="0"/>
        <v>27.714285714285715</v>
      </c>
      <c r="BY14">
        <f t="shared" si="0"/>
        <v>29.571428571428573</v>
      </c>
      <c r="BZ14">
        <f t="shared" si="0"/>
        <v>30.142857142857142</v>
      </c>
      <c r="CA14">
        <f t="shared" si="0"/>
        <v>36.857142857142854</v>
      </c>
      <c r="CB14">
        <f t="shared" si="0"/>
        <v>36.875</v>
      </c>
      <c r="CC14">
        <f t="shared" si="0"/>
        <v>38.222222222222221</v>
      </c>
      <c r="CD14">
        <f t="shared" si="0"/>
        <v>44.333333333333336</v>
      </c>
      <c r="CE14">
        <f t="shared" si="0"/>
        <v>45.4</v>
      </c>
      <c r="CF14">
        <f t="shared" si="4"/>
        <v>47.666666666666664</v>
      </c>
      <c r="CG14">
        <f t="shared" si="5"/>
        <v>49.125</v>
      </c>
      <c r="CH14">
        <f t="shared" si="6"/>
        <v>47.428571428571431</v>
      </c>
      <c r="CI14">
        <f t="shared" si="7"/>
        <v>50</v>
      </c>
      <c r="CJ14">
        <f t="shared" si="8"/>
        <v>52.2</v>
      </c>
      <c r="CK14">
        <f t="shared" si="9"/>
        <v>49</v>
      </c>
      <c r="CL14">
        <f t="shared" si="10"/>
        <v>53</v>
      </c>
      <c r="CM14">
        <f t="shared" si="11"/>
        <v>55</v>
      </c>
      <c r="CN14">
        <f t="shared" si="12"/>
        <v>55</v>
      </c>
      <c r="CO14" t="e">
        <f t="shared" si="13"/>
        <v>#DIV/0!</v>
      </c>
      <c r="CP14" t="e">
        <f t="shared" si="14"/>
        <v>#DIV/0!</v>
      </c>
      <c r="CQ14" t="e">
        <f t="shared" si="15"/>
        <v>#DIV/0!</v>
      </c>
      <c r="CR14" t="e">
        <f t="shared" si="16"/>
        <v>#DIV/0!</v>
      </c>
      <c r="CS14" t="e">
        <f t="shared" si="17"/>
        <v>#DIV/0!</v>
      </c>
      <c r="CT14" t="e">
        <f t="shared" si="18"/>
        <v>#DIV/0!</v>
      </c>
      <c r="CU14" t="e">
        <f t="shared" si="19"/>
        <v>#DIV/0!</v>
      </c>
      <c r="CV14" t="e">
        <f t="shared" si="20"/>
        <v>#DIV/0!</v>
      </c>
      <c r="CW14" t="e">
        <f t="shared" si="21"/>
        <v>#DIV/0!</v>
      </c>
      <c r="CX14" t="e">
        <f t="shared" si="22"/>
        <v>#DIV/0!</v>
      </c>
      <c r="CY14" t="e">
        <f t="shared" si="23"/>
        <v>#DIV/0!</v>
      </c>
      <c r="CZ14" t="e">
        <f t="shared" si="24"/>
        <v>#N/A</v>
      </c>
      <c r="DA14" t="e">
        <f t="shared" si="25"/>
        <v>#N/A</v>
      </c>
      <c r="DB14" t="e">
        <f t="shared" si="26"/>
        <v>#N/A</v>
      </c>
      <c r="DC14" t="e">
        <f t="shared" si="27"/>
        <v>#N/A</v>
      </c>
      <c r="DD14" t="e">
        <f t="shared" si="28"/>
        <v>#N/A</v>
      </c>
    </row>
    <row r="15" spans="1:108" s="10" customFormat="1" ht="20" customHeight="1" x14ac:dyDescent="0.2">
      <c r="A15" s="9" t="s">
        <v>10</v>
      </c>
      <c r="B15" s="16">
        <v>33</v>
      </c>
      <c r="C15" s="16">
        <v>31</v>
      </c>
      <c r="D15" s="16">
        <v>12</v>
      </c>
      <c r="E15" s="16">
        <v>16</v>
      </c>
      <c r="F15" s="16">
        <v>28</v>
      </c>
      <c r="G15" s="16">
        <v>14</v>
      </c>
      <c r="H15" s="16">
        <v>10</v>
      </c>
      <c r="I15" s="16">
        <v>47</v>
      </c>
      <c r="J15" s="16">
        <v>24</v>
      </c>
      <c r="K15" s="16">
        <v>70</v>
      </c>
      <c r="L15" s="16">
        <v>28</v>
      </c>
      <c r="M15" s="16">
        <v>35</v>
      </c>
      <c r="N15" s="16">
        <v>22</v>
      </c>
      <c r="O15" s="16">
        <v>13</v>
      </c>
      <c r="P15" s="16">
        <v>8</v>
      </c>
      <c r="Q15" s="16">
        <v>11</v>
      </c>
      <c r="R15" s="16">
        <v>14</v>
      </c>
      <c r="S15" s="16"/>
      <c r="T15" s="16"/>
      <c r="U15" s="17">
        <v>9</v>
      </c>
      <c r="V15" s="17"/>
      <c r="W15" s="17">
        <v>19</v>
      </c>
      <c r="X15" s="17">
        <v>37</v>
      </c>
      <c r="Y15" s="17">
        <v>17</v>
      </c>
      <c r="Z15" s="17">
        <v>16</v>
      </c>
      <c r="AA15" s="17">
        <v>18</v>
      </c>
      <c r="AB15" s="17">
        <v>14</v>
      </c>
      <c r="AC15" s="17">
        <v>4</v>
      </c>
      <c r="AD15" s="112">
        <v>22</v>
      </c>
      <c r="AE15" s="10">
        <v>39</v>
      </c>
      <c r="AF15" s="10">
        <v>17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si="1"/>
        <v>28.5</v>
      </c>
      <c r="BK15">
        <f t="shared" si="0"/>
        <v>28</v>
      </c>
      <c r="BL15">
        <f t="shared" si="2"/>
        <v>28.4</v>
      </c>
      <c r="BM15">
        <f t="shared" si="0"/>
        <v>29.4</v>
      </c>
      <c r="BN15">
        <f t="shared" si="0"/>
        <v>29.1</v>
      </c>
      <c r="BO15">
        <f t="shared" si="0"/>
        <v>27.1</v>
      </c>
      <c r="BP15">
        <f t="shared" si="0"/>
        <v>26.8</v>
      </c>
      <c r="BQ15">
        <f t="shared" si="0"/>
        <v>27.2</v>
      </c>
      <c r="BR15">
        <f t="shared" si="3"/>
        <v>25</v>
      </c>
      <c r="BS15">
        <f t="shared" si="3"/>
        <v>25.125</v>
      </c>
      <c r="BT15">
        <f t="shared" si="0"/>
        <v>17.5</v>
      </c>
      <c r="BU15">
        <f t="shared" si="0"/>
        <v>16</v>
      </c>
      <c r="BV15">
        <f t="shared" si="0"/>
        <v>13.714285714285714</v>
      </c>
      <c r="BW15">
        <f t="shared" si="0"/>
        <v>15.857142857142858</v>
      </c>
      <c r="BX15">
        <f t="shared" si="0"/>
        <v>16.428571428571427</v>
      </c>
      <c r="BY15">
        <f t="shared" si="0"/>
        <v>17.571428571428573</v>
      </c>
      <c r="BZ15">
        <f t="shared" si="0"/>
        <v>18.571428571428573</v>
      </c>
      <c r="CA15">
        <f t="shared" si="0"/>
        <v>18.571428571428573</v>
      </c>
      <c r="CB15">
        <f t="shared" si="0"/>
        <v>16.75</v>
      </c>
      <c r="CC15">
        <f t="shared" si="0"/>
        <v>17.333333333333332</v>
      </c>
      <c r="CD15">
        <f t="shared" si="0"/>
        <v>20.666666666666668</v>
      </c>
      <c r="CE15">
        <f t="shared" si="0"/>
        <v>20.3</v>
      </c>
      <c r="CF15">
        <f t="shared" si="4"/>
        <v>20.444444444444443</v>
      </c>
      <c r="CG15">
        <f t="shared" si="5"/>
        <v>18.375</v>
      </c>
      <c r="CH15">
        <f t="shared" si="6"/>
        <v>18.571428571428573</v>
      </c>
      <c r="CI15">
        <f t="shared" si="7"/>
        <v>19</v>
      </c>
      <c r="CJ15">
        <f t="shared" si="8"/>
        <v>19.2</v>
      </c>
      <c r="CK15">
        <f t="shared" si="9"/>
        <v>20.5</v>
      </c>
      <c r="CL15">
        <f t="shared" si="10"/>
        <v>26</v>
      </c>
      <c r="CM15">
        <f t="shared" si="11"/>
        <v>28</v>
      </c>
      <c r="CN15">
        <f t="shared" si="12"/>
        <v>17</v>
      </c>
      <c r="CO15" t="e">
        <f t="shared" si="13"/>
        <v>#DIV/0!</v>
      </c>
      <c r="CP15" t="e">
        <f t="shared" si="14"/>
        <v>#DIV/0!</v>
      </c>
      <c r="CQ15" t="e">
        <f t="shared" si="15"/>
        <v>#DIV/0!</v>
      </c>
      <c r="CR15" t="e">
        <f t="shared" si="16"/>
        <v>#DIV/0!</v>
      </c>
      <c r="CS15" t="e">
        <f t="shared" si="17"/>
        <v>#DIV/0!</v>
      </c>
      <c r="CT15" t="e">
        <f t="shared" si="18"/>
        <v>#DIV/0!</v>
      </c>
      <c r="CU15" t="e">
        <f t="shared" si="19"/>
        <v>#DIV/0!</v>
      </c>
      <c r="CV15" t="e">
        <f t="shared" si="20"/>
        <v>#DIV/0!</v>
      </c>
      <c r="CW15" t="e">
        <f t="shared" si="21"/>
        <v>#DIV/0!</v>
      </c>
      <c r="CX15" t="e">
        <f t="shared" si="22"/>
        <v>#DIV/0!</v>
      </c>
      <c r="CY15" t="e">
        <f t="shared" si="23"/>
        <v>#DIV/0!</v>
      </c>
      <c r="CZ15" t="e">
        <f t="shared" si="24"/>
        <v>#N/A</v>
      </c>
      <c r="DA15" t="e">
        <f t="shared" si="25"/>
        <v>#N/A</v>
      </c>
      <c r="DB15" t="e">
        <f t="shared" si="26"/>
        <v>#N/A</v>
      </c>
      <c r="DC15" t="e">
        <f t="shared" si="27"/>
        <v>#N/A</v>
      </c>
      <c r="DD15" t="e">
        <f t="shared" si="28"/>
        <v>#N/A</v>
      </c>
    </row>
    <row r="16" spans="1:108" ht="20" customHeight="1" x14ac:dyDescent="0.2">
      <c r="A16" s="7" t="s">
        <v>11</v>
      </c>
      <c r="B16" s="14">
        <v>7</v>
      </c>
      <c r="C16" s="14">
        <v>24</v>
      </c>
      <c r="D16" s="14">
        <v>2</v>
      </c>
      <c r="E16" s="14">
        <v>14</v>
      </c>
      <c r="F16" s="14">
        <v>90</v>
      </c>
      <c r="G16" s="14">
        <v>5</v>
      </c>
      <c r="H16" s="14">
        <v>7</v>
      </c>
      <c r="I16" s="14">
        <v>21</v>
      </c>
      <c r="J16" s="14">
        <v>21</v>
      </c>
      <c r="K16" s="14">
        <v>26</v>
      </c>
      <c r="L16" s="14">
        <v>15</v>
      </c>
      <c r="M16" s="14">
        <v>17</v>
      </c>
      <c r="N16" s="14">
        <v>9</v>
      </c>
      <c r="O16" s="14">
        <v>6</v>
      </c>
      <c r="P16" s="14">
        <v>18</v>
      </c>
      <c r="Q16" s="14">
        <v>9</v>
      </c>
      <c r="R16" s="14">
        <v>12</v>
      </c>
      <c r="S16" s="14"/>
      <c r="T16" s="14"/>
      <c r="U16" s="15">
        <v>2</v>
      </c>
      <c r="V16" s="15"/>
      <c r="W16" s="15">
        <v>12</v>
      </c>
      <c r="X16" s="15">
        <v>15</v>
      </c>
      <c r="Y16" s="15">
        <v>7</v>
      </c>
      <c r="Z16" s="15">
        <v>20</v>
      </c>
      <c r="AA16" s="15">
        <v>12</v>
      </c>
      <c r="AB16" s="15">
        <v>8</v>
      </c>
      <c r="AC16" s="15">
        <v>12</v>
      </c>
      <c r="AD16" s="111">
        <v>10</v>
      </c>
      <c r="AE16" s="124">
        <v>4</v>
      </c>
      <c r="AF16" s="124">
        <v>16</v>
      </c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1"/>
        <v>21.7</v>
      </c>
      <c r="BK16">
        <f t="shared" si="0"/>
        <v>22.5</v>
      </c>
      <c r="BL16">
        <f t="shared" si="2"/>
        <v>21.8</v>
      </c>
      <c r="BM16">
        <f t="shared" si="0"/>
        <v>22.5</v>
      </c>
      <c r="BN16">
        <f t="shared" si="0"/>
        <v>21.7</v>
      </c>
      <c r="BO16">
        <f t="shared" si="0"/>
        <v>14.5</v>
      </c>
      <c r="BP16">
        <f t="shared" si="0"/>
        <v>14.9</v>
      </c>
      <c r="BQ16">
        <f t="shared" si="0"/>
        <v>15.4</v>
      </c>
      <c r="BR16">
        <f t="shared" si="3"/>
        <v>14.777777777777779</v>
      </c>
      <c r="BS16">
        <f t="shared" si="3"/>
        <v>14</v>
      </c>
      <c r="BT16">
        <f t="shared" si="0"/>
        <v>11</v>
      </c>
      <c r="BU16">
        <f t="shared" si="0"/>
        <v>10.428571428571429</v>
      </c>
      <c r="BV16">
        <f t="shared" si="0"/>
        <v>9.7142857142857135</v>
      </c>
      <c r="BW16">
        <f t="shared" si="0"/>
        <v>10.571428571428571</v>
      </c>
      <c r="BX16">
        <f t="shared" si="0"/>
        <v>10.714285714285714</v>
      </c>
      <c r="BY16">
        <f t="shared" si="0"/>
        <v>11</v>
      </c>
      <c r="BZ16">
        <f t="shared" si="0"/>
        <v>11.428571428571429</v>
      </c>
      <c r="CA16">
        <f t="shared" si="0"/>
        <v>10.857142857142858</v>
      </c>
      <c r="CB16">
        <f t="shared" si="0"/>
        <v>11</v>
      </c>
      <c r="CC16">
        <f t="shared" si="0"/>
        <v>10.888888888888889</v>
      </c>
      <c r="CD16">
        <f t="shared" si="0"/>
        <v>11.111111111111111</v>
      </c>
      <c r="CE16">
        <f t="shared" si="0"/>
        <v>11.6</v>
      </c>
      <c r="CF16">
        <f t="shared" si="4"/>
        <v>11.555555555555555</v>
      </c>
      <c r="CG16">
        <f t="shared" si="5"/>
        <v>11.125</v>
      </c>
      <c r="CH16">
        <f t="shared" si="6"/>
        <v>11.714285714285714</v>
      </c>
      <c r="CI16">
        <f t="shared" si="7"/>
        <v>10.333333333333334</v>
      </c>
      <c r="CJ16">
        <f t="shared" si="8"/>
        <v>10</v>
      </c>
      <c r="CK16">
        <f t="shared" si="9"/>
        <v>10.5</v>
      </c>
      <c r="CL16">
        <f t="shared" si="10"/>
        <v>10</v>
      </c>
      <c r="CM16">
        <f t="shared" si="11"/>
        <v>10</v>
      </c>
      <c r="CN16">
        <f t="shared" si="12"/>
        <v>16</v>
      </c>
      <c r="CO16" t="e">
        <f t="shared" si="13"/>
        <v>#DIV/0!</v>
      </c>
      <c r="CP16" t="e">
        <f t="shared" si="14"/>
        <v>#DIV/0!</v>
      </c>
      <c r="CQ16" t="e">
        <f t="shared" si="15"/>
        <v>#DIV/0!</v>
      </c>
      <c r="CR16" t="e">
        <f t="shared" si="16"/>
        <v>#DIV/0!</v>
      </c>
      <c r="CS16" t="e">
        <f t="shared" si="17"/>
        <v>#DIV/0!</v>
      </c>
      <c r="CT16" t="e">
        <f t="shared" si="18"/>
        <v>#DIV/0!</v>
      </c>
      <c r="CU16" t="e">
        <f t="shared" si="19"/>
        <v>#DIV/0!</v>
      </c>
      <c r="CV16" t="e">
        <f t="shared" si="20"/>
        <v>#DIV/0!</v>
      </c>
      <c r="CW16" t="e">
        <f t="shared" si="21"/>
        <v>#DIV/0!</v>
      </c>
      <c r="CX16" t="e">
        <f t="shared" si="22"/>
        <v>#DIV/0!</v>
      </c>
      <c r="CY16" t="e">
        <f t="shared" si="23"/>
        <v>#DIV/0!</v>
      </c>
      <c r="CZ16" t="e">
        <f t="shared" si="24"/>
        <v>#N/A</v>
      </c>
      <c r="DA16" t="e">
        <f t="shared" si="25"/>
        <v>#N/A</v>
      </c>
      <c r="DB16" t="e">
        <f t="shared" si="26"/>
        <v>#N/A</v>
      </c>
      <c r="DC16" t="e">
        <f t="shared" si="27"/>
        <v>#N/A</v>
      </c>
      <c r="DD16" t="e">
        <f t="shared" si="28"/>
        <v>#N/A</v>
      </c>
    </row>
    <row r="17" spans="1:80" s="121" customFormat="1" ht="20" customHeight="1" x14ac:dyDescent="0.2">
      <c r="A17" s="115"/>
      <c r="B17" s="116"/>
      <c r="C17" s="116"/>
      <c r="D17" s="116"/>
      <c r="E17" s="116"/>
      <c r="F17" s="116"/>
      <c r="G17" s="116"/>
      <c r="H17" s="116"/>
      <c r="I17" s="117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9"/>
      <c r="V17" s="119"/>
      <c r="W17" s="119"/>
      <c r="X17" s="119"/>
      <c r="Y17" s="119"/>
      <c r="Z17" s="119"/>
      <c r="AA17" s="119"/>
      <c r="AB17" s="119"/>
      <c r="AC17" s="119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80" s="25" customFormat="1" ht="20" customHeight="1" x14ac:dyDescent="0.2">
      <c r="A18" s="21" t="s">
        <v>32</v>
      </c>
      <c r="B18" s="22">
        <f>SUM(B5:B16)</f>
        <v>511</v>
      </c>
      <c r="C18" s="22">
        <f t="shared" ref="C18:AZ18" si="29">SUM(C5:C16)</f>
        <v>423</v>
      </c>
      <c r="D18" s="22">
        <f t="shared" si="29"/>
        <v>592</v>
      </c>
      <c r="E18" s="22">
        <f t="shared" si="29"/>
        <v>746</v>
      </c>
      <c r="F18" s="22">
        <f t="shared" si="29"/>
        <v>685</v>
      </c>
      <c r="G18" s="22">
        <f t="shared" si="29"/>
        <v>534</v>
      </c>
      <c r="H18" s="22">
        <f t="shared" si="29"/>
        <v>565</v>
      </c>
      <c r="I18" s="22">
        <f t="shared" si="29"/>
        <v>560</v>
      </c>
      <c r="J18" s="22">
        <f t="shared" si="29"/>
        <v>543</v>
      </c>
      <c r="K18" s="22">
        <f t="shared" si="29"/>
        <v>771</v>
      </c>
      <c r="L18" s="22">
        <f t="shared" si="29"/>
        <v>536</v>
      </c>
      <c r="M18" s="22">
        <f t="shared" si="29"/>
        <v>360</v>
      </c>
      <c r="N18" s="22">
        <f t="shared" si="29"/>
        <v>300</v>
      </c>
      <c r="O18" s="22">
        <f t="shared" si="29"/>
        <v>321</v>
      </c>
      <c r="P18" s="22">
        <f t="shared" si="29"/>
        <v>371</v>
      </c>
      <c r="Q18" s="22">
        <f t="shared" si="29"/>
        <v>252</v>
      </c>
      <c r="R18" s="22">
        <f t="shared" si="29"/>
        <v>331</v>
      </c>
      <c r="S18" s="22">
        <f t="shared" si="29"/>
        <v>0</v>
      </c>
      <c r="T18" s="22">
        <f t="shared" si="29"/>
        <v>0</v>
      </c>
      <c r="U18" s="22">
        <f t="shared" si="29"/>
        <v>189</v>
      </c>
      <c r="V18" s="22">
        <f t="shared" si="29"/>
        <v>0</v>
      </c>
      <c r="W18" s="22">
        <f t="shared" si="29"/>
        <v>256</v>
      </c>
      <c r="X18" s="22">
        <f t="shared" si="29"/>
        <v>327</v>
      </c>
      <c r="Y18" s="22">
        <f t="shared" si="29"/>
        <v>398</v>
      </c>
      <c r="Z18" s="22">
        <f t="shared" si="29"/>
        <v>306</v>
      </c>
      <c r="AA18" s="22">
        <f t="shared" si="29"/>
        <v>342</v>
      </c>
      <c r="AB18" s="22">
        <f t="shared" si="29"/>
        <v>284</v>
      </c>
      <c r="AC18" s="22">
        <f t="shared" si="29"/>
        <v>255</v>
      </c>
      <c r="AD18" s="22">
        <f t="shared" si="29"/>
        <v>351</v>
      </c>
      <c r="AE18" s="22">
        <f t="shared" si="29"/>
        <v>595</v>
      </c>
      <c r="AF18" s="22">
        <f t="shared" si="29"/>
        <v>442</v>
      </c>
      <c r="AG18" s="22">
        <f t="shared" si="29"/>
        <v>0</v>
      </c>
      <c r="AH18" s="22">
        <f t="shared" si="29"/>
        <v>0</v>
      </c>
      <c r="AI18" s="22">
        <f t="shared" si="29"/>
        <v>0</v>
      </c>
      <c r="AJ18" s="22">
        <f t="shared" si="29"/>
        <v>0</v>
      </c>
      <c r="AK18" s="22">
        <f t="shared" si="29"/>
        <v>0</v>
      </c>
      <c r="AL18" s="22">
        <f t="shared" si="29"/>
        <v>0</v>
      </c>
      <c r="AM18" s="22">
        <f t="shared" si="29"/>
        <v>0</v>
      </c>
      <c r="AN18" s="22">
        <f t="shared" si="29"/>
        <v>0</v>
      </c>
      <c r="AO18" s="22">
        <f t="shared" si="29"/>
        <v>0</v>
      </c>
      <c r="AP18" s="22">
        <f t="shared" si="29"/>
        <v>0</v>
      </c>
      <c r="AQ18" s="22">
        <f t="shared" si="29"/>
        <v>0</v>
      </c>
      <c r="AR18" s="22">
        <f t="shared" si="29"/>
        <v>0</v>
      </c>
      <c r="AS18" s="22">
        <f t="shared" si="29"/>
        <v>0</v>
      </c>
      <c r="AT18" s="22">
        <f t="shared" si="29"/>
        <v>0</v>
      </c>
      <c r="AU18" s="22">
        <f t="shared" si="29"/>
        <v>0</v>
      </c>
      <c r="AV18" s="22">
        <f t="shared" si="29"/>
        <v>0</v>
      </c>
      <c r="AW18" s="22">
        <f t="shared" si="29"/>
        <v>0</v>
      </c>
      <c r="AX18" s="22">
        <f t="shared" si="29"/>
        <v>0</v>
      </c>
      <c r="AY18" s="22">
        <f t="shared" si="29"/>
        <v>0</v>
      </c>
      <c r="AZ18" s="22">
        <f t="shared" si="29"/>
        <v>0</v>
      </c>
      <c r="BA18" s="24"/>
      <c r="BY18" s="25">
        <f>AVERAGE(Q18:Z18)</f>
        <v>205.9</v>
      </c>
      <c r="BZ18" s="25">
        <f>AVERAGE(R18:AA18)</f>
        <v>214.9</v>
      </c>
      <c r="CA18" s="25">
        <f>AVERAGE(S18:AB18)</f>
        <v>210.2</v>
      </c>
      <c r="CB18" s="25">
        <f>AVERAGE(T18:AC18)</f>
        <v>235.7</v>
      </c>
    </row>
    <row r="19" spans="1:80" ht="20" customHeight="1" x14ac:dyDescent="0.2"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</row>
    <row r="20" spans="1:80" ht="20" customHeight="1" x14ac:dyDescent="0.2"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spans="1:80" ht="20" customHeight="1" x14ac:dyDescent="0.2"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spans="1:80" ht="20" customHeight="1" x14ac:dyDescent="0.2">
      <c r="A22" s="1"/>
      <c r="B22" s="1"/>
      <c r="C22" s="1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spans="1:80" ht="20" customHeight="1" x14ac:dyDescent="0.2">
      <c r="A23" s="1"/>
      <c r="B23" s="1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spans="1:80" ht="20" customHeight="1" x14ac:dyDescent="0.2">
      <c r="F24" s="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spans="1:80" ht="20" customHeight="1" x14ac:dyDescent="0.2"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spans="1:80" ht="20" customHeight="1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spans="1:80" ht="20" customHeight="1" x14ac:dyDescent="0.2"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spans="1:80" ht="20" customHeight="1" x14ac:dyDescent="0.2">
      <c r="A28" s="1"/>
      <c r="B28" s="1"/>
      <c r="C28" s="1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spans="1:80" ht="20" customHeight="1" x14ac:dyDescent="0.2">
      <c r="A29" s="1"/>
      <c r="B29" s="1"/>
      <c r="C29" s="1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spans="1:80" ht="20" customHeight="1" x14ac:dyDescent="0.2">
      <c r="A30" s="1"/>
      <c r="B30" s="1"/>
      <c r="C30" s="1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spans="1:80" ht="20" customHeight="1" x14ac:dyDescent="0.2">
      <c r="A31" s="1"/>
      <c r="B31" s="1"/>
      <c r="C31" s="1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  <row r="32" spans="1:80" ht="20" customHeight="1" x14ac:dyDescent="0.2">
      <c r="A32" s="1"/>
      <c r="B32" s="1"/>
      <c r="C32" s="1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</row>
    <row r="33" spans="1:56" ht="20" customHeight="1" x14ac:dyDescent="0.2">
      <c r="A33" s="1"/>
      <c r="B33" s="1"/>
      <c r="C33" s="1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</row>
    <row r="34" spans="1:56" ht="20" customHeight="1" x14ac:dyDescent="0.2">
      <c r="A34" s="1"/>
      <c r="B34" s="1"/>
      <c r="C34" s="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</row>
    <row r="35" spans="1:56" ht="20" customHeight="1" x14ac:dyDescent="0.2">
      <c r="A35" s="1"/>
      <c r="B35" s="1"/>
      <c r="C35" s="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</row>
    <row r="36" spans="1:56" ht="20" customHeight="1" x14ac:dyDescent="0.2">
      <c r="A36" s="1"/>
      <c r="B36" s="1"/>
      <c r="C36" s="1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</row>
    <row r="37" spans="1:56" ht="20" customHeight="1" x14ac:dyDescent="0.2">
      <c r="A37" s="1"/>
      <c r="B37" s="1"/>
      <c r="C37" s="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</row>
    <row r="38" spans="1:56" ht="20" customHeight="1" x14ac:dyDescent="0.2">
      <c r="A38" s="1"/>
      <c r="B38" s="1"/>
      <c r="C38" s="1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</row>
    <row r="39" spans="1:56" ht="20" customHeight="1" x14ac:dyDescent="0.2">
      <c r="A39" s="1"/>
      <c r="B39" s="1"/>
      <c r="C39" s="1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</row>
    <row r="40" spans="1:56" ht="20" customHeight="1" x14ac:dyDescent="0.2">
      <c r="A40" s="1"/>
      <c r="B40" s="1"/>
      <c r="C40" s="1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</row>
    <row r="41" spans="1:56" ht="20" customHeight="1" x14ac:dyDescent="0.2">
      <c r="A41" s="1"/>
      <c r="B41" s="1"/>
      <c r="C41" s="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</row>
    <row r="42" spans="1:56" ht="20" customHeight="1" x14ac:dyDescent="0.2">
      <c r="A42" s="1"/>
      <c r="B42" s="1"/>
      <c r="C42" s="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</row>
    <row r="43" spans="1:56" ht="20" customHeight="1" x14ac:dyDescent="0.2">
      <c r="A43" s="1"/>
      <c r="B43" s="1"/>
      <c r="C43" s="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</row>
    <row r="44" spans="1:56" ht="20" customHeight="1" x14ac:dyDescent="0.2">
      <c r="A44" s="1"/>
      <c r="B44" s="1"/>
      <c r="C44" s="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</row>
    <row r="45" spans="1:56" ht="20" customHeight="1" x14ac:dyDescent="0.2">
      <c r="A45" s="1"/>
      <c r="B45" s="1"/>
      <c r="C45" s="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</row>
    <row r="46" spans="1:56" ht="20" customHeight="1" x14ac:dyDescent="0.2">
      <c r="A46" s="1"/>
      <c r="B46" s="1"/>
      <c r="C46" s="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</row>
    <row r="47" spans="1:56" ht="20" customHeight="1" x14ac:dyDescent="0.2">
      <c r="A47" s="1"/>
      <c r="B47" s="1"/>
      <c r="C47" s="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</row>
    <row r="48" spans="1:56" ht="20" customHeight="1" x14ac:dyDescent="0.2">
      <c r="A48" s="1"/>
      <c r="B48" s="1"/>
      <c r="C48" s="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D48" s="1"/>
    </row>
    <row r="49" spans="1:52" ht="20" customHeight="1" x14ac:dyDescent="0.2">
      <c r="A49" s="1"/>
      <c r="B49" s="1"/>
      <c r="C49" s="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</row>
    <row r="50" spans="1:52" ht="20" customHeight="1" x14ac:dyDescent="0.2">
      <c r="A50" s="1"/>
      <c r="B50" s="1"/>
      <c r="C50" s="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</row>
    <row r="51" spans="1:52" ht="20" customHeight="1" x14ac:dyDescent="0.2">
      <c r="A51" s="1"/>
      <c r="B51" s="1"/>
      <c r="C51" s="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</row>
    <row r="52" spans="1:52" ht="20" customHeight="1" x14ac:dyDescent="0.2">
      <c r="A52" s="1"/>
      <c r="B52" s="1"/>
      <c r="C52" s="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</row>
    <row r="53" spans="1:52" ht="20" customHeight="1" x14ac:dyDescent="0.2">
      <c r="A53" s="1"/>
      <c r="B53" s="1"/>
      <c r="C53" s="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</row>
    <row r="54" spans="1:52" ht="20" customHeight="1" x14ac:dyDescent="0.2">
      <c r="A54" s="1"/>
      <c r="B54" s="1"/>
      <c r="C54" s="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</row>
    <row r="55" spans="1:52" ht="20" customHeight="1" x14ac:dyDescent="0.2">
      <c r="A55" s="1"/>
      <c r="B55" s="1"/>
      <c r="C55" s="1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</row>
    <row r="56" spans="1:52" ht="20" customHeight="1" x14ac:dyDescent="0.2">
      <c r="A56" s="1"/>
      <c r="B56" s="1"/>
      <c r="C56" s="1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</row>
    <row r="57" spans="1:52" ht="20" customHeight="1" x14ac:dyDescent="0.2">
      <c r="A57" s="1"/>
      <c r="B57" s="1"/>
      <c r="C57" s="1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</row>
    <row r="58" spans="1:52" ht="20" customHeight="1" x14ac:dyDescent="0.2">
      <c r="A58" s="1"/>
      <c r="B58" s="1"/>
      <c r="C58" s="1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</row>
    <row r="59" spans="1:52" ht="20" customHeight="1" x14ac:dyDescent="0.2">
      <c r="A59" s="2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</row>
    <row r="60" spans="1:52" ht="20" customHeight="1" x14ac:dyDescent="0.2">
      <c r="A60" s="1"/>
      <c r="B60" s="1"/>
      <c r="C60" s="1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</row>
    <row r="61" spans="1:52" ht="20" customHeight="1" x14ac:dyDescent="0.2">
      <c r="A61" s="8"/>
      <c r="B61" s="1"/>
      <c r="C61" s="1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</row>
    <row r="62" spans="1:52" ht="20" customHeight="1" x14ac:dyDescent="0.2"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</row>
    <row r="63" spans="1:52" ht="20" customHeight="1" x14ac:dyDescent="0.2"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</row>
    <row r="64" spans="1:52" ht="20" customHeight="1" x14ac:dyDescent="0.2"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</row>
    <row r="65" spans="31:52" ht="20" customHeight="1" x14ac:dyDescent="0.2"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</row>
    <row r="66" spans="31:52" ht="20" customHeight="1" x14ac:dyDescent="0.2"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</row>
    <row r="67" spans="31:52" ht="20" customHeight="1" x14ac:dyDescent="0.2"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</row>
    <row r="68" spans="31:52" ht="20" customHeight="1" x14ac:dyDescent="0.2"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</row>
    <row r="69" spans="31:52" ht="20" customHeight="1" x14ac:dyDescent="0.2"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</row>
    <row r="70" spans="31:52" ht="20" customHeight="1" x14ac:dyDescent="0.2"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</row>
    <row r="71" spans="31:52" ht="20" customHeight="1" x14ac:dyDescent="0.2"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</row>
    <row r="72" spans="31:52" ht="20" customHeight="1" x14ac:dyDescent="0.2"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</row>
    <row r="73" spans="31:52" ht="20" customHeight="1" x14ac:dyDescent="0.2"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</row>
    <row r="74" spans="31:52" ht="20" customHeight="1" x14ac:dyDescent="0.2"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</row>
    <row r="75" spans="31:52" ht="20" customHeight="1" x14ac:dyDescent="0.2"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</row>
    <row r="76" spans="31:52" ht="20" customHeight="1" x14ac:dyDescent="0.2"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</row>
    <row r="77" spans="31:52" ht="20" customHeight="1" x14ac:dyDescent="0.2"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</row>
    <row r="78" spans="31:52" ht="20" customHeight="1" x14ac:dyDescent="0.2"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</row>
    <row r="79" spans="31:52" ht="20" customHeight="1" x14ac:dyDescent="0.2"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</row>
    <row r="80" spans="31:52" ht="20" customHeight="1" x14ac:dyDescent="0.2"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</row>
    <row r="81" spans="31:52" ht="20" customHeight="1" x14ac:dyDescent="0.2"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</row>
    <row r="82" spans="31:52" ht="20" customHeight="1" x14ac:dyDescent="0.2"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</row>
    <row r="83" spans="31:52" ht="20" customHeight="1" x14ac:dyDescent="0.2"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</row>
    <row r="84" spans="31:52" ht="20" customHeight="1" x14ac:dyDescent="0.2"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</row>
    <row r="85" spans="31:52" ht="20" customHeight="1" x14ac:dyDescent="0.2"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</row>
    <row r="86" spans="31:52" ht="20" customHeight="1" x14ac:dyDescent="0.2"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</row>
    <row r="87" spans="31:52" ht="20" customHeight="1" x14ac:dyDescent="0.2"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</row>
    <row r="88" spans="31:52" ht="20" customHeight="1" x14ac:dyDescent="0.2"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</row>
    <row r="89" spans="31:52" ht="20" customHeight="1" x14ac:dyDescent="0.2"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</row>
    <row r="90" spans="31:52" ht="20" customHeight="1" x14ac:dyDescent="0.2"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</row>
    <row r="91" spans="31:52" ht="20" customHeight="1" x14ac:dyDescent="0.2"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</row>
    <row r="92" spans="31:52" ht="20" customHeight="1" x14ac:dyDescent="0.2"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</row>
    <row r="93" spans="31:52" ht="20" customHeight="1" x14ac:dyDescent="0.2"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</row>
    <row r="94" spans="31:52" ht="20" customHeight="1" x14ac:dyDescent="0.2"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</row>
    <row r="95" spans="31:52" ht="20" customHeight="1" x14ac:dyDescent="0.2"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</row>
    <row r="96" spans="31:52" ht="20" customHeight="1" x14ac:dyDescent="0.2"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</row>
    <row r="97" spans="31:52" ht="20" customHeight="1" x14ac:dyDescent="0.2"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</row>
    <row r="98" spans="31:52" ht="20" customHeight="1" x14ac:dyDescent="0.2"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</row>
    <row r="99" spans="31:52" ht="20" customHeight="1" x14ac:dyDescent="0.2"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</row>
    <row r="100" spans="31:52" ht="20" customHeight="1" x14ac:dyDescent="0.2"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</row>
    <row r="101" spans="31:52" ht="20" customHeight="1" x14ac:dyDescent="0.2"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</row>
    <row r="102" spans="31:52" ht="20" customHeight="1" x14ac:dyDescent="0.2"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</row>
    <row r="103" spans="31:52" ht="20" customHeight="1" x14ac:dyDescent="0.2"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</row>
    <row r="104" spans="31:52" ht="20" customHeight="1" x14ac:dyDescent="0.2"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</row>
    <row r="105" spans="31:52" ht="20" customHeight="1" x14ac:dyDescent="0.2"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</row>
    <row r="106" spans="31:52" ht="20" customHeight="1" x14ac:dyDescent="0.2"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</row>
    <row r="107" spans="31:52" ht="20" customHeight="1" x14ac:dyDescent="0.2"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</row>
    <row r="108" spans="31:52" ht="20" customHeight="1" x14ac:dyDescent="0.2"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</row>
    <row r="109" spans="31:52" ht="20" customHeight="1" x14ac:dyDescent="0.2"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</row>
    <row r="110" spans="31:52" ht="20" customHeight="1" x14ac:dyDescent="0.2"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</row>
    <row r="111" spans="31:52" ht="20" customHeight="1" x14ac:dyDescent="0.2"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</row>
    <row r="112" spans="31:52" ht="20" customHeight="1" x14ac:dyDescent="0.2"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</row>
    <row r="113" spans="31:52" ht="20" customHeight="1" x14ac:dyDescent="0.2"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</row>
    <row r="114" spans="31:52" ht="20" customHeight="1" x14ac:dyDescent="0.2"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</row>
    <row r="115" spans="31:52" ht="20" customHeight="1" x14ac:dyDescent="0.2"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</row>
    <row r="116" spans="31:52" ht="20" customHeight="1" x14ac:dyDescent="0.2"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</row>
    <row r="117" spans="31:52" ht="20" customHeight="1" x14ac:dyDescent="0.2"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</row>
    <row r="118" spans="31:52" ht="20" customHeight="1" x14ac:dyDescent="0.2"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</row>
    <row r="119" spans="31:52" ht="20" customHeight="1" x14ac:dyDescent="0.2"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</row>
    <row r="120" spans="31:52" ht="20" customHeight="1" x14ac:dyDescent="0.2"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</row>
    <row r="121" spans="31:52" ht="20" customHeight="1" x14ac:dyDescent="0.2"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</row>
    <row r="122" spans="31:52" ht="20" customHeight="1" x14ac:dyDescent="0.2"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</row>
    <row r="123" spans="31:52" ht="20" customHeight="1" x14ac:dyDescent="0.2"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</row>
    <row r="124" spans="31:52" ht="20" customHeight="1" x14ac:dyDescent="0.2"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</row>
    <row r="125" spans="31:52" ht="20" customHeight="1" x14ac:dyDescent="0.2"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</row>
    <row r="126" spans="31:52" ht="20" customHeight="1" x14ac:dyDescent="0.2"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</row>
    <row r="127" spans="31:52" ht="20" customHeight="1" x14ac:dyDescent="0.2"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</row>
    <row r="128" spans="31:52" ht="20" customHeight="1" x14ac:dyDescent="0.2"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</row>
    <row r="129" spans="31:52" ht="20" customHeight="1" x14ac:dyDescent="0.2"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</row>
    <row r="130" spans="31:52" ht="20" customHeight="1" x14ac:dyDescent="0.2"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</row>
    <row r="131" spans="31:52" ht="20" customHeight="1" x14ac:dyDescent="0.2"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</row>
    <row r="132" spans="31:52" ht="20" customHeight="1" x14ac:dyDescent="0.2"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</row>
    <row r="133" spans="31:52" ht="20" customHeight="1" x14ac:dyDescent="0.2"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</row>
    <row r="134" spans="31:52" ht="20" customHeight="1" x14ac:dyDescent="0.2"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</row>
    <row r="135" spans="31:52" ht="20" customHeight="1" x14ac:dyDescent="0.2"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</row>
    <row r="136" spans="31:52" ht="20" customHeight="1" x14ac:dyDescent="0.2"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</row>
    <row r="137" spans="31:52" ht="20" customHeight="1" x14ac:dyDescent="0.2"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</row>
    <row r="138" spans="31:52" ht="20" customHeight="1" x14ac:dyDescent="0.2"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</row>
    <row r="139" spans="31:52" ht="20" customHeight="1" x14ac:dyDescent="0.2"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</row>
    <row r="140" spans="31:52" ht="20" customHeight="1" x14ac:dyDescent="0.2"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</row>
    <row r="141" spans="31:52" ht="20" customHeight="1" x14ac:dyDescent="0.2"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</row>
    <row r="142" spans="31:52" ht="20" customHeight="1" x14ac:dyDescent="0.2"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</row>
    <row r="143" spans="31:52" ht="20" customHeight="1" x14ac:dyDescent="0.2"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</row>
    <row r="144" spans="31:52" ht="20" customHeight="1" x14ac:dyDescent="0.2"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</row>
    <row r="145" spans="31:52" ht="20" customHeight="1" x14ac:dyDescent="0.2"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</row>
    <row r="146" spans="31:52" ht="20" customHeight="1" x14ac:dyDescent="0.2"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</row>
    <row r="147" spans="31:52" ht="20" customHeight="1" x14ac:dyDescent="0.2"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</row>
    <row r="148" spans="31:52" ht="20" customHeight="1" x14ac:dyDescent="0.2"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</row>
    <row r="149" spans="31:52" ht="20" customHeight="1" x14ac:dyDescent="0.2"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</row>
    <row r="150" spans="31:52" ht="20" customHeight="1" x14ac:dyDescent="0.2"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</row>
    <row r="151" spans="31:52" ht="20" customHeight="1" x14ac:dyDescent="0.2"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</row>
    <row r="152" spans="31:52" ht="20" customHeight="1" x14ac:dyDescent="0.2"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</row>
    <row r="153" spans="31:52" ht="20" customHeight="1" x14ac:dyDescent="0.2"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</row>
    <row r="154" spans="31:52" ht="20" customHeight="1" x14ac:dyDescent="0.2"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</row>
    <row r="155" spans="31:52" ht="20" customHeight="1" x14ac:dyDescent="0.2"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</row>
    <row r="156" spans="31:52" ht="20" customHeight="1" x14ac:dyDescent="0.2"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</row>
    <row r="157" spans="31:52" ht="20" customHeight="1" x14ac:dyDescent="0.2"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</row>
    <row r="158" spans="31:52" ht="20" customHeight="1" x14ac:dyDescent="0.2"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</row>
    <row r="159" spans="31:52" ht="20" customHeight="1" x14ac:dyDescent="0.2"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</row>
    <row r="160" spans="31:52" ht="20" customHeight="1" x14ac:dyDescent="0.2"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</row>
    <row r="161" spans="31:52" ht="20" customHeight="1" x14ac:dyDescent="0.2"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</row>
    <row r="162" spans="31:52" ht="20" customHeight="1" x14ac:dyDescent="0.2"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</row>
    <row r="163" spans="31:52" ht="20" customHeight="1" x14ac:dyDescent="0.2"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</row>
    <row r="164" spans="31:52" ht="20" customHeight="1" x14ac:dyDescent="0.2"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</row>
    <row r="165" spans="31:52" ht="20" customHeight="1" x14ac:dyDescent="0.2"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</row>
    <row r="166" spans="31:52" ht="20" customHeight="1" x14ac:dyDescent="0.2"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</row>
    <row r="167" spans="31:52" ht="20" customHeight="1" x14ac:dyDescent="0.2"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</row>
    <row r="168" spans="31:52" ht="20" customHeight="1" x14ac:dyDescent="0.2"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</row>
    <row r="169" spans="31:52" ht="20" customHeight="1" x14ac:dyDescent="0.2"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</row>
    <row r="170" spans="31:52" ht="20" customHeight="1" x14ac:dyDescent="0.2"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</row>
    <row r="171" spans="31:52" ht="20" customHeight="1" x14ac:dyDescent="0.2"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</row>
    <row r="172" spans="31:52" ht="20" customHeight="1" x14ac:dyDescent="0.2"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</row>
    <row r="173" spans="31:52" ht="20" customHeight="1" x14ac:dyDescent="0.2"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</row>
    <row r="174" spans="31:52" ht="20" customHeight="1" x14ac:dyDescent="0.2"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</row>
    <row r="175" spans="31:52" ht="20" customHeight="1" x14ac:dyDescent="0.2"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</row>
    <row r="176" spans="31:52" ht="20" customHeight="1" x14ac:dyDescent="0.2"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</row>
    <row r="177" spans="31:52" ht="20" customHeight="1" x14ac:dyDescent="0.2"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</row>
    <row r="178" spans="31:52" ht="20" customHeight="1" x14ac:dyDescent="0.2"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</row>
    <row r="179" spans="31:52" ht="20" customHeight="1" x14ac:dyDescent="0.2"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</row>
    <row r="180" spans="31:52" ht="20" customHeight="1" x14ac:dyDescent="0.2"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</row>
    <row r="181" spans="31:52" ht="20" customHeight="1" x14ac:dyDescent="0.2"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</row>
    <row r="182" spans="31:52" ht="20" customHeight="1" x14ac:dyDescent="0.2"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</row>
    <row r="183" spans="31:52" ht="20" customHeight="1" x14ac:dyDescent="0.2"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</row>
    <row r="184" spans="31:52" ht="20" customHeight="1" x14ac:dyDescent="0.2"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</row>
    <row r="185" spans="31:52" ht="20" customHeight="1" x14ac:dyDescent="0.2"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</row>
    <row r="186" spans="31:52" ht="20" customHeight="1" x14ac:dyDescent="0.2"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</row>
    <row r="187" spans="31:52" ht="20" customHeight="1" x14ac:dyDescent="0.2"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</row>
    <row r="188" spans="31:52" ht="20" customHeight="1" x14ac:dyDescent="0.2"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</row>
    <row r="189" spans="31:52" ht="20" customHeight="1" x14ac:dyDescent="0.2"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</row>
    <row r="190" spans="31:52" ht="20" customHeight="1" x14ac:dyDescent="0.2"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</row>
    <row r="191" spans="31:52" ht="20" customHeight="1" x14ac:dyDescent="0.2"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</row>
    <row r="192" spans="31:52" ht="20" customHeight="1" x14ac:dyDescent="0.2"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transitionEvaluation="1" codeName="Sheet36">
    <pageSetUpPr fitToPage="1"/>
  </sheetPr>
  <dimension ref="A1:CY1081"/>
  <sheetViews>
    <sheetView defaultGridColor="0" topLeftCell="A6" colorId="22" zoomScale="70" zoomScaleNormal="70" workbookViewId="0">
      <pane xSplit="1" topLeftCell="B1" activePane="topRight" state="frozen"/>
      <selection pane="topRight" activeCell="AI11" sqref="AI11"/>
    </sheetView>
  </sheetViews>
  <sheetFormatPr baseColWidth="10" defaultColWidth="9.42578125" defaultRowHeight="20" customHeight="1" x14ac:dyDescent="0.2"/>
  <cols>
    <col min="1" max="1" width="13.5703125" style="5" customWidth="1"/>
    <col min="2" max="30" width="6.7109375" style="5" customWidth="1"/>
    <col min="31" max="35" width="6.7109375" customWidth="1"/>
    <col min="36" max="36" width="6.28515625" customWidth="1"/>
    <col min="37" max="37" width="6.140625" customWidth="1"/>
    <col min="38" max="38" width="6.42578125" customWidth="1"/>
    <col min="39" max="39" width="8.85546875" customWidth="1"/>
    <col min="40" max="41" width="9.28515625" customWidth="1"/>
    <col min="42" max="42" width="8.28515625" customWidth="1"/>
    <col min="43" max="43" width="7.85546875" customWidth="1"/>
    <col min="44" max="44" width="8.140625" customWidth="1"/>
    <col min="45" max="45" width="7.85546875" customWidth="1"/>
    <col min="46" max="46" width="6.7109375" customWidth="1"/>
    <col min="47" max="47" width="7.7109375" customWidth="1"/>
    <col min="48" max="48" width="6.85546875" customWidth="1"/>
    <col min="49" max="49" width="9" customWidth="1"/>
    <col min="50" max="50" width="7.28515625" customWidth="1"/>
    <col min="51" max="51" width="9.28515625" customWidth="1"/>
    <col min="52" max="52" width="29.140625" customWidth="1"/>
    <col min="53" max="53" width="12" style="5" customWidth="1"/>
    <col min="54" max="71" width="9.42578125" style="5" customWidth="1"/>
    <col min="72" max="72" width="0.28515625" style="5" customWidth="1"/>
    <col min="73" max="73" width="9.5703125" style="5" customWidth="1"/>
    <col min="74" max="74" width="10.28515625" style="5" customWidth="1"/>
    <col min="75" max="75" width="10" style="5" customWidth="1"/>
    <col min="76" max="76" width="7.7109375" style="5" customWidth="1"/>
    <col min="77" max="77" width="7.5703125" style="5" customWidth="1"/>
    <col min="78" max="78" width="8.28515625" style="5" customWidth="1"/>
    <col min="79" max="79" width="7.28515625" style="5" customWidth="1"/>
    <col min="80" max="80" width="11.85546875" style="5" customWidth="1"/>
    <col min="81" max="81" width="8.85546875" style="5" customWidth="1"/>
    <col min="82" max="82" width="9.42578125" style="5"/>
    <col min="83" max="103" width="0" style="5" hidden="1" customWidth="1"/>
    <col min="104" max="16384" width="9.42578125" style="5"/>
  </cols>
  <sheetData>
    <row r="1" spans="1:103" s="34" customFormat="1" ht="39" customHeight="1" x14ac:dyDescent="0.35">
      <c r="A1" s="151" t="s">
        <v>125</v>
      </c>
      <c r="B1" s="153"/>
      <c r="C1" s="153"/>
      <c r="D1" s="153"/>
      <c r="E1" s="15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A1" s="35"/>
      <c r="BE1" s="35"/>
      <c r="BZ1" s="35" t="s">
        <v>87</v>
      </c>
    </row>
    <row r="2" spans="1:103" s="29" customFormat="1" ht="20" customHeight="1" x14ac:dyDescent="0.2">
      <c r="A2" s="26"/>
      <c r="B2" s="27">
        <v>1991</v>
      </c>
      <c r="C2" s="27">
        <v>1992</v>
      </c>
      <c r="D2" s="27">
        <v>1993</v>
      </c>
      <c r="E2" s="27">
        <v>1994</v>
      </c>
      <c r="F2" s="27">
        <v>1995</v>
      </c>
      <c r="G2" s="27">
        <v>1996</v>
      </c>
      <c r="H2" s="27">
        <v>1997</v>
      </c>
      <c r="I2" s="27">
        <v>1998</v>
      </c>
      <c r="J2" s="27">
        <v>1999</v>
      </c>
      <c r="K2" s="27">
        <v>2000</v>
      </c>
      <c r="L2" s="27">
        <v>2001</v>
      </c>
      <c r="M2" s="27">
        <v>2002</v>
      </c>
      <c r="N2" s="27">
        <v>2003</v>
      </c>
      <c r="O2" s="27">
        <v>2004</v>
      </c>
      <c r="P2" s="27">
        <v>2005</v>
      </c>
      <c r="Q2" s="27">
        <v>2006</v>
      </c>
      <c r="R2" s="27">
        <v>2007</v>
      </c>
      <c r="S2" s="27">
        <v>2008</v>
      </c>
      <c r="T2" s="27">
        <v>2009</v>
      </c>
      <c r="U2" s="28">
        <v>2010</v>
      </c>
      <c r="V2" s="28">
        <v>2011</v>
      </c>
      <c r="W2" s="28">
        <v>2012</v>
      </c>
      <c r="X2" s="28">
        <v>2013</v>
      </c>
      <c r="Y2" s="77">
        <v>2014</v>
      </c>
      <c r="Z2" s="28">
        <v>2015</v>
      </c>
      <c r="AA2" s="28">
        <v>2016</v>
      </c>
      <c r="AB2" s="28">
        <v>2017</v>
      </c>
      <c r="AC2" s="77">
        <v>2018</v>
      </c>
      <c r="AD2" s="77">
        <v>2019</v>
      </c>
      <c r="AE2" s="77">
        <v>2020</v>
      </c>
      <c r="AF2" s="28">
        <v>2021</v>
      </c>
      <c r="AG2" s="77">
        <v>2022</v>
      </c>
      <c r="AH2" s="77">
        <v>2023</v>
      </c>
      <c r="AI2" s="77">
        <v>2024</v>
      </c>
      <c r="AJ2" s="28">
        <v>2025</v>
      </c>
      <c r="AK2" s="77">
        <v>2026</v>
      </c>
      <c r="AL2" s="77">
        <v>2027</v>
      </c>
      <c r="AM2" s="77">
        <v>2028</v>
      </c>
      <c r="AN2" s="28">
        <v>2029</v>
      </c>
      <c r="AO2" s="77">
        <v>2030</v>
      </c>
      <c r="AP2" s="77">
        <v>2031</v>
      </c>
      <c r="AQ2" s="77">
        <v>2032</v>
      </c>
      <c r="AR2" s="28">
        <v>2033</v>
      </c>
      <c r="AS2" s="77">
        <v>2034</v>
      </c>
      <c r="AT2" s="77">
        <v>2035</v>
      </c>
      <c r="AU2" s="77">
        <v>2036</v>
      </c>
      <c r="AV2" s="28">
        <v>2037</v>
      </c>
      <c r="AW2" s="77">
        <v>2038</v>
      </c>
      <c r="AX2" s="77">
        <v>2039</v>
      </c>
      <c r="AY2" s="77">
        <v>2040</v>
      </c>
      <c r="AZ2" s="28">
        <v>2041</v>
      </c>
      <c r="BA2" s="38" t="s">
        <v>77</v>
      </c>
      <c r="BB2" s="30"/>
      <c r="BC2" s="30"/>
      <c r="BE2" s="30"/>
      <c r="BF2" s="30"/>
      <c r="BG2" s="30"/>
      <c r="BJ2" s="77">
        <v>2000</v>
      </c>
      <c r="BK2" s="77">
        <v>2001</v>
      </c>
      <c r="BL2" s="77">
        <v>2002</v>
      </c>
      <c r="BM2" s="77">
        <v>2003</v>
      </c>
      <c r="BN2" s="77">
        <v>2004</v>
      </c>
      <c r="BO2" s="77">
        <v>2005</v>
      </c>
      <c r="BP2" s="77">
        <v>2006</v>
      </c>
      <c r="BQ2" s="77">
        <v>2007</v>
      </c>
      <c r="BR2" s="77">
        <v>2008</v>
      </c>
      <c r="BS2" s="77">
        <v>2009</v>
      </c>
      <c r="BT2" s="77">
        <v>2010</v>
      </c>
      <c r="BU2" s="77">
        <v>2011</v>
      </c>
      <c r="BV2" s="77">
        <v>2012</v>
      </c>
      <c r="BW2" s="77">
        <v>2013</v>
      </c>
      <c r="BX2" s="77">
        <v>2014</v>
      </c>
      <c r="BY2" s="77">
        <v>2015</v>
      </c>
      <c r="BZ2" s="77">
        <v>2016</v>
      </c>
      <c r="CA2" s="77">
        <v>2017</v>
      </c>
      <c r="CB2" s="77">
        <v>2018</v>
      </c>
      <c r="CC2" s="77">
        <v>2019</v>
      </c>
      <c r="CD2" s="77">
        <v>2020</v>
      </c>
      <c r="CE2" s="77">
        <v>2021</v>
      </c>
      <c r="CF2" s="77">
        <v>2022</v>
      </c>
      <c r="CG2" s="77">
        <v>2023</v>
      </c>
      <c r="CH2" s="77">
        <v>2024</v>
      </c>
      <c r="CI2" s="77">
        <v>2025</v>
      </c>
      <c r="CJ2" s="77">
        <v>2026</v>
      </c>
      <c r="CK2" s="77">
        <v>2027</v>
      </c>
      <c r="CL2" s="77">
        <v>2028</v>
      </c>
      <c r="CM2" s="77">
        <v>2029</v>
      </c>
      <c r="CN2" s="77">
        <v>2030</v>
      </c>
      <c r="CO2" s="77">
        <v>2031</v>
      </c>
      <c r="CP2" s="77">
        <v>2032</v>
      </c>
      <c r="CQ2" s="77">
        <v>2033</v>
      </c>
      <c r="CR2" s="77">
        <v>2034</v>
      </c>
      <c r="CS2" s="77">
        <v>2035</v>
      </c>
      <c r="CT2" s="77">
        <v>2036</v>
      </c>
      <c r="CU2" s="77">
        <v>2037</v>
      </c>
      <c r="CV2" s="77">
        <v>2038</v>
      </c>
      <c r="CW2" s="77">
        <v>2039</v>
      </c>
      <c r="CX2" s="77">
        <v>2040</v>
      </c>
      <c r="CY2" s="77">
        <v>2041</v>
      </c>
    </row>
    <row r="3" spans="1:103" ht="20" customHeight="1" x14ac:dyDescent="0.2">
      <c r="A3" s="7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15"/>
      <c r="W3" s="15"/>
      <c r="X3" s="15"/>
      <c r="Z3" s="15"/>
      <c r="AA3" s="15"/>
      <c r="AB3" s="15"/>
      <c r="AC3" s="15"/>
      <c r="AD3" s="94"/>
      <c r="AE3" s="15"/>
      <c r="AF3" s="15"/>
      <c r="AG3" s="15"/>
      <c r="AH3" s="94"/>
      <c r="AI3" s="15"/>
      <c r="AJ3" s="94"/>
      <c r="AK3" s="15"/>
      <c r="AL3" s="94"/>
      <c r="AM3" s="15"/>
      <c r="AN3" s="94"/>
      <c r="AO3" s="15"/>
      <c r="AP3" s="94"/>
      <c r="AQ3" s="15"/>
      <c r="AR3" s="94"/>
      <c r="AS3" s="15"/>
      <c r="AT3" s="94"/>
      <c r="AU3" s="15"/>
      <c r="AV3" s="94"/>
      <c r="AW3" s="15"/>
      <c r="AX3" s="94"/>
      <c r="AY3" s="15"/>
      <c r="AZ3" s="94"/>
      <c r="BA3" s="95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</row>
    <row r="4" spans="1:103" s="10" customFormat="1" ht="20" customHeight="1" x14ac:dyDescent="0.2">
      <c r="A4" s="9" t="s">
        <v>0</v>
      </c>
      <c r="B4" s="16">
        <f>SUM('Biscuit Brook'!B5,'Hardenburgh- MH Trail'!B5,'McKenley Hollow'!B5,'Mongaup Pond'!B5,'Rider Hollow'!B5,Seager!B5,Denning!B5,'Fox Hollow'!B5,'Giant Ledge'!B5,Peekamoose!B5,'Slide Mt'!B5,Wittenberg!B5,'Woodland Valley'!B5,'Kelly Hollow'!B5,'Millbrook to BLM FT'!B5,'Beaverkill Road to BLM FT'!B5,'Alder Lake'!B5,'Dry Brook Ridge to Lean-to '!B5,'Neversink Hardenburgh Trail'!B5,Overlook!B5,'Rochester Hollow'!B5,'Onteora Lake'!B5,'Mt Tremper'!B5,'Ashokan HP'!B5,Vernooy!B5,'Red Hill Dinch Road '!B5,Flynn!B5,'Frick Pond'!B5,'Long Pond'!B5)</f>
        <v>863</v>
      </c>
      <c r="C4" s="16">
        <f>SUM('Biscuit Brook'!C5,'Hardenburgh- MH Trail'!C5,'McKenley Hollow'!C5,'Mongaup Pond'!C5,'Rider Hollow'!C5,Seager!C5,Denning!C5,'Fox Hollow'!C5,'Giant Ledge'!C5,Peekamoose!C5,'Slide Mt'!C5,Wittenberg!C5,'Woodland Valley'!C5,'Kelly Hollow'!C5,'Millbrook to BLM FT'!C5,'Beaverkill Road to BLM FT'!C5,'Alder Lake'!C5,'Dry Brook Ridge to Lean-to '!C5,'Neversink Hardenburgh Trail'!C5,Overlook!C5,'Rochester Hollow'!C5,'Onteora Lake'!C5,'Mt Tremper'!C5,'Ashokan HP'!C5,Vernooy!C5,'Red Hill Dinch Road '!C5,Flynn!C5,'Frick Pond'!C5,'Long Pond'!C5)</f>
        <v>1054</v>
      </c>
      <c r="D4" s="16">
        <f>SUM('Biscuit Brook'!D5,'Hardenburgh- MH Trail'!D5,'McKenley Hollow'!D5,'Mongaup Pond'!D5,'Rider Hollow'!D5,Seager!D5,Denning!D5,'Fox Hollow'!D5,'Giant Ledge'!D5,Peekamoose!D5,'Slide Mt'!D5,Wittenberg!D5,'Woodland Valley'!D5,'Kelly Hollow'!D5,'Millbrook to BLM FT'!D5,'Beaverkill Road to BLM FT'!D5,'Alder Lake'!D5,'Dry Brook Ridge to Lean-to '!D5,'Neversink Hardenburgh Trail'!D5,Overlook!D5,'Rochester Hollow'!D5,'Onteora Lake'!D5,'Mt Tremper'!D5,'Ashokan HP'!D5,Vernooy!D5,'Red Hill Dinch Road '!D5,Flynn!D5,'Frick Pond'!D5,'Long Pond'!D5)</f>
        <v>1242</v>
      </c>
      <c r="E4" s="16">
        <f>SUM('Biscuit Brook'!E5,'Hardenburgh- MH Trail'!E5,'McKenley Hollow'!E5,'Mongaup Pond'!E5,'Rider Hollow'!E5,Seager!E5,Denning!E5,'Fox Hollow'!E5,'Giant Ledge'!E5,Peekamoose!E5,'Slide Mt'!E5,Wittenberg!E5,'Woodland Valley'!E5,'Kelly Hollow'!E5,'Millbrook to BLM FT'!E5,'Beaverkill Road to BLM FT'!E5,'Alder Lake'!E5,'Dry Brook Ridge to Lean-to '!E5,'Neversink Hardenburgh Trail'!E5,Overlook!E5,'Rochester Hollow'!E5,'Onteora Lake'!E5,'Mt Tremper'!E5,'Ashokan HP'!E5,Vernooy!E5,'Red Hill Dinch Road '!E5,Flynn!E5,'Frick Pond'!E5,'Long Pond'!E5)</f>
        <v>735</v>
      </c>
      <c r="F4" s="16">
        <f>SUM('Biscuit Brook'!F5,'Hardenburgh- MH Trail'!F5,'McKenley Hollow'!F5,'Mongaup Pond'!F5,'Rider Hollow'!F5,Seager!F5,Denning!F5,'Fox Hollow'!F5,'Giant Ledge'!F5,Peekamoose!F5,'Slide Mt'!F5,Wittenberg!F5,'Woodland Valley'!F5,'Kelly Hollow'!F5,'Millbrook to BLM FT'!F5,'Beaverkill Road to BLM FT'!F5,'Alder Lake'!F5,'Dry Brook Ridge to Lean-to '!F5,'Neversink Hardenburgh Trail'!F5,Overlook!F5,'Rochester Hollow'!F5,'Onteora Lake'!F5,'Mt Tremper'!F5,'Ashokan HP'!F5,Vernooy!F5,'Red Hill Dinch Road '!F5,Flynn!F5,'Frick Pond'!F5,'Long Pond'!F5)</f>
        <v>1410</v>
      </c>
      <c r="G4" s="16">
        <f>SUM('Biscuit Brook'!G5,'Hardenburgh- MH Trail'!G5,'McKenley Hollow'!G5,'Mongaup Pond'!G5,'Rider Hollow'!G5,Seager!G5,Denning!G5,'Fox Hollow'!G5,'Giant Ledge'!G5,Peekamoose!G5,'Slide Mt'!G5,Wittenberg!G5,'Woodland Valley'!G5,'Kelly Hollow'!G5,'Millbrook to BLM FT'!G5,'Beaverkill Road to BLM FT'!G5,'Alder Lake'!G5,'Dry Brook Ridge to Lean-to '!G5,'Neversink Hardenburgh Trail'!G5,Overlook!G5,'Rochester Hollow'!G5,'Onteora Lake'!G5,'Mt Tremper'!G5,'Ashokan HP'!G5,Vernooy!G5,'Red Hill Dinch Road '!G5,Flynn!G5,'Frick Pond'!G5,'Long Pond'!G5)</f>
        <v>477</v>
      </c>
      <c r="H4" s="16">
        <f>SUM('Biscuit Brook'!H5,'Hardenburgh- MH Trail'!H5,'McKenley Hollow'!H5,'Mongaup Pond'!H5,'Rider Hollow'!H5,Seager!H5,Denning!H5,'Fox Hollow'!H5,'Giant Ledge'!H5,Peekamoose!H5,'Slide Mt'!H5,Wittenberg!H5,'Woodland Valley'!H5,'Kelly Hollow'!H5,'Millbrook to BLM FT'!H5,'Beaverkill Road to BLM FT'!H5,'Alder Lake'!H5,'Dry Brook Ridge to Lean-to '!H5,'Neversink Hardenburgh Trail'!H5,Overlook!H5,'Rochester Hollow'!H5,'Onteora Lake'!H5,'Mt Tremper'!H5,'Ashokan HP'!H5,Vernooy!H5,'Red Hill Dinch Road '!H5,Flynn!H5,'Frick Pond'!H5,'Long Pond'!H5)</f>
        <v>1035</v>
      </c>
      <c r="I4" s="16">
        <f>SUM('Biscuit Brook'!I5,'Hardenburgh- MH Trail'!I5,'McKenley Hollow'!I5,'Mongaup Pond'!I5,'Rider Hollow'!I5,Seager!I5,Denning!I5,'Fox Hollow'!I5,'Giant Ledge'!I5,Peekamoose!I5,'Slide Mt'!I5,Wittenberg!I5,'Woodland Valley'!I5,'Kelly Hollow'!I5,'Millbrook to BLM FT'!I5,'Beaverkill Road to BLM FT'!I5,'Alder Lake'!I5,'Dry Brook Ridge to Lean-to '!I5,'Neversink Hardenburgh Trail'!I5,Overlook!I5,'Rochester Hollow'!I5,'Onteora Lake'!I5,'Mt Tremper'!I5,'Ashokan HP'!I5,Vernooy!I5,'Red Hill Dinch Road '!I5,Flynn!I5,'Frick Pond'!I5,'Long Pond'!I5)</f>
        <v>1855</v>
      </c>
      <c r="J4" s="16">
        <f>SUM('Biscuit Brook'!J5,'Hardenburgh- MH Trail'!J5,'McKenley Hollow'!J5,'Mongaup Pond'!J5,'Rider Hollow'!J5,Seager!J5,Denning!J5,'Fox Hollow'!J5,'Giant Ledge'!J5,Peekamoose!J5,'Slide Mt'!J5,Wittenberg!J5,'Woodland Valley'!J5,'Kelly Hollow'!J5,'Millbrook to BLM FT'!J5,'Beaverkill Road to BLM FT'!J5,'Alder Lake'!J5,'Dry Brook Ridge to Lean-to '!J5,'Neversink Hardenburgh Trail'!J5,Overlook!J5,'Rochester Hollow'!J5,'Onteora Lake'!J5,'Mt Tremper'!J5,'Ashokan HP'!J5,Vernooy!J5,'Red Hill Dinch Road '!J5,Flynn!J5,'Frick Pond'!J5,'Long Pond'!J5)</f>
        <v>1066</v>
      </c>
      <c r="K4" s="16">
        <f>SUM('Biscuit Brook'!K5,'Hardenburgh- MH Trail'!K5,'McKenley Hollow'!K5,'Mongaup Pond'!K5,'Rider Hollow'!K5,Seager!K5,Denning!K5,'Fox Hollow'!K5,'Giant Ledge'!K5,Peekamoose!K5,'Slide Mt'!K5,Wittenberg!K5,'Woodland Valley'!K5,'Kelly Hollow'!K5,'Millbrook to BLM FT'!K5,'Beaverkill Road to BLM FT'!K5,'Alder Lake'!K5,'Dry Brook Ridge to Lean-to '!K5,'Neversink Hardenburgh Trail'!K5,Overlook!K5,'Rochester Hollow'!K5,'Onteora Lake'!K5,'Mt Tremper'!K5,'Ashokan HP'!K5,Vernooy!K5,'Red Hill Dinch Road '!K5,Flynn!K5,'Frick Pond'!K5,'Long Pond'!K5)</f>
        <v>1830</v>
      </c>
      <c r="L4" s="16">
        <f>SUM('Biscuit Brook'!L5,'Hardenburgh- MH Trail'!L5,'McKenley Hollow'!L5,'Mongaup Pond'!L5,'Rider Hollow'!L5,Seager!L5,Denning!L5,'Fox Hollow'!L5,'Giant Ledge'!L5,Peekamoose!L5,'Slide Mt'!L5,Wittenberg!L5,'Woodland Valley'!L5,'Kelly Hollow'!L5,'Millbrook to BLM FT'!L5,'Beaverkill Road to BLM FT'!L5,'Alder Lake'!L5,'Dry Brook Ridge to Lean-to '!L5,'Neversink Hardenburgh Trail'!L5,Overlook!L5,'Rochester Hollow'!L5,'Onteora Lake'!L5,'Mt Tremper'!L5,'Ashokan HP'!L5,Vernooy!L5,'Red Hill Dinch Road '!L5,Flynn!L5,'Frick Pond'!L5,'Long Pond'!L5)</f>
        <v>1304</v>
      </c>
      <c r="M4" s="16">
        <f>SUM('Biscuit Brook'!M5,'Hardenburgh- MH Trail'!M5,'McKenley Hollow'!M5,'Mongaup Pond'!M5,'Rider Hollow'!M5,Seager!M5,Denning!M5,'Fox Hollow'!M5,'Giant Ledge'!M5,Peekamoose!M5,'Slide Mt'!M5,Wittenberg!M5,'Woodland Valley'!M5,'Kelly Hollow'!M5,'Millbrook to BLM FT'!M5,'Beaverkill Road to BLM FT'!M5,'Alder Lake'!M5,'Dry Brook Ridge to Lean-to '!M5,'Neversink Hardenburgh Trail'!M5,Overlook!M5,'Rochester Hollow'!M5,'Onteora Lake'!M5,'Mt Tremper'!M5,'Ashokan HP'!M5,Vernooy!M5,'Red Hill Dinch Road '!M5,Flynn!M5,'Frick Pond'!M5,'Long Pond'!M5)</f>
        <v>1694</v>
      </c>
      <c r="N4" s="16">
        <f>SUM('Biscuit Brook'!N5,'Hardenburgh- MH Trail'!N5,'McKenley Hollow'!N5,'Mongaup Pond'!N5,'Rider Hollow'!N5,Seager!N5,Denning!N5,'Fox Hollow'!N5,'Giant Ledge'!N5,Peekamoose!N5,'Slide Mt'!N5,Wittenberg!N5,'Woodland Valley'!N5,'Kelly Hollow'!N5,'Millbrook to BLM FT'!N5,'Beaverkill Road to BLM FT'!N5,'Alder Lake'!N5,'Dry Brook Ridge to Lean-to '!N5,'Neversink Hardenburgh Trail'!N5,Overlook!N5,'Rochester Hollow'!N5,'Onteora Lake'!N5,'Mt Tremper'!N5,'Ashokan HP'!N5,Vernooy!N5,'Red Hill Dinch Road '!N5,Flynn!N5,'Frick Pond'!N5,'Long Pond'!N5)</f>
        <v>1287</v>
      </c>
      <c r="O4" s="16">
        <f>SUM('Biscuit Brook'!O5,'Hardenburgh- MH Trail'!O5,'McKenley Hollow'!O5,'Mongaup Pond'!O5,'Rider Hollow'!O5,Seager!O5,Denning!O5,'Fox Hollow'!O5,'Giant Ledge'!O5,Peekamoose!O5,'Slide Mt'!O5,Wittenberg!O5,'Woodland Valley'!O5,'Kelly Hollow'!O5,'Millbrook to BLM FT'!O5,'Beaverkill Road to BLM FT'!O5,'Alder Lake'!O5,'Dry Brook Ridge to Lean-to '!O5,'Neversink Hardenburgh Trail'!O5,Overlook!O5,'Rochester Hollow'!O5,'Onteora Lake'!O5,'Mt Tremper'!O5,'Ashokan HP'!O5,Vernooy!O5,'Red Hill Dinch Road '!O5,Flynn!O5,'Frick Pond'!O5,'Long Pond'!O5)</f>
        <v>1149</v>
      </c>
      <c r="P4" s="16">
        <f>SUM('Biscuit Brook'!P5,'Hardenburgh- MH Trail'!P5,'McKenley Hollow'!P5,'Mongaup Pond'!P5,'Rider Hollow'!P5,Seager!P5,Denning!P5,'Fox Hollow'!P5,'Giant Ledge'!P5,Peekamoose!P5,'Slide Mt'!P5,Wittenberg!P5,'Woodland Valley'!P5,'Kelly Hollow'!P5,'Millbrook to BLM FT'!P5,'Beaverkill Road to BLM FT'!P5,'Alder Lake'!P5,'Dry Brook Ridge to Lean-to '!P5,'Neversink Hardenburgh Trail'!P5,Overlook!P5,'Rochester Hollow'!P5,'Onteora Lake'!P5,'Mt Tremper'!P5,'Ashokan HP'!P5,Vernooy!P5,'Red Hill Dinch Road '!P5,Flynn!P5,'Frick Pond'!P5,'Long Pond'!P5)</f>
        <v>1124</v>
      </c>
      <c r="Q4" s="16">
        <f>SUM('Biscuit Brook'!Q5,'Hardenburgh- MH Trail'!Q5,'McKenley Hollow'!Q5,'Mongaup Pond'!Q5,'Rider Hollow'!Q5,Seager!Q5,Denning!Q5,'Fox Hollow'!Q5,'Giant Ledge'!Q5,Peekamoose!Q5,'Slide Mt'!Q5,Wittenberg!Q5,'Woodland Valley'!Q5,'Kelly Hollow'!Q5,'Millbrook to BLM FT'!Q5,'Beaverkill Road to BLM FT'!Q5,'Alder Lake'!Q5,'Dry Brook Ridge to Lean-to '!Q5,'Neversink Hardenburgh Trail'!Q5,Overlook!Q5,'Rochester Hollow'!Q5,'Onteora Lake'!Q5,'Mt Tremper'!Q5,'Ashokan HP'!Q5,Vernooy!Q5,'Red Hill Dinch Road '!Q5,Flynn!Q5,'Frick Pond'!Q5,'Long Pond'!Q5)</f>
        <v>1539</v>
      </c>
      <c r="R4" s="16">
        <f>SUM('Biscuit Brook'!R5,'Hardenburgh- MH Trail'!R5,'McKenley Hollow'!R5,'Mongaup Pond'!R5,'Rider Hollow'!R5,Seager!R5,Denning!R5,'Fox Hollow'!R5,'Giant Ledge'!R5,Peekamoose!R5,'Slide Mt'!R5,Wittenberg!R5,'Woodland Valley'!R5,'Kelly Hollow'!R5,'Millbrook to BLM FT'!R5,'Beaverkill Road to BLM FT'!R5,'Alder Lake'!R5,'Dry Brook Ridge to Lean-to '!R5,'Neversink Hardenburgh Trail'!R5,Overlook!R5,'Rochester Hollow'!R5,'Onteora Lake'!R5,'Mt Tremper'!R5,'Ashokan HP'!R5,Vernooy!R5,'Red Hill Dinch Road '!R5,Flynn!R5,'Frick Pond'!R5,'Long Pond'!R5)</f>
        <v>1764</v>
      </c>
      <c r="S4" s="16"/>
      <c r="T4" s="16"/>
      <c r="U4" s="17">
        <f>SUM('Biscuit Brook'!U5,'Hardenburgh- MH Trail'!U5,'McKenley Hollow'!U5,'Mongaup Pond'!U5,'Rider Hollow'!U5,Seager!U5,Denning!U5,'Fox Hollow'!U5,'Giant Ledge'!U5,Peekamoose!U5,'Slide Mt'!U5,Wittenberg!U5,'Woodland Valley'!U5,'Kelly Hollow'!U5,'Millbrook to BLM FT'!U5,'Beaverkill Road to BLM FT'!U5,'Alder Lake'!U5,'Dry Brook Ridge to Lean-to '!U5,'Neversink Hardenburgh Trail'!U5,Overlook!U5,'Rochester Hollow'!U5,'Onteora Lake'!U5,'Mt Tremper'!U5,'Ashokan HP'!U5,Vernooy!U5,'Red Hill Dinch Road '!U5,Flynn!U5,'Frick Pond'!U5,'Long Pond'!U5)</f>
        <v>1559</v>
      </c>
      <c r="V4" s="17"/>
      <c r="W4" s="17">
        <f>SUM('Biscuit Brook'!W5,'Hardenburgh- MH Trail'!W5,'McKenley Hollow'!W5,'Mongaup Pond'!W5,'Rider Hollow'!W5,Seager!W5,Denning!W5,'Fox Hollow'!W5,'Giant Ledge'!W5,Peekamoose!W5,'Slide Mt'!W5,Wittenberg!W5,'Woodland Valley'!W5,'Kelly Hollow'!W5,'Millbrook to BLM FT'!W5,'Beaverkill Road to BLM FT'!W5,'Alder Lake'!W5,'Dry Brook Ridge to Lean-to '!W5,'Neversink Hardenburgh Trail'!W5,Overlook!W5,'Rochester Hollow'!W5,'Onteora Lake'!W5,'Mt Tremper'!W5,'Ashokan HP'!W5,Vernooy!W5,'Red Hill Dinch Road '!W5,Flynn!W5,'Frick Pond'!W5,'Long Pond'!W5)</f>
        <v>2493</v>
      </c>
      <c r="X4" s="17">
        <f>SUM('Biscuit Brook'!X5,'Hardenburgh- MH Trail'!X5,'McKenley Hollow'!X5,'Mongaup Pond'!X5,'Rider Hollow'!X5,Seager!X5,Denning!X5,'Fox Hollow'!X5,'Giant Ledge'!X5,Peekamoose!X5,'Slide Mt'!X5,Wittenberg!X5,'Woodland Valley'!X5,'Kelly Hollow'!X5,'Millbrook to BLM FT'!X5,'Beaverkill Road to BLM FT'!X5,'Alder Lake'!X5,'Dry Brook Ridge to Lean-to '!X5,'Neversink Hardenburgh Trail'!X5,Overlook!X5,'Rochester Hollow'!X5,'Onteora Lake'!X5,'Mt Tremper'!X5,'Ashokan HP'!X5,Vernooy!X5,'Red Hill Dinch Road '!X5,Flynn!X5,'Frick Pond'!X5,'Long Pond'!X5)</f>
        <v>1862</v>
      </c>
      <c r="Y4" s="17">
        <f>SUM('Biscuit Brook'!Y5,'Hardenburgh- MH Trail'!Y5,'McKenley Hollow'!Y5,'Mongaup Pond'!Y5,'Rider Hollow'!Y5,Seager!Y5,Denning!Y5,'Fox Hollow'!Y5,'Giant Ledge'!Y5,Peekamoose!Y5,'Slide Mt'!Y5,Wittenberg!Y5,'Woodland Valley'!Y5,'Kelly Hollow'!Y5,'Millbrook to BLM FT'!Y5,'Beaverkill Road to BLM FT'!Y5,'Alder Lake'!Y5,'Dry Brook Ridge to Lean-to '!Y5,'Neversink Hardenburgh Trail'!Y5,Overlook!Y5,'Rochester Hollow'!Y5,'Onteora Lake'!Y5,'Mt Tremper'!Y5,'Ashokan HP'!Y5,Vernooy!Y5,'Red Hill Dinch Road '!Y5,Flynn!Y5,'Frick Pond'!Y5,'Long Pond'!Y5)</f>
        <v>1806</v>
      </c>
      <c r="Z4" s="17">
        <f>SUM('Biscuit Brook'!Z5,'Hardenburgh- MH Trail'!Z5,'McKenley Hollow'!Z5,'Mongaup Pond'!Z5,'Rider Hollow'!Z5,Seager!Z5,Denning!Z5,'Fox Hollow'!Z5,'Giant Ledge'!Z5,Peekamoose!Z5,'Slide Mt'!Z5,Wittenberg!Z5,'Woodland Valley'!Z5,'Lane Street'!Z5,'Kelly Hollow'!Z5,'Millbrook to BLM FT'!Z5,'Beaverkill Road to BLM FT'!Z5,'Alder Lake'!Z5,'Dry Brook Ridge to Lean-to '!Z5,'Neversink Hardenburgh Trail'!Z5,Overlook!Z5,'Rochester Hollow'!Z5,'Onteora Lake'!Z5,'Mt Tremper'!Z5,'Ashokan HP'!Z5,Vernooy!Z5,'Red Hill Dinch Road '!Z5,Flynn!Z5,'Frick Pond'!Z5,'Long Pond'!Z5)</f>
        <v>2333</v>
      </c>
      <c r="AA4" s="17">
        <f>SUM('Biscuit Brook'!AA5,'Hardenburgh- MH Trail'!AA5,'McKenley Hollow'!AA5,'Mongaup Pond'!AA5,'Rider Hollow'!AA5,Seager!AA5,Denning!AA5,'Fox Hollow'!AA5,'Giant Ledge'!AA5,Peekamoose!AA5,'Slide Mt'!AA5,Wittenberg!AA5,'Woodland Valley'!AA5,'Lane Street'!AA5,'Kelly Hollow'!AA5,'Millbrook to BLM FT'!AA5,'Beaverkill Road to BLM FT'!AA5,'Alder Lake'!AA5,'Dry Brook Ridge to Lean-to '!AA5,'Neversink Hardenburgh Trail'!AA5,Overlook!AA5,'Rochester Hollow'!AA5,'Onteora Lake'!AA5,'Mt Tremper'!AA5,'Ashokan HP'!AA5,Vernooy!AA5,'Red Hill Dinch Road '!AA5,Flynn!AA5,'Frick Pond'!AA5,'Long Pond'!AA5)</f>
        <v>2974.0333333333333</v>
      </c>
      <c r="AB4" s="17">
        <f>SUM('Biscuit Brook'!AB5,'Hardenburgh- MH Trail'!AB5,'McKenley Hollow'!AB5,'Mongaup Pond'!AB5,'Rider Hollow'!AB5,Seager!AB5,Denning!AB5,'Fox Hollow'!AB5,'Giant Ledge'!AB5,Peekamoose!AB5,'Slide Mt'!AB5,Wittenberg!AB5,'Woodland Valley'!AB5,'Lane Street'!AB5,'Kelly Hollow'!AB5,'Millbrook to BLM FT'!AB5,'Beaverkill Road to BLM FT'!AB5,'Alder Lake'!AB5,'Dry Brook Ridge to Lean-to '!AB5,'Neversink Hardenburgh Trail'!AB5,Overlook!AB5,'Rochester Hollow'!AB5,'Onteora Lake'!AB5,'Mt Tremper'!AB5,'Ashokan HP'!AB5,Vernooy!AB5,'Red Hill Dinch Road '!AB5,Flynn!AB5,'Frick Pond'!AB5,'Long Pond'!AB5)</f>
        <v>3141</v>
      </c>
      <c r="AC4" s="17">
        <f>SUM('Biscuit Brook'!AC5,'Hardenburgh- MH Trail'!AC5,'McKenley Hollow'!AC5,'Mongaup Pond'!AC5,'Rider Hollow'!AC5,Seager!AC5,Denning!AC5,'Fox Hollow'!AC5,'Giant Ledge'!AC5,Peekamoose!AC5,'Slide Mt'!AC5,Wittenberg!AC5,'Woodland Valley'!AC5,'Lane Street'!AC5,'Kelly Hollow'!AD5,'Millbrook to BLM FT'!AC5,'Beaverkill Road to BLM FT'!AC5,'Alder Lake'!AC5,'Dry Brook Ridge to Lean-to '!AC5,'Neversink Hardenburgh Trail'!AC5,Overlook!AC5,'Rochester Hollow'!AC5,'Onteora Lake'!AC5,'Mt Tremper'!AC5,'Ashokan HP'!AC5,Vernooy!AC5,'Red Hill Dinch Road '!AC5,Flynn!AC5,'Frick Pond'!AC5,'Long Pond'!AC5)</f>
        <v>2260</v>
      </c>
      <c r="AD4" s="17">
        <f>SUM('Biscuit Brook'!AD5,'Hardenburgh- MH Trail'!AD5,'McKenley Hollow'!AD5,'Mongaup Pond'!AD5,'Rider Hollow'!AD5,Seager!AD5,Denning!AD5,'Fox Hollow'!AD5,'Giant Ledge'!AD5,Peekamoose!AD5,'Slide Mt'!AD5,Wittenberg!AD5,'Woodland Valley'!AD5,'Lane Street'!AD5,'Kelly Hollow'!AE5,'Millbrook to BLM FT'!AD5,'Beaverkill Road to BLM FT'!AD5,'Alder Lake'!AD5,'Dry Brook Ridge to Lean-to '!AD5,'Neversink Hardenburgh Trail'!AD5,Overlook!AD5,'Rochester Hollow'!AD5,'Onteora Lake'!AD5,'Mt Tremper'!AD5,'Ashokan HP'!AD5,Vernooy!AD5,'Red Hill Dinch Road '!AD5,Flynn!AD5,'Frick Pond'!AD5,'Long Pond'!AD5)</f>
        <v>2005.3333333333335</v>
      </c>
      <c r="AE4" s="17">
        <f>SUM('Biscuit Brook'!AE5,'Hardenburgh- MH Trail'!AE5,'McKenley Hollow'!AE5,'Mongaup Pond'!AE5,'Rider Hollow'!AE5,Seager!AE5,Denning!AE5,'Fox Hollow'!AE5,'Giant Ledge'!AE5,Peekamoose!AE5,'Slide Mt'!AE5,Wittenberg!AE5,'Woodland Valley'!AE5,'Lane Street'!AE5,'Kelly Hollow'!AF5,'Millbrook to BLM FT'!AE5,'Beaverkill Road to BLM FT'!AE5,'Alder Lake'!AE5,'Dry Brook Ridge to Lean-to '!AE5,'Neversink Hardenburgh Trail'!AE5,Overlook!AE5,'Rochester Hollow'!AE5,'Onteora Lake'!AE5,'Mt Tremper'!AE5,'Ashokan HP'!AE5,Vernooy!AE5,'Red Hill Dinch Road '!AE5,Flynn!AE5,'Frick Pond'!AE5,'Long Pond'!AE5)</f>
        <v>3229.5555555555557</v>
      </c>
      <c r="AF4" s="17">
        <f>SUM('Biscuit Brook'!AF5,'Hardenburgh- MH Trail'!AF5,'McKenley Hollow'!AF5,'Mongaup Pond'!AF5,'Rider Hollow'!AF5,Seager!AF5,Denning!AF5,'Fox Hollow'!AF5,'Giant Ledge'!AF5,Peekamoose!AF5,'Slide Mt'!AF5,Wittenberg!AF5,'Woodland Valley'!AF5,'Lane Street'!AF5,'Kelly Hollow'!AG5,'Millbrook to BLM FT'!AF5,'Beaverkill Road to BLM FT'!AF5,'Alder Lake'!AF5,'Dry Brook Ridge to Lean-to '!AF5,'Neversink Hardenburgh Trail'!AF5,Overlook!AF5,'Rochester Hollow'!AF5,'Onteora Lake'!AF5,'Mt Tremper'!AF5,'Ashokan HP'!AF5,Vernooy!AF5,'Red Hill Dinch Road '!AF5,Flynn!AF5,'Frick Pond'!AF5,'Long Pond'!AF5,'Cathedral Glen'!AF5)</f>
        <v>4363.3333333333339</v>
      </c>
      <c r="AG4" s="17">
        <f>SUM('Biscuit Brook'!AG5,'Hardenburgh- MH Trail'!AG5,'McKenley Hollow'!AG5,'Mongaup Pond'!AG5,'Rider Hollow'!AG5,Seager!AG5,Denning!AG5,'Fox Hollow'!AG5,'Giant Ledge'!AG5,Peekamoose!AG5,'Slide Mt'!AG5,Wittenberg!AG5,'Woodland Valley'!AG5,'Lane Street'!AG5,'Kelly Hollow'!AH5,'Millbrook to BLM FT'!AG5,'Beaverkill Road to BLM FT'!AG5,'Alder Lake'!AG5,'Dry Brook Ridge to Lean-to '!AG5,'Neversink Hardenburgh Trail'!AG5,Overlook!AG5,'Rochester Hollow'!AG5,'Onteora Lake'!AG5,'Mt Tremper'!AG5,'Ashokan HP'!AG5,Vernooy!AG5,'Red Hill Dinch Road '!AG5,Flynn!AG5,'Frick Pond'!AG5,'Long Pond'!AG5,'Cathedral Glen'!AG5)</f>
        <v>1794</v>
      </c>
      <c r="AH4" s="17">
        <f>SUM('Biscuit Brook'!AH5,'Hardenburgh- MH Trail'!AH5,'McKenley Hollow'!AH5,'Mongaup Pond'!AH5,'Rider Hollow'!AH5,Seager!AH5,Denning!AH5,'Fox Hollow'!AH5,'Giant Ledge'!AH5,Peekamoose!AH5,'Slide Mt'!AH5,Wittenberg!AH5,'Woodland Valley'!AH5,'Lane Street'!AH5,'Kelly Hollow'!AI5,'Millbrook to BLM FT'!AH5,'Beaverkill Road to BLM FT'!AH5,'Alder Lake'!AH5,'Dry Brook Ridge to Lean-to '!AH5,'Neversink Hardenburgh Trail'!AH5,Overlook!AH5,'Rochester Hollow'!AH5,'Onteora Lake'!AH5,'Mt Tremper'!AH5,'Ashokan HP'!AH5,Vernooy!AH5,'Red Hill Dinch Road '!AH5,Flynn!AH5,'Frick Pond'!AH5,'Long Pond'!AH5,'Cathedral Glen'!AH5)</f>
        <v>3346</v>
      </c>
      <c r="AI4" s="17">
        <f>SUM('Biscuit Brook'!AI5,'Hardenburgh- MH Trail'!AI5,'McKenley Hollow'!AI5,'Mongaup Pond'!AI5,'Rider Hollow'!AI5,Seager!AI5,Denning!AI5,'Fox Hollow'!AI5,'Giant Ledge'!AI5,Peekamoose!AI5,'Slide Mt'!AI5,Wittenberg!AI5,'Woodland Valley'!AI5,'Lane Street'!AI5,'Kelly Hollow'!AJ5,'Millbrook to BLM FT'!AI5,'Beaverkill Road to BLM FT'!AI5,'Alder Lake'!AI5,'Dry Brook Ridge to Lean-to '!AI5,'Neversink Hardenburgh Trail'!AI5,Overlook!AI5,'Rochester Hollow'!AI5,'Onteora Lake'!AI5,'Mt Tremper'!AI5,'Ashokan HP'!AI5,Vernooy!AI5,'Red Hill Dinch Road '!AI5,Flynn!AI5,'Frick Pond'!AI5,'Long Pond'!AI5,'Cathedral Glen'!AI5)</f>
        <v>1411</v>
      </c>
      <c r="AJ4" s="17">
        <f>SUM('Biscuit Brook'!AJ5,'Hardenburgh- MH Trail'!AJ5,'McKenley Hollow'!AJ5,'Mongaup Pond'!AJ5,'Rider Hollow'!AJ5,Seager!AJ5,Denning!AJ5,'Fox Hollow'!AJ5,'Giant Ledge'!AJ5,Peekamoose!AJ5,'Slide Mt'!AJ5,Wittenberg!AJ5,'Woodland Valley'!AJ5,'Lane Street'!AJ5,'Kelly Hollow'!AK5,'Millbrook to BLM FT'!AJ5,'Beaverkill Road to BLM FT'!AJ5,'Alder Lake'!AJ5,'Dry Brook Ridge to Lean-to '!AJ5,'Neversink Hardenburgh Trail'!AJ5,Overlook!AJ5,'Rochester Hollow'!AJ5,'Onteora Lake'!AJ5,'Mt Tremper'!AJ5,'Ashokan HP'!AJ5,Vernooy!AJ5,'Red Hill Dinch Road '!AJ5,Flynn!AJ5,'Frick Pond'!AJ5,'Long Pond'!AJ5,'Cathedral Glen'!AJ5)</f>
        <v>922</v>
      </c>
      <c r="AK4" s="17">
        <f>SUM('Biscuit Brook'!AK5,'Hardenburgh- MH Trail'!AK5,'McKenley Hollow'!AK5,'Mongaup Pond'!AK5,'Rider Hollow'!AK5,Seager!AK5,Denning!AK5,'Fox Hollow'!AK5,'Giant Ledge'!AK5,Peekamoose!AK5,'Slide Mt'!AK5,Wittenberg!AK5,'Woodland Valley'!AK5,'Lane Street'!AK5,'Kelly Hollow'!AL5,'Millbrook to BLM FT'!AK5,'Beaverkill Road to BLM FT'!AK5,'Alder Lake'!AK5,'Dry Brook Ridge to Lean-to '!AK5,'Neversink Hardenburgh Trail'!AK5,Overlook!AK5,'Rochester Hollow'!AK5,'Onteora Lake'!AK5,'Mt Tremper'!AK5,'Ashokan HP'!AK5,Vernooy!AK5,'Red Hill Dinch Road '!AK5,Flynn!AK5,'Frick Pond'!AK5,'Long Pond'!AK5,'Cathedral Glen'!AK5)</f>
        <v>0</v>
      </c>
      <c r="AL4" s="17">
        <f>SUM('Biscuit Brook'!AL5,'Hardenburgh- MH Trail'!AL5,'McKenley Hollow'!AL5,'Mongaup Pond'!AL5,'Rider Hollow'!AL5,Seager!AL5,Denning!AL5,'Fox Hollow'!AL5,'Giant Ledge'!AL5,Peekamoose!AL5,'Slide Mt'!AL5,Wittenberg!AL5,'Woodland Valley'!AL5,'Lane Street'!AL5,'Kelly Hollow'!AM5,'Millbrook to BLM FT'!AL5,'Beaverkill Road to BLM FT'!AL5,'Alder Lake'!AL5,'Dry Brook Ridge to Lean-to '!AL5,'Neversink Hardenburgh Trail'!AL5,Overlook!AL5,'Rochester Hollow'!AL5,'Onteora Lake'!AL5,'Mt Tremper'!AL5,'Ashokan HP'!AL5,Vernooy!AL5,'Red Hill Dinch Road '!AL5,Flynn!AL5,'Frick Pond'!AL5,'Long Pond'!AL5,'Cathedral Glen'!AL5)</f>
        <v>0</v>
      </c>
      <c r="AM4" s="17">
        <f>SUM('Biscuit Brook'!AM5,'Hardenburgh- MH Trail'!AM5,'McKenley Hollow'!AM5,'Mongaup Pond'!AM5,'Rider Hollow'!AM5,Seager!AM5,Denning!AM5,'Fox Hollow'!AM5,'Giant Ledge'!AM5,Peekamoose!AM5,'Slide Mt'!AM5,Wittenberg!AM5,'Woodland Valley'!AM5,'Lane Street'!AM5,'Kelly Hollow'!AN5,'Millbrook to BLM FT'!AM5,'Beaverkill Road to BLM FT'!AM5,'Alder Lake'!AM5,'Dry Brook Ridge to Lean-to '!AM5,'Neversink Hardenburgh Trail'!AM5,Overlook!AM5,'Rochester Hollow'!AM5,'Onteora Lake'!AM5,'Mt Tremper'!AM5,'Ashokan HP'!AM5,Vernooy!AM5,'Red Hill Dinch Road '!AM5,Flynn!AM5,'Frick Pond'!AM5,'Long Pond'!AM5,'Cathedral Glen'!AM5)</f>
        <v>0</v>
      </c>
      <c r="AN4" s="17">
        <f>SUM('Biscuit Brook'!AN5,'Hardenburgh- MH Trail'!AN5,'McKenley Hollow'!AN5,'Mongaup Pond'!AN5,'Rider Hollow'!AN5,Seager!AN5,Denning!AN5,'Fox Hollow'!AN5,'Giant Ledge'!AN5,Peekamoose!AN5,'Slide Mt'!AN5,Wittenberg!AN5,'Woodland Valley'!AN5,'Lane Street'!AN5,'Kelly Hollow'!AO5,'Millbrook to BLM FT'!AN5,'Beaverkill Road to BLM FT'!AN5,'Alder Lake'!AN5,'Dry Brook Ridge to Lean-to '!AN5,'Neversink Hardenburgh Trail'!AN5,Overlook!AN5,'Rochester Hollow'!AN5,'Onteora Lake'!AN5,'Mt Tremper'!AN5,'Ashokan HP'!AN5,Vernooy!AN5,'Red Hill Dinch Road '!AN5,Flynn!AN5,'Frick Pond'!AN5,'Long Pond'!AN5,'Cathedral Glen'!AN5)</f>
        <v>0</v>
      </c>
      <c r="AO4" s="17">
        <f>SUM('Biscuit Brook'!AO5,'Hardenburgh- MH Trail'!AO5,'McKenley Hollow'!AO5,'Mongaup Pond'!AO5,'Rider Hollow'!AO5,Seager!AO5,Denning!AO5,'Fox Hollow'!AO5,'Giant Ledge'!AO5,Peekamoose!AO5,'Slide Mt'!AO5,Wittenberg!AO5,'Woodland Valley'!AO5,'Lane Street'!AO5,'Kelly Hollow'!AP5,'Millbrook to BLM FT'!AO5,'Beaverkill Road to BLM FT'!AO5,'Alder Lake'!AO5,'Dry Brook Ridge to Lean-to '!AO5,'Neversink Hardenburgh Trail'!AO5,Overlook!AO5,'Rochester Hollow'!AO5,'Onteora Lake'!AO5,'Mt Tremper'!AO5,'Ashokan HP'!AO5,Vernooy!AO5,'Red Hill Dinch Road '!AO5,Flynn!AO5,'Frick Pond'!AO5,'Long Pond'!AO5,'Cathedral Glen'!AO5)</f>
        <v>0</v>
      </c>
      <c r="AP4" s="17">
        <f>SUM('Biscuit Brook'!AP5,'Hardenburgh- MH Trail'!AP5,'McKenley Hollow'!AP5,'Mongaup Pond'!AP5,'Rider Hollow'!AP5,Seager!AP5,Denning!AP5,'Fox Hollow'!AP5,'Giant Ledge'!AP5,Peekamoose!AP5,'Slide Mt'!AP5,Wittenberg!AP5,'Woodland Valley'!AP5,'Lane Street'!AP5,'Kelly Hollow'!AQ5,'Millbrook to BLM FT'!AP5,'Beaverkill Road to BLM FT'!AP5,'Alder Lake'!AP5,'Dry Brook Ridge to Lean-to '!AP5,'Neversink Hardenburgh Trail'!AP5,Overlook!AP5,'Rochester Hollow'!AP5,'Onteora Lake'!AP5,'Mt Tremper'!AP5,'Ashokan HP'!AP5,Vernooy!AP5,'Red Hill Dinch Road '!AP5,Flynn!AP5,'Frick Pond'!AP5,'Long Pond'!AP5,'Cathedral Glen'!AP5)</f>
        <v>0</v>
      </c>
      <c r="AQ4" s="17">
        <f>SUM('Biscuit Brook'!AQ5,'Hardenburgh- MH Trail'!AQ5,'McKenley Hollow'!AQ5,'Mongaup Pond'!AQ5,'Rider Hollow'!AQ5,Seager!AQ5,Denning!AQ5,'Fox Hollow'!AQ5,'Giant Ledge'!AQ5,Peekamoose!AQ5,'Slide Mt'!AQ5,Wittenberg!AQ5,'Woodland Valley'!AQ5,'Lane Street'!AQ5,'Kelly Hollow'!AR5,'Millbrook to BLM FT'!AQ5,'Beaverkill Road to BLM FT'!AQ5,'Alder Lake'!AQ5,'Dry Brook Ridge to Lean-to '!AQ5,'Neversink Hardenburgh Trail'!AQ5,Overlook!AQ5,'Rochester Hollow'!AQ5,'Onteora Lake'!AQ5,'Mt Tremper'!AQ5,'Ashokan HP'!AQ5,Vernooy!AQ5,'Red Hill Dinch Road '!AQ5,Flynn!AQ5,'Frick Pond'!AQ5,'Long Pond'!AQ5,'Cathedral Glen'!AQ5)</f>
        <v>0</v>
      </c>
      <c r="AR4" s="17">
        <f>SUM('Biscuit Brook'!AR5,'Hardenburgh- MH Trail'!AR5,'McKenley Hollow'!AR5,'Mongaup Pond'!AR5,'Rider Hollow'!AR5,Seager!AR5,Denning!AR5,'Fox Hollow'!AR5,'Giant Ledge'!AR5,Peekamoose!AR5,'Slide Mt'!AR5,Wittenberg!AR5,'Woodland Valley'!AR5,'Lane Street'!AR5,'Kelly Hollow'!AS5,'Millbrook to BLM FT'!AR5,'Beaverkill Road to BLM FT'!AR5,'Alder Lake'!AR5,'Dry Brook Ridge to Lean-to '!AR5,'Neversink Hardenburgh Trail'!AR5,Overlook!AR5,'Rochester Hollow'!AR5,'Onteora Lake'!AR5,'Mt Tremper'!AR5,'Ashokan HP'!AR5,Vernooy!AR5,'Red Hill Dinch Road '!AR5,Flynn!AR5,'Frick Pond'!AR5,'Long Pond'!AR5,'Cathedral Glen'!AR5)</f>
        <v>0</v>
      </c>
      <c r="AS4" s="17">
        <f>SUM('Biscuit Brook'!AS5,'Hardenburgh- MH Trail'!AS5,'McKenley Hollow'!AS5,'Mongaup Pond'!AS5,'Rider Hollow'!AS5,Seager!AS5,Denning!AS5,'Fox Hollow'!AS5,'Giant Ledge'!AS5,Peekamoose!AS5,'Slide Mt'!AS5,Wittenberg!AS5,'Woodland Valley'!AS5,'Lane Street'!AS5,'Kelly Hollow'!AT5,'Millbrook to BLM FT'!AS5,'Beaverkill Road to BLM FT'!AS5,'Alder Lake'!AS5,'Dry Brook Ridge to Lean-to '!AS5,'Neversink Hardenburgh Trail'!AS5,Overlook!AS5,'Rochester Hollow'!AS5,'Onteora Lake'!AS5,'Mt Tremper'!AS5,'Ashokan HP'!AS5,Vernooy!AS5,'Red Hill Dinch Road '!AS5,Flynn!AS5,'Frick Pond'!AS5,'Long Pond'!AS5,'Cathedral Glen'!AS5)</f>
        <v>0</v>
      </c>
      <c r="AT4" s="17">
        <f>SUM('Biscuit Brook'!AT5,'Hardenburgh- MH Trail'!AT5,'McKenley Hollow'!AT5,'Mongaup Pond'!AT5,'Rider Hollow'!AT5,Seager!AT5,Denning!AT5,'Fox Hollow'!AT5,'Giant Ledge'!AT5,Peekamoose!AT5,'Slide Mt'!AT5,Wittenberg!AT5,'Woodland Valley'!AT5,'Lane Street'!AT5,'Kelly Hollow'!AU5,'Millbrook to BLM FT'!AT5,'Beaverkill Road to BLM FT'!AT5,'Alder Lake'!AT5,'Dry Brook Ridge to Lean-to '!AT5,'Neversink Hardenburgh Trail'!AT5,Overlook!AT5,'Rochester Hollow'!AT5,'Onteora Lake'!AT5,'Mt Tremper'!AT5,'Ashokan HP'!AT5,Vernooy!AT5,'Red Hill Dinch Road '!AT5,Flynn!AT5,'Frick Pond'!AT5,'Long Pond'!AT5,'Cathedral Glen'!AT5)</f>
        <v>0</v>
      </c>
      <c r="AU4" s="17">
        <f>SUM('Biscuit Brook'!AU5,'Hardenburgh- MH Trail'!AU5,'McKenley Hollow'!AU5,'Mongaup Pond'!AU5,'Rider Hollow'!AU5,Seager!AU5,Denning!AU5,'Fox Hollow'!AU5,'Giant Ledge'!AU5,Peekamoose!AU5,'Slide Mt'!AU5,Wittenberg!AU5,'Woodland Valley'!AU5,'Lane Street'!AU5,'Kelly Hollow'!AV5,'Millbrook to BLM FT'!AU5,'Beaverkill Road to BLM FT'!AU5,'Alder Lake'!AU5,'Dry Brook Ridge to Lean-to '!AU5,'Neversink Hardenburgh Trail'!AU5,Overlook!AU5,'Rochester Hollow'!AU5,'Onteora Lake'!AU5,'Mt Tremper'!AU5,'Ashokan HP'!AU5,Vernooy!AU5,'Red Hill Dinch Road '!AU5,Flynn!AU5,'Frick Pond'!AU5,'Long Pond'!AU5,'Cathedral Glen'!AU5)</f>
        <v>0</v>
      </c>
      <c r="AV4" s="17">
        <f>SUM('Biscuit Brook'!AV5,'Hardenburgh- MH Trail'!AV5,'McKenley Hollow'!AV5,'Mongaup Pond'!AV5,'Rider Hollow'!AV5,Seager!AV5,Denning!AV5,'Fox Hollow'!AV5,'Giant Ledge'!AV5,Peekamoose!AV5,'Slide Mt'!AV5,Wittenberg!AV5,'Woodland Valley'!AV5,'Lane Street'!AV5,'Kelly Hollow'!AW5,'Millbrook to BLM FT'!AV5,'Beaverkill Road to BLM FT'!AV5,'Alder Lake'!AV5,'Dry Brook Ridge to Lean-to '!AV5,'Neversink Hardenburgh Trail'!AV5,Overlook!AV5,'Rochester Hollow'!AV5,'Onteora Lake'!AV5,'Mt Tremper'!AV5,'Ashokan HP'!AV5,Vernooy!AV5,'Red Hill Dinch Road '!AV5,Flynn!AV5,'Frick Pond'!AV5,'Long Pond'!AV5,'Cathedral Glen'!AV5)</f>
        <v>0</v>
      </c>
      <c r="AW4" s="17">
        <f>SUM('Biscuit Brook'!AW5,'Hardenburgh- MH Trail'!AW5,'McKenley Hollow'!AW5,'Mongaup Pond'!AW5,'Rider Hollow'!AW5,Seager!AW5,Denning!AW5,'Fox Hollow'!AW5,'Giant Ledge'!AW5,Peekamoose!AW5,'Slide Mt'!AW5,Wittenberg!AW5,'Woodland Valley'!AW5,'Lane Street'!AW5,'Kelly Hollow'!AX5,'Millbrook to BLM FT'!AW5,'Beaverkill Road to BLM FT'!AW5,'Alder Lake'!AW5,'Dry Brook Ridge to Lean-to '!AW5,'Neversink Hardenburgh Trail'!AW5,Overlook!AW5,'Rochester Hollow'!AW5,'Onteora Lake'!AW5,'Mt Tremper'!AW5,'Ashokan HP'!AW5,Vernooy!AW5,'Red Hill Dinch Road '!AW5,Flynn!AW5,'Frick Pond'!AW5,'Long Pond'!AW5,'Cathedral Glen'!AW5)</f>
        <v>0</v>
      </c>
      <c r="AX4" s="17">
        <f>SUM('Biscuit Brook'!AX5,'Hardenburgh- MH Trail'!AX5,'McKenley Hollow'!AX5,'Mongaup Pond'!AX5,'Rider Hollow'!AX5,Seager!AX5,Denning!AX5,'Fox Hollow'!AX5,'Giant Ledge'!AX5,Peekamoose!AX5,'Slide Mt'!AX5,Wittenberg!AX5,'Woodland Valley'!AX5,'Lane Street'!AX5,'Kelly Hollow'!AY5,'Millbrook to BLM FT'!AX5,'Beaverkill Road to BLM FT'!AX5,'Alder Lake'!AX5,'Dry Brook Ridge to Lean-to '!AX5,'Neversink Hardenburgh Trail'!AX5,Overlook!AX5,'Rochester Hollow'!AX5,'Onteora Lake'!AX5,'Mt Tremper'!AX5,'Ashokan HP'!AX5,Vernooy!AX5,'Red Hill Dinch Road '!AX5,Flynn!AX5,'Frick Pond'!AX5,'Long Pond'!AX5,'Cathedral Glen'!AX5)</f>
        <v>0</v>
      </c>
      <c r="AY4" s="17">
        <f>SUM('Biscuit Brook'!AY5,'Hardenburgh- MH Trail'!AY5,'McKenley Hollow'!AY5,'Mongaup Pond'!AY5,'Rider Hollow'!AY5,Seager!AY5,Denning!AY5,'Fox Hollow'!AY5,'Giant Ledge'!AY5,Peekamoose!AY5,'Slide Mt'!AY5,Wittenberg!AY5,'Woodland Valley'!AY5,'Lane Street'!AY5,'Kelly Hollow'!AZ5,'Millbrook to BLM FT'!AY5,'Beaverkill Road to BLM FT'!AY5,'Alder Lake'!AY5,'Dry Brook Ridge to Lean-to '!AY5,'Neversink Hardenburgh Trail'!AY5,Overlook!AY5,'Rochester Hollow'!AY5,'Onteora Lake'!AY5,'Mt Tremper'!AY5,'Ashokan HP'!AY5,Vernooy!AY5,'Red Hill Dinch Road '!AY5,Flynn!AY5,'Frick Pond'!AY5,'Long Pond'!AY5,'Cathedral Glen'!AY5)</f>
        <v>0</v>
      </c>
      <c r="AZ4" s="17">
        <f>SUM('Biscuit Brook'!AZ5,'Hardenburgh- MH Trail'!AZ5,'McKenley Hollow'!AZ5,'Mongaup Pond'!AZ5,'Rider Hollow'!AZ5,Seager!AZ5,Denning!AZ5,'Fox Hollow'!AZ5,'Giant Ledge'!AZ5,Peekamoose!AZ5,'Slide Mt'!AZ5,Wittenberg!AZ5,'Woodland Valley'!AZ5,'Lane Street'!AZ5,'Kelly Hollow'!BA5,'Millbrook to BLM FT'!AZ5,'Beaverkill Road to BLM FT'!AZ5,'Alder Lake'!AZ5,'Dry Brook Ridge to Lean-to '!AZ5,'Neversink Hardenburgh Trail'!AZ5,Overlook!AZ5,'Rochester Hollow'!AZ5,'Onteora Lake'!BA5,'Mt Tremper'!AZ5,'Ashokan HP'!AZ5,Vernooy!AZ5,'Red Hill Dinch Road '!AZ5,Flynn!AZ5,'Frick Pond'!AZ5,'Long Pond'!AZ5)</f>
        <v>0</v>
      </c>
      <c r="BA4" s="96" t="e">
        <v>#N/A</v>
      </c>
      <c r="BB4" s="96" t="e">
        <v>#N/A</v>
      </c>
      <c r="BC4" s="96" t="e">
        <v>#N/A</v>
      </c>
      <c r="BD4" s="96" t="e">
        <v>#N/A</v>
      </c>
      <c r="BE4" s="96" t="e">
        <v>#N/A</v>
      </c>
      <c r="BF4" s="96" t="e">
        <v>#N/A</v>
      </c>
      <c r="BG4" s="96" t="e">
        <v>#N/A</v>
      </c>
      <c r="BH4" s="96" t="e">
        <v>#N/A</v>
      </c>
      <c r="BI4" s="96" t="e">
        <v>#N/A</v>
      </c>
      <c r="BJ4" s="96">
        <f>AVERAGEIF(B4:K4,"&gt;0")</f>
        <v>1156.7</v>
      </c>
      <c r="BK4" s="96">
        <f t="shared" ref="BK4:BP4" si="0">AVERAGEIF(C4:L4,"&gt;0")</f>
        <v>1200.8</v>
      </c>
      <c r="BL4" s="96">
        <f t="shared" si="0"/>
        <v>1264.8</v>
      </c>
      <c r="BM4" s="96">
        <f t="shared" si="0"/>
        <v>1269.3</v>
      </c>
      <c r="BN4" s="96">
        <f t="shared" si="0"/>
        <v>1310.7</v>
      </c>
      <c r="BO4" s="96">
        <f t="shared" si="0"/>
        <v>1282.0999999999999</v>
      </c>
      <c r="BP4" s="96">
        <f t="shared" si="0"/>
        <v>1388.3</v>
      </c>
      <c r="BQ4" s="96">
        <f t="shared" ref="BQ4" si="1">AVERAGEIF(I4:R4,"&gt;0")</f>
        <v>1461.2</v>
      </c>
      <c r="BR4" s="96">
        <f t="shared" ref="BR4" si="2">AVERAGEIF(J4:S4,"&gt;0")</f>
        <v>1417.4444444444443</v>
      </c>
      <c r="BS4" s="96">
        <f t="shared" ref="BS4" si="3">AVERAGEIF(K4:T4,"&gt;0")</f>
        <v>1461.375</v>
      </c>
      <c r="BT4" s="96">
        <f t="shared" ref="BT4" si="4">AVERAGEIF(L4:U4,"&gt;0")</f>
        <v>1427.5</v>
      </c>
      <c r="BU4" s="96">
        <f t="shared" ref="BU4" si="5">AVERAGEIF(M4:V4,"&gt;0")</f>
        <v>1445.1428571428571</v>
      </c>
      <c r="BV4" s="96">
        <f t="shared" ref="BV4" si="6">AVERAGEIF(N4:W4,"&gt;0")</f>
        <v>1559.2857142857142</v>
      </c>
      <c r="BW4" s="96">
        <f t="shared" ref="BW4" si="7">AVERAGEIF(O4:X4,"&gt;0")</f>
        <v>1641.4285714285713</v>
      </c>
      <c r="BX4" s="96">
        <f t="shared" ref="BX4" si="8">AVERAGEIF(P4:Y4,"&gt;0")</f>
        <v>1735.2857142857142</v>
      </c>
      <c r="BY4" s="96">
        <f t="shared" ref="BY4" si="9">AVERAGEIF(Q4:Z4,"&gt;0")</f>
        <v>1908</v>
      </c>
      <c r="BZ4" s="96">
        <f t="shared" ref="BZ4" si="10">AVERAGEIF(R4:AA4,"&gt;0")</f>
        <v>2113.0047619047618</v>
      </c>
      <c r="CA4" s="96">
        <f t="shared" ref="CA4" si="11">AVERAGEIF(S4:AB4,"&gt;0")</f>
        <v>2309.7190476190476</v>
      </c>
      <c r="CB4" s="96">
        <f t="shared" ref="CB4" si="12">AVERAGEIF(T4:AC4,"&gt;0")</f>
        <v>2303.5041666666666</v>
      </c>
      <c r="CC4" s="96">
        <f t="shared" ref="CC4" si="13">AVERAGEIF(U4:AD4,"&gt;0")</f>
        <v>2270.3740740740741</v>
      </c>
      <c r="CD4" s="96">
        <f t="shared" ref="CD4" si="14">AVERAGEIF(V4:AE4,"&gt;0")</f>
        <v>2455.9913580246912</v>
      </c>
      <c r="CE4" s="96">
        <f t="shared" ref="CE4" si="15">AVERAGEIF(W4:AF4,"&gt;0")</f>
        <v>2646.7255555555553</v>
      </c>
      <c r="CF4" s="96">
        <f t="shared" ref="CF4" si="16">AVERAGEIF(X4:AG4,"&gt;0")</f>
        <v>2576.8255555555561</v>
      </c>
      <c r="CG4" s="96">
        <f t="shared" ref="CG4" si="17">AVERAGEIF(Y4:AH4,"&gt;0")</f>
        <v>2725.2255555555557</v>
      </c>
      <c r="CH4" s="96">
        <f t="shared" ref="CH4" si="18">AVERAGEIF(Z4:AI4,"&gt;0")</f>
        <v>2685.7255555555557</v>
      </c>
      <c r="CI4" s="96">
        <f t="shared" ref="CI4" si="19">AVERAGEIF(AA4:AJ4,"&gt;0")</f>
        <v>2544.6255555555558</v>
      </c>
      <c r="CJ4" s="96">
        <f t="shared" ref="CJ4" si="20">AVERAGEIF(AB4:AK4,"&gt;0")</f>
        <v>2496.9135802469141</v>
      </c>
      <c r="CK4" s="96">
        <f t="shared" ref="CK4" si="21">AVERAGEIF(AC4:AL4,"&gt;0")</f>
        <v>2416.4027777777778</v>
      </c>
      <c r="CL4" s="96">
        <f t="shared" ref="CL4" si="22">AVERAGEIF(AD4:AM4,"&gt;0")</f>
        <v>2438.7460317460318</v>
      </c>
      <c r="CM4" s="96">
        <f t="shared" ref="CM4" si="23">AVERAGEIF(AE4:AN4,"&gt;0")</f>
        <v>2510.9814814814818</v>
      </c>
      <c r="CN4" s="96">
        <f t="shared" ref="CN4" si="24">AVERAGEIF(AF4:AO4,"&gt;0")</f>
        <v>2367.2666666666669</v>
      </c>
      <c r="CO4" s="96">
        <f t="shared" ref="CO4" si="25">AVERAGEIF(AG4:AP4,"&gt;0")</f>
        <v>1868.25</v>
      </c>
      <c r="CP4" s="96">
        <f t="shared" ref="CP4" si="26">AVERAGEIF(AH4:AQ4,"&gt;0")</f>
        <v>1893</v>
      </c>
      <c r="CQ4" s="96">
        <f t="shared" ref="CQ4" si="27">AVERAGEIF(AI4:AR4,"&gt;0")</f>
        <v>1166.5</v>
      </c>
      <c r="CR4" s="96">
        <f t="shared" ref="CR4" si="28">AVERAGEIF(AJ4:AS4,"&gt;0")</f>
        <v>922</v>
      </c>
      <c r="CS4" s="96" t="e">
        <f t="shared" ref="CS4" si="29">AVERAGEIF(AK4:AT4,"&gt;0")</f>
        <v>#DIV/0!</v>
      </c>
      <c r="CT4" s="96" t="e">
        <f t="shared" ref="CT4" si="30">AVERAGEIF(AL4:AU4,"&gt;0")</f>
        <v>#DIV/0!</v>
      </c>
      <c r="CU4" s="96" t="e">
        <f t="shared" ref="CU4" si="31">AVERAGEIF(AM4:AV4,"&gt;0")</f>
        <v>#DIV/0!</v>
      </c>
      <c r="CV4" s="96" t="e">
        <f t="shared" ref="CV4" si="32">AVERAGEIF(AN4:AW4,"&gt;0")</f>
        <v>#DIV/0!</v>
      </c>
      <c r="CW4" s="96" t="e">
        <f t="shared" ref="CW4" si="33">AVERAGEIF(AO4:AX4,"&gt;0")</f>
        <v>#DIV/0!</v>
      </c>
      <c r="CX4" s="96" t="e">
        <f t="shared" ref="CX4" si="34">AVERAGEIF(AP4:AY4,"&gt;0")</f>
        <v>#DIV/0!</v>
      </c>
      <c r="CY4" s="96" t="e">
        <f t="shared" ref="CY4" si="35">AVERAGEIF(AQ4:AZ4,"&gt;0")</f>
        <v>#DIV/0!</v>
      </c>
    </row>
    <row r="5" spans="1:103" ht="20" customHeight="1" x14ac:dyDescent="0.2">
      <c r="A5" s="7" t="s">
        <v>1</v>
      </c>
      <c r="B5" s="14">
        <f>SUM('Biscuit Brook'!B6,'Hardenburgh- MH Trail'!B6,'McKenley Hollow'!B6,'Mongaup Pond'!B6,'Rider Hollow'!B6,Seager!B6,Denning!B6,'Fox Hollow'!B6,'Giant Ledge'!B6,Peekamoose!B6,'Slide Mt'!B6,Wittenberg!B6,'Woodland Valley'!B6,'Kelly Hollow'!B6,'Millbrook to BLM FT'!B6,'Beaverkill Road to BLM FT'!B6,'Alder Lake'!B6,'Dry Brook Ridge to Lean-to '!B6,'Neversink Hardenburgh Trail'!B6,Overlook!B6,'Rochester Hollow'!B6,'Onteora Lake'!B6,'Mt Tremper'!B6,'Ashokan HP'!B6,Vernooy!B6,'Red Hill Dinch Road '!B6,Flynn!B6,'Frick Pond'!B6,'Long Pond'!B6)</f>
        <v>1463</v>
      </c>
      <c r="C5" s="14">
        <f>SUM('Biscuit Brook'!C6,'Hardenburgh- MH Trail'!C6,'McKenley Hollow'!C6,'Mongaup Pond'!C6,'Rider Hollow'!C6,Seager!C6,Denning!C6,'Fox Hollow'!C6,'Giant Ledge'!C6,Peekamoose!C6,'Slide Mt'!C6,Wittenberg!C6,'Woodland Valley'!C6,'Kelly Hollow'!C6,'Millbrook to BLM FT'!C6,'Beaverkill Road to BLM FT'!C6,'Alder Lake'!C6,'Dry Brook Ridge to Lean-to '!C6,'Neversink Hardenburgh Trail'!C6,Overlook!C6,'Rochester Hollow'!C6,'Onteora Lake'!C6,'Mt Tremper'!C6,'Ashokan HP'!C6,Vernooy!C6,'Red Hill Dinch Road '!C6,Flynn!C6,'Frick Pond'!C6,'Long Pond'!C6)</f>
        <v>1261</v>
      </c>
      <c r="D5" s="14">
        <f>SUM('Biscuit Brook'!D6,'Hardenburgh- MH Trail'!D6,'McKenley Hollow'!D6,'Mongaup Pond'!D6,'Rider Hollow'!D6,Seager!D6,Denning!D6,'Fox Hollow'!D6,'Giant Ledge'!D6,Peekamoose!D6,'Slide Mt'!D6,Wittenberg!D6,'Woodland Valley'!D6,'Kelly Hollow'!D6,'Millbrook to BLM FT'!D6,'Beaverkill Road to BLM FT'!D6,'Alder Lake'!D6,'Dry Brook Ridge to Lean-to '!D6,'Neversink Hardenburgh Trail'!D6,Overlook!D6,'Rochester Hollow'!D6,'Onteora Lake'!D6,'Mt Tremper'!D6,'Ashokan HP'!D6,Vernooy!D6,'Red Hill Dinch Road '!D6,Flynn!D6,'Frick Pond'!D6,'Long Pond'!D6)</f>
        <v>979</v>
      </c>
      <c r="E5" s="14">
        <f>SUM('Biscuit Brook'!E6,'Hardenburgh- MH Trail'!E6,'McKenley Hollow'!E6,'Mongaup Pond'!E6,'Rider Hollow'!E6,Seager!E6,Denning!E6,'Fox Hollow'!E6,'Giant Ledge'!E6,Peekamoose!E6,'Slide Mt'!E6,Wittenberg!E6,'Woodland Valley'!E6,'Kelly Hollow'!E6,'Millbrook to BLM FT'!E6,'Beaverkill Road to BLM FT'!E6,'Alder Lake'!E6,'Dry Brook Ridge to Lean-to '!E6,'Neversink Hardenburgh Trail'!E6,Overlook!E6,'Rochester Hollow'!E6,'Onteora Lake'!E6,'Mt Tremper'!E6,'Ashokan HP'!E6,Vernooy!E6,'Red Hill Dinch Road '!E6,Flynn!E6,'Frick Pond'!E6,'Long Pond'!E6)</f>
        <v>829</v>
      </c>
      <c r="F5" s="14">
        <f>SUM('Biscuit Brook'!F6,'Hardenburgh- MH Trail'!F6,'McKenley Hollow'!F6,'Mongaup Pond'!F6,'Rider Hollow'!F6,Seager!F6,Denning!F6,'Fox Hollow'!F6,'Giant Ledge'!F6,Peekamoose!F6,'Slide Mt'!F6,Wittenberg!F6,'Woodland Valley'!F6,'Kelly Hollow'!F6,'Millbrook to BLM FT'!F6,'Beaverkill Road to BLM FT'!F6,'Alder Lake'!F6,'Dry Brook Ridge to Lean-to '!F6,'Neversink Hardenburgh Trail'!F6,Overlook!F6,'Rochester Hollow'!F6,'Onteora Lake'!F6,'Mt Tremper'!F6,'Ashokan HP'!F6,Vernooy!F6,'Red Hill Dinch Road '!F6,Flynn!F6,'Frick Pond'!F6,'Long Pond'!F6)</f>
        <v>1206</v>
      </c>
      <c r="G5" s="14">
        <f>SUM('Biscuit Brook'!G6,'Hardenburgh- MH Trail'!G6,'McKenley Hollow'!G6,'Mongaup Pond'!G6,'Rider Hollow'!G6,Seager!G6,Denning!G6,'Fox Hollow'!G6,'Giant Ledge'!G6,Peekamoose!G6,'Slide Mt'!G6,Wittenberg!G6,'Woodland Valley'!G6,'Kelly Hollow'!G6,'Millbrook to BLM FT'!G6,'Beaverkill Road to BLM FT'!G6,'Alder Lake'!G6,'Dry Brook Ridge to Lean-to '!G6,'Neversink Hardenburgh Trail'!G6,Overlook!G6,'Rochester Hollow'!G6,'Onteora Lake'!G6,'Mt Tremper'!G6,'Ashokan HP'!G6,Vernooy!G6,'Red Hill Dinch Road '!G6,Flynn!G6,'Frick Pond'!G6,'Long Pond'!G6)</f>
        <v>930</v>
      </c>
      <c r="H5" s="14">
        <f>SUM('Biscuit Brook'!H6,'Hardenburgh- MH Trail'!H6,'McKenley Hollow'!H6,'Mongaup Pond'!H6,'Rider Hollow'!H6,Seager!H6,Denning!H6,'Fox Hollow'!H6,'Giant Ledge'!H6,Peekamoose!H6,'Slide Mt'!H6,Wittenberg!H6,'Woodland Valley'!H6,'Kelly Hollow'!H6,'Millbrook to BLM FT'!H6,'Beaverkill Road to BLM FT'!H6,'Alder Lake'!H6,'Dry Brook Ridge to Lean-to '!H6,'Neversink Hardenburgh Trail'!H6,Overlook!H6,'Rochester Hollow'!H6,'Onteora Lake'!H6,'Mt Tremper'!H6,'Ashokan HP'!H6,Vernooy!H6,'Red Hill Dinch Road '!H6,Flynn!H6,'Frick Pond'!H6,'Long Pond'!H6)</f>
        <v>1491</v>
      </c>
      <c r="I5" s="14">
        <f>SUM('Biscuit Brook'!I6,'Hardenburgh- MH Trail'!I6,'McKenley Hollow'!I6,'Mongaup Pond'!I6,'Rider Hollow'!I6,Seager!I6,Denning!I6,'Fox Hollow'!I6,'Giant Ledge'!I6,Peekamoose!I6,'Slide Mt'!I6,Wittenberg!I6,'Woodland Valley'!I6,'Kelly Hollow'!I6,'Millbrook to BLM FT'!I6,'Beaverkill Road to BLM FT'!I6,'Alder Lake'!I6,'Dry Brook Ridge to Lean-to '!I6,'Neversink Hardenburgh Trail'!I6,Overlook!I6,'Rochester Hollow'!I6,'Onteora Lake'!I6,'Mt Tremper'!I6,'Ashokan HP'!I6,Vernooy!I6,'Red Hill Dinch Road '!I6,Flynn!I6,'Frick Pond'!I6,'Long Pond'!I6)</f>
        <v>1942</v>
      </c>
      <c r="J5" s="14">
        <f>SUM('Biscuit Brook'!J6,'Hardenburgh- MH Trail'!J6,'McKenley Hollow'!J6,'Mongaup Pond'!J6,'Rider Hollow'!J6,Seager!J6,Denning!J6,'Fox Hollow'!J6,'Giant Ledge'!J6,Peekamoose!J6,'Slide Mt'!J6,Wittenberg!J6,'Woodland Valley'!J6,'Kelly Hollow'!J6,'Millbrook to BLM FT'!J6,'Beaverkill Road to BLM FT'!J6,'Alder Lake'!J6,'Dry Brook Ridge to Lean-to '!J6,'Neversink Hardenburgh Trail'!J6,Overlook!J6,'Rochester Hollow'!J6,'Onteora Lake'!J6,'Mt Tremper'!J6,'Ashokan HP'!J6,Vernooy!J6,'Red Hill Dinch Road '!J6,Flynn!J6,'Frick Pond'!J6,'Long Pond'!J6)</f>
        <v>1665</v>
      </c>
      <c r="K5" s="14">
        <f>SUM('Biscuit Brook'!K6,'Hardenburgh- MH Trail'!K6,'McKenley Hollow'!K6,'Mongaup Pond'!K6,'Rider Hollow'!K6,Seager!K6,Denning!K6,'Fox Hollow'!K6,'Giant Ledge'!K6,Peekamoose!K6,'Slide Mt'!K6,Wittenberg!K6,'Woodland Valley'!K6,'Kelly Hollow'!K6,'Millbrook to BLM FT'!K6,'Beaverkill Road to BLM FT'!K6,'Alder Lake'!K6,'Dry Brook Ridge to Lean-to '!K6,'Neversink Hardenburgh Trail'!K6,Overlook!K6,'Rochester Hollow'!K6,'Onteora Lake'!K6,'Mt Tremper'!K6,'Ashokan HP'!K6,Vernooy!K6,'Red Hill Dinch Road '!K6,Flynn!K6,'Frick Pond'!K6,'Long Pond'!K6)</f>
        <v>1299</v>
      </c>
      <c r="L5" s="14">
        <f>SUM('Biscuit Brook'!L6,'Hardenburgh- MH Trail'!L6,'McKenley Hollow'!L6,'Mongaup Pond'!L6,'Rider Hollow'!L6,Seager!L6,Denning!L6,'Fox Hollow'!L6,'Giant Ledge'!L6,Peekamoose!L6,'Slide Mt'!L6,Wittenberg!L6,'Woodland Valley'!L6,'Kelly Hollow'!L6,'Millbrook to BLM FT'!L6,'Beaverkill Road to BLM FT'!L6,'Alder Lake'!L6,'Dry Brook Ridge to Lean-to '!L6,'Neversink Hardenburgh Trail'!L6,Overlook!L6,'Rochester Hollow'!L6,'Onteora Lake'!L6,'Mt Tremper'!L6,'Ashokan HP'!L6,Vernooy!L6,'Red Hill Dinch Road '!L6,Flynn!L6,'Frick Pond'!L6,'Long Pond'!L6)</f>
        <v>1226</v>
      </c>
      <c r="M5" s="14">
        <f>SUM('Biscuit Brook'!M6,'Hardenburgh- MH Trail'!M6,'McKenley Hollow'!M6,'Mongaup Pond'!M6,'Rider Hollow'!M6,Seager!M6,Denning!M6,'Fox Hollow'!M6,'Giant Ledge'!M6,Peekamoose!M6,'Slide Mt'!M6,Wittenberg!M6,'Woodland Valley'!M6,'Kelly Hollow'!M6,'Millbrook to BLM FT'!M6,'Beaverkill Road to BLM FT'!M6,'Alder Lake'!M6,'Dry Brook Ridge to Lean-to '!M6,'Neversink Hardenburgh Trail'!M6,Overlook!M6,'Rochester Hollow'!M6,'Onteora Lake'!M6,'Mt Tremper'!M6,'Ashokan HP'!M6,Vernooy!M6,'Red Hill Dinch Road '!M6,Flynn!M6,'Frick Pond'!M6,'Long Pond'!M6)</f>
        <v>2165</v>
      </c>
      <c r="N5" s="14">
        <f>SUM('Biscuit Brook'!N6,'Hardenburgh- MH Trail'!N6,'McKenley Hollow'!N6,'Mongaup Pond'!N6,'Rider Hollow'!N6,Seager!N6,Denning!N6,'Fox Hollow'!N6,'Giant Ledge'!N6,Peekamoose!N6,'Slide Mt'!N6,Wittenberg!N6,'Woodland Valley'!N6,'Kelly Hollow'!N6,'Millbrook to BLM FT'!N6,'Beaverkill Road to BLM FT'!N6,'Alder Lake'!N6,'Dry Brook Ridge to Lean-to '!N6,'Neversink Hardenburgh Trail'!N6,Overlook!N6,'Rochester Hollow'!N6,'Onteora Lake'!N6,'Mt Tremper'!N6,'Ashokan HP'!N6,Vernooy!N6,'Red Hill Dinch Road '!N6,Flynn!N6,'Frick Pond'!N6,'Long Pond'!N6)</f>
        <v>1236</v>
      </c>
      <c r="O5" s="14">
        <f>SUM('Biscuit Brook'!O6,'Hardenburgh- MH Trail'!O6,'McKenley Hollow'!O6,'Mongaup Pond'!O6,'Rider Hollow'!O6,Seager!O6,Denning!O6,'Fox Hollow'!O6,'Giant Ledge'!O6,Peekamoose!O6,'Slide Mt'!O6,Wittenberg!O6,'Woodland Valley'!O6,'Kelly Hollow'!O6,'Millbrook to BLM FT'!O6,'Beaverkill Road to BLM FT'!O6,'Alder Lake'!O6,'Dry Brook Ridge to Lean-to '!O6,'Neversink Hardenburgh Trail'!O6,Overlook!O6,'Rochester Hollow'!O6,'Onteora Lake'!O6,'Mt Tremper'!O6,'Ashokan HP'!O6,Vernooy!O6,'Red Hill Dinch Road '!O6,Flynn!O6,'Frick Pond'!O6,'Long Pond'!O6)</f>
        <v>1647</v>
      </c>
      <c r="P5" s="14">
        <f>SUM('Biscuit Brook'!P6,'Hardenburgh- MH Trail'!P6,'McKenley Hollow'!P6,'Mongaup Pond'!P6,'Rider Hollow'!P6,Seager!P6,Denning!P6,'Fox Hollow'!P6,'Giant Ledge'!P6,Peekamoose!P6,'Slide Mt'!P6,Wittenberg!P6,'Woodland Valley'!P6,'Kelly Hollow'!P6,'Millbrook to BLM FT'!P6,'Beaverkill Road to BLM FT'!P6,'Alder Lake'!P6,'Dry Brook Ridge to Lean-to '!P6,'Neversink Hardenburgh Trail'!P6,Overlook!P6,'Rochester Hollow'!P6,'Onteora Lake'!P6,'Mt Tremper'!P6,'Ashokan HP'!P6,Vernooy!P6,'Red Hill Dinch Road '!P6,Flynn!P6,'Frick Pond'!P6,'Long Pond'!P6)</f>
        <v>1615</v>
      </c>
      <c r="Q5" s="14">
        <f>SUM('Biscuit Brook'!Q6,'Hardenburgh- MH Trail'!Q6,'McKenley Hollow'!Q6,'Mongaup Pond'!Q6,'Rider Hollow'!Q6,Seager!Q6,Denning!Q6,'Fox Hollow'!Q6,'Giant Ledge'!Q6,Peekamoose!Q6,'Slide Mt'!Q6,Wittenberg!Q6,'Woodland Valley'!Q6,'Kelly Hollow'!Q6,'Millbrook to BLM FT'!Q6,'Beaverkill Road to BLM FT'!Q6,'Alder Lake'!Q6,'Dry Brook Ridge to Lean-to '!Q6,'Neversink Hardenburgh Trail'!Q6,Overlook!Q6,'Rochester Hollow'!Q6,'Onteora Lake'!Q6,'Mt Tremper'!Q6,'Ashokan HP'!Q6,Vernooy!Q6,'Red Hill Dinch Road '!Q6,Flynn!Q6,'Frick Pond'!Q6,'Long Pond'!Q6)</f>
        <v>1432</v>
      </c>
      <c r="R5" s="14">
        <f>SUM('Biscuit Brook'!R6,'Hardenburgh- MH Trail'!R6,'McKenley Hollow'!R6,'Mongaup Pond'!R6,'Rider Hollow'!R6,Seager!R6,Denning!R6,'Fox Hollow'!R6,'Giant Ledge'!R6,Peekamoose!R6,'Slide Mt'!R6,Wittenberg!R6,'Woodland Valley'!R6,'Kelly Hollow'!R6,'Millbrook to BLM FT'!R6,'Beaverkill Road to BLM FT'!R6,'Alder Lake'!R6,'Dry Brook Ridge to Lean-to '!R6,'Neversink Hardenburgh Trail'!R6,Overlook!R6,'Rochester Hollow'!R6,'Onteora Lake'!R6,'Mt Tremper'!R6,'Ashokan HP'!R6,Vernooy!R6,'Red Hill Dinch Road '!R6,Flynn!R6,'Frick Pond'!R6,'Long Pond'!R6)</f>
        <v>1271</v>
      </c>
      <c r="S5" s="14"/>
      <c r="T5" s="14"/>
      <c r="U5" s="15">
        <f>SUM('Biscuit Brook'!U6,'Hardenburgh- MH Trail'!U6,'McKenley Hollow'!U6,'Mongaup Pond'!U6,'Rider Hollow'!U6,Seager!U6,Denning!U6,'Fox Hollow'!U6,'Giant Ledge'!U6,Peekamoose!U6,'Slide Mt'!U6,Wittenberg!U6,'Woodland Valley'!U6,'Kelly Hollow'!U6,'Millbrook to BLM FT'!U6,'Beaverkill Road to BLM FT'!U6,'Alder Lake'!U6,'Dry Brook Ridge to Lean-to '!U6,'Neversink Hardenburgh Trail'!U6,Overlook!U6,'Rochester Hollow'!U6,'Onteora Lake'!U6,'Mt Tremper'!U6,'Ashokan HP'!U6,Vernooy!U6,'Red Hill Dinch Road '!U6,Flynn!U6,'Frick Pond'!U6,'Long Pond'!U6)</f>
        <v>1517</v>
      </c>
      <c r="V5" s="15"/>
      <c r="W5" s="15">
        <f>SUM('Biscuit Brook'!W6,'Hardenburgh- MH Trail'!W6,'McKenley Hollow'!W6,'Mongaup Pond'!W6,'Rider Hollow'!W6,Seager!W6,Denning!W6,'Fox Hollow'!W6,'Giant Ledge'!W6,Peekamoose!W6,'Slide Mt'!W6,Wittenberg!W6,'Woodland Valley'!W6,'Kelly Hollow'!W6,'Millbrook to BLM FT'!W6,'Beaverkill Road to BLM FT'!W6,'Alder Lake'!W6,'Dry Brook Ridge to Lean-to '!W6,'Neversink Hardenburgh Trail'!W6,Overlook!W6,'Rochester Hollow'!W6,'Onteora Lake'!W6,'Mt Tremper'!W6,'Ashokan HP'!W6,Vernooy!W6,'Red Hill Dinch Road '!W6,Flynn!W6,'Frick Pond'!W6,'Long Pond'!W6)</f>
        <v>2518</v>
      </c>
      <c r="X5" s="15">
        <f>SUM('Biscuit Brook'!X6,'Hardenburgh- MH Trail'!X6,'McKenley Hollow'!X6,'Mongaup Pond'!X6,'Rider Hollow'!X6,Seager!X6,Denning!X6,'Fox Hollow'!X6,'Giant Ledge'!X6,Peekamoose!X6,'Slide Mt'!X6,Wittenberg!X6,'Woodland Valley'!X6,'Kelly Hollow'!X6,'Millbrook to BLM FT'!X6,'Beaverkill Road to BLM FT'!X6,'Alder Lake'!X6,'Dry Brook Ridge to Lean-to '!X6,'Neversink Hardenburgh Trail'!X6,Overlook!X6,'Rochester Hollow'!X6,'Onteora Lake'!X6,'Mt Tremper'!X6,'Ashokan HP'!X6,Vernooy!X6,'Red Hill Dinch Road '!X6,Flynn!X6,'Frick Pond'!X6,'Long Pond'!X6)</f>
        <v>1536</v>
      </c>
      <c r="Y5" s="15">
        <f>SUM('Biscuit Brook'!Y6,'Hardenburgh- MH Trail'!Y6,'McKenley Hollow'!Y6,'Mongaup Pond'!Y6,'Rider Hollow'!Y6,Seager!Y6,Denning!Y6,'Fox Hollow'!Y6,'Giant Ledge'!Y6,Peekamoose!Y6,'Slide Mt'!Y6,Wittenberg!Y6,'Woodland Valley'!Y6,'Kelly Hollow'!Y6,'Millbrook to BLM FT'!Y6,'Beaverkill Road to BLM FT'!Y6,'Alder Lake'!Y6,'Dry Brook Ridge to Lean-to '!Y6,'Neversink Hardenburgh Trail'!Y6,Overlook!Y6,'Rochester Hollow'!Y6,'Onteora Lake'!Y6,'Mt Tremper'!Y6,'Ashokan HP'!Y6,Vernooy!Y6,'Red Hill Dinch Road '!Y6,Flynn!Y6,'Frick Pond'!Y6,'Long Pond'!Y6)</f>
        <v>1720</v>
      </c>
      <c r="Z5" s="15">
        <f>SUM('Biscuit Brook'!Z6,'Hardenburgh- MH Trail'!Z6,'McKenley Hollow'!Z6,'Mongaup Pond'!Z6,'Rider Hollow'!Z6,Seager!Z6,Denning!Z6,'Fox Hollow'!Z6,'Giant Ledge'!Z6,Peekamoose!Z6,'Slide Mt'!Z6,Wittenberg!Z6,'Woodland Valley'!Z6,'Lane Street'!Z6,'Kelly Hollow'!Z6,'Millbrook to BLM FT'!Z6,'Beaverkill Road to BLM FT'!Z6,'Alder Lake'!Z6,'Dry Brook Ridge to Lean-to '!Z6,'Neversink Hardenburgh Trail'!Z6,Overlook!Z6,'Rochester Hollow'!Z6,'Onteora Lake'!Z6,'Mt Tremper'!Z6,'Ashokan HP'!Z6,Vernooy!Z6,'Red Hill Dinch Road '!Z6,Flynn!Z6,'Frick Pond'!Z6,'Long Pond'!Z6)</f>
        <v>1427</v>
      </c>
      <c r="AA5" s="15">
        <f>SUM('Biscuit Brook'!AA6,'Hardenburgh- MH Trail'!AA6,'McKenley Hollow'!AA6,'Mongaup Pond'!AA6,'Rider Hollow'!AA6,Seager!AA6,Denning!AA6,'Fox Hollow'!AA6,'Giant Ledge'!AA6,Peekamoose!AA6,'Slide Mt'!AA6,Wittenberg!AA6,'Woodland Valley'!AA6,'Lane Street'!AA6,'Kelly Hollow'!AA6,'Millbrook to BLM FT'!AA6,'Beaverkill Road to BLM FT'!AA6,'Alder Lake'!AA6,'Dry Brook Ridge to Lean-to '!AA6,'Neversink Hardenburgh Trail'!AA6,Overlook!AA6,'Rochester Hollow'!AA6,'Onteora Lake'!AA6,'Mt Tremper'!AA6,'Ashokan HP'!AA6,Vernooy!AA6,'Red Hill Dinch Road '!AA6,Flynn!AA6,'Frick Pond'!AA6,'Long Pond'!AA6)</f>
        <v>2547.1333333333332</v>
      </c>
      <c r="AB5" s="15">
        <f>SUM('Biscuit Brook'!AB6,'Hardenburgh- MH Trail'!AB6,'McKenley Hollow'!AB6,'Mongaup Pond'!AB6,'Rider Hollow'!AB6,Seager!AB6,Denning!AB6,'Fox Hollow'!AB6,'Giant Ledge'!AB6,Peekamoose!AB6,'Slide Mt'!AB6,Wittenberg!AB6,'Woodland Valley'!AB6,'Lane Street'!AB6,'Kelly Hollow'!AB6,'Millbrook to BLM FT'!AB6,'Beaverkill Road to BLM FT'!AB6,'Alder Lake'!AB6,'Dry Brook Ridge to Lean-to '!AB6,'Neversink Hardenburgh Trail'!AB6,Overlook!AB6,'Rochester Hollow'!AB6,'Onteora Lake'!AB6,'Mt Tremper'!AB6,'Ashokan HP'!AB6,Vernooy!AB6,'Red Hill Dinch Road '!AB6,Flynn!AB6,'Frick Pond'!AB6,'Long Pond'!AB6)</f>
        <v>3060</v>
      </c>
      <c r="AC5" s="15">
        <f>SUM('Biscuit Brook'!AC6,'Hardenburgh- MH Trail'!AC6,'McKenley Hollow'!AC6,'Mongaup Pond'!AC6,'Rider Hollow'!AC6,Seager!AC6,Denning!AC6,'Fox Hollow'!AC6,'Giant Ledge'!AC6,Peekamoose!AC6,'Slide Mt'!AC6,Wittenberg!AC6,'Woodland Valley'!AC6,'Lane Street'!AC6,'Kelly Hollow'!AD6,'Millbrook to BLM FT'!AC6,'Beaverkill Road to BLM FT'!AC6,'Alder Lake'!AC6,'Dry Brook Ridge to Lean-to '!AC6,'Neversink Hardenburgh Trail'!AC6,Overlook!AC6,'Rochester Hollow'!AC6,'Onteora Lake'!AC6,'Mt Tremper'!AC6,'Ashokan HP'!AC6,Vernooy!AC6,'Red Hill Dinch Road '!AC6,Flynn!AC6,'Frick Pond'!AC6,'Long Pond'!AC6)</f>
        <v>2815</v>
      </c>
      <c r="AD5" s="15">
        <f>SUM('Biscuit Brook'!AD6,'Hardenburgh- MH Trail'!AD6,'McKenley Hollow'!AD6,'Mongaup Pond'!AD6,'Rider Hollow'!AD6,Seager!AD6,Denning!AD6,'Fox Hollow'!AD6,'Giant Ledge'!AD6,Peekamoose!AD6,'Slide Mt'!AD6,Wittenberg!AD6,'Woodland Valley'!AD6,'Lane Street'!AD6,'Kelly Hollow'!AE6,'Millbrook to BLM FT'!AD6,'Beaverkill Road to BLM FT'!AD6,'Alder Lake'!AD6,'Dry Brook Ridge to Lean-to '!AD6,'Neversink Hardenburgh Trail'!AD6,Overlook!AD6,'Rochester Hollow'!AD6,'Onteora Lake'!AD6,'Mt Tremper'!AD6,'Ashokan HP'!AD6,Vernooy!AD6,'Red Hill Dinch Road '!AD6,Flynn!AD6,'Frick Pond'!AD6,'Long Pond'!AD6)</f>
        <v>2180</v>
      </c>
      <c r="AE5" s="15">
        <f>SUM('Biscuit Brook'!AE6,'Hardenburgh- MH Trail'!AE6,'McKenley Hollow'!AE6,'Mongaup Pond'!AE6,'Rider Hollow'!AE6,Seager!AE6,Denning!AE6,'Fox Hollow'!AE6,'Giant Ledge'!AE6,Peekamoose!AE6,'Slide Mt'!AE6,Wittenberg!AE6,'Woodland Valley'!AE6,'Lane Street'!AE6,'Kelly Hollow'!AF6,'Millbrook to BLM FT'!AE6,'Beaverkill Road to BLM FT'!AE6,'Alder Lake'!AE6,'Dry Brook Ridge to Lean-to '!AE6,'Neversink Hardenburgh Trail'!AE6,Overlook!AE6,'Rochester Hollow'!AE6,'Onteora Lake'!AE6,'Mt Tremper'!AE6,'Ashokan HP'!AE6,Vernooy!AE6,'Red Hill Dinch Road '!AE6,Flynn!AE6,'Frick Pond'!AE6,'Long Pond'!AE6)</f>
        <v>3528.5555555555552</v>
      </c>
      <c r="AF5" s="15">
        <f>SUM('Biscuit Brook'!AF6,'Hardenburgh- MH Trail'!AF6,'McKenley Hollow'!AF6,'Mongaup Pond'!AF6,'Rider Hollow'!AF6,Seager!AF6,Denning!AF6,'Fox Hollow'!AF6,'Giant Ledge'!AF6,Peekamoose!AF6,'Slide Mt'!AF6,Wittenberg!AF6,'Woodland Valley'!AF6,'Lane Street'!AF6,'Kelly Hollow'!AG6,'Millbrook to BLM FT'!AF6,'Beaverkill Road to BLM FT'!AF6,'Alder Lake'!AF6,'Dry Brook Ridge to Lean-to '!AF6,'Neversink Hardenburgh Trail'!AF6,Overlook!AF6,'Rochester Hollow'!AF6,'Onteora Lake'!AF6,'Mt Tremper'!AF6,'Ashokan HP'!AF6,Vernooy!AF6,'Red Hill Dinch Road '!AF6,Flynn!AF6,'Frick Pond'!AF6,'Long Pond'!AF6,'Cathedral Glen'!AF6)</f>
        <v>2810.6666666666665</v>
      </c>
      <c r="AG5" s="15">
        <f>SUM('Biscuit Brook'!AG6,'Hardenburgh- MH Trail'!AG6,'McKenley Hollow'!AG6,'Mongaup Pond'!AG6,'Rider Hollow'!AG6,Seager!AG6,Denning!AG6,'Fox Hollow'!AG6,'Giant Ledge'!AG6,Peekamoose!AG6,'Slide Mt'!AG6,Wittenberg!AG6,'Woodland Valley'!AG6,'Lane Street'!AG6,'Kelly Hollow'!AH6,'Millbrook to BLM FT'!AG6,'Beaverkill Road to BLM FT'!AG6,'Alder Lake'!AG6,'Dry Brook Ridge to Lean-to '!AG6,'Neversink Hardenburgh Trail'!AG6,Overlook!AG6,'Rochester Hollow'!AG6,'Onteora Lake'!AG6,'Mt Tremper'!AG6,'Ashokan HP'!AG6,Vernooy!AG6,'Red Hill Dinch Road '!AG6,Flynn!AG6,'Frick Pond'!AG6,'Long Pond'!AG6,'Cathedral Glen'!AG6)</f>
        <v>2734</v>
      </c>
      <c r="AH5" s="15">
        <f>SUM('Biscuit Brook'!AH6,'Hardenburgh- MH Trail'!AH6,'McKenley Hollow'!AH6,'Mongaup Pond'!AH6,'Rider Hollow'!AH6,Seager!AH6,Denning!AH6,'Fox Hollow'!AH6,'Giant Ledge'!AH6,Peekamoose!AH6,'Slide Mt'!AH6,Wittenberg!AH6,'Woodland Valley'!AH6,'Lane Street'!AH6,'Kelly Hollow'!AI6,'Millbrook to BLM FT'!AH6,'Beaverkill Road to BLM FT'!AH6,'Alder Lake'!AH6,'Dry Brook Ridge to Lean-to '!AH6,'Neversink Hardenburgh Trail'!AH6,Overlook!AH6,'Rochester Hollow'!AH6,'Onteora Lake'!AH6,'Mt Tremper'!AH6,'Ashokan HP'!AH6,Vernooy!AH6,'Red Hill Dinch Road '!AH6,Flynn!AH6,'Frick Pond'!AH6,'Long Pond'!AH6,'Cathedral Glen'!AH6)</f>
        <v>2788</v>
      </c>
      <c r="AI5" s="15">
        <f>SUM('Biscuit Brook'!AI6,'Hardenburgh- MH Trail'!AI6,'McKenley Hollow'!AI6,'Mongaup Pond'!AI6,'Rider Hollow'!AI6,Seager!AI6,Denning!AI6,'Fox Hollow'!AI6,'Giant Ledge'!AI6,Peekamoose!AI6,'Slide Mt'!AI6,Wittenberg!AI6,'Woodland Valley'!AI6,'Lane Street'!AI6,'Kelly Hollow'!AJ6,'Millbrook to BLM FT'!AI6,'Beaverkill Road to BLM FT'!AI6,'Alder Lake'!AI6,'Dry Brook Ridge to Lean-to '!AI6,'Neversink Hardenburgh Trail'!AI6,Overlook!AI6,'Rochester Hollow'!AI6,'Onteora Lake'!AI6,'Mt Tremper'!AI6,'Ashokan HP'!AI6,Vernooy!AI6,'Red Hill Dinch Road '!AI6,Flynn!AI6,'Frick Pond'!AI6,'Long Pond'!AI6,'Cathedral Glen'!AI6)</f>
        <v>2233</v>
      </c>
      <c r="AJ5" s="15">
        <f>SUM('Biscuit Brook'!AJ6,'Hardenburgh- MH Trail'!AJ6,'McKenley Hollow'!AJ6,'Mongaup Pond'!AJ6,'Rider Hollow'!AJ6,Seager!AJ6,Denning!AJ6,'Fox Hollow'!AJ6,'Giant Ledge'!AJ6,Peekamoose!AJ6,'Slide Mt'!AJ6,Wittenberg!AJ6,'Woodland Valley'!AJ6,'Lane Street'!AJ6,'Kelly Hollow'!AK6,'Millbrook to BLM FT'!AJ6,'Beaverkill Road to BLM FT'!AJ6,'Alder Lake'!AJ6,'Dry Brook Ridge to Lean-to '!AJ6,'Neversink Hardenburgh Trail'!AJ6,Overlook!AJ6,'Rochester Hollow'!AJ6,'Onteora Lake'!AJ6,'Mt Tremper'!AJ6,'Ashokan HP'!AJ6,Vernooy!AJ6,'Red Hill Dinch Road '!AJ6,Flynn!AJ6,'Frick Pond'!AJ6,'Long Pond'!AJ6,'Cathedral Glen'!AJ6)</f>
        <v>617</v>
      </c>
      <c r="AK5" s="15">
        <f>SUM('Biscuit Brook'!AK6,'Hardenburgh- MH Trail'!AK6,'McKenley Hollow'!AK6,'Mongaup Pond'!AK6,'Rider Hollow'!AK6,Seager!AK6,Denning!AK6,'Fox Hollow'!AK6,'Giant Ledge'!AK6,Peekamoose!AK6,'Slide Mt'!AK6,Wittenberg!AK6,'Woodland Valley'!AK6,'Lane Street'!AK6,'Kelly Hollow'!AL6,'Millbrook to BLM FT'!AK6,'Beaverkill Road to BLM FT'!AK6,'Alder Lake'!AK6,'Dry Brook Ridge to Lean-to '!AK6,'Neversink Hardenburgh Trail'!AK6,Overlook!AK6,'Rochester Hollow'!AK6,'Onteora Lake'!AK6,'Mt Tremper'!AK6,'Ashokan HP'!AK6,Vernooy!AK6,'Red Hill Dinch Road '!AK6,Flynn!AK6,'Frick Pond'!AK6,'Long Pond'!AK6,'Cathedral Glen'!AK6)</f>
        <v>0</v>
      </c>
      <c r="AL5" s="15">
        <f>SUM('Biscuit Brook'!AL6,'Hardenburgh- MH Trail'!AL6,'McKenley Hollow'!AL6,'Mongaup Pond'!AL6,'Rider Hollow'!AL6,Seager!AL6,Denning!AL6,'Fox Hollow'!AL6,'Giant Ledge'!AL6,Peekamoose!AL6,'Slide Mt'!AL6,Wittenberg!AL6,'Woodland Valley'!AL6,'Lane Street'!AL6,'Kelly Hollow'!AM6,'Millbrook to BLM FT'!AL6,'Beaverkill Road to BLM FT'!AL6,'Alder Lake'!AL6,'Dry Brook Ridge to Lean-to '!AL6,'Neversink Hardenburgh Trail'!AL6,Overlook!AL6,'Rochester Hollow'!AL6,'Onteora Lake'!AL6,'Mt Tremper'!AL6,'Ashokan HP'!AL6,Vernooy!AL6,'Red Hill Dinch Road '!AL6,Flynn!AL6,'Frick Pond'!AL6,'Long Pond'!AL6,'Cathedral Glen'!AL6)</f>
        <v>0</v>
      </c>
      <c r="AM5" s="15">
        <f>SUM('Biscuit Brook'!AM6,'Hardenburgh- MH Trail'!AM6,'McKenley Hollow'!AM6,'Mongaup Pond'!AM6,'Rider Hollow'!AM6,Seager!AM6,Denning!AM6,'Fox Hollow'!AM6,'Giant Ledge'!AM6,Peekamoose!AM6,'Slide Mt'!AM6,Wittenberg!AM6,'Woodland Valley'!AM6,'Lane Street'!AM6,'Kelly Hollow'!AN6,'Millbrook to BLM FT'!AM6,'Beaverkill Road to BLM FT'!AM6,'Alder Lake'!AM6,'Dry Brook Ridge to Lean-to '!AM6,'Neversink Hardenburgh Trail'!AM6,Overlook!AM6,'Rochester Hollow'!AM6,'Onteora Lake'!AM6,'Mt Tremper'!AM6,'Ashokan HP'!AM6,Vernooy!AM6,'Red Hill Dinch Road '!AM6,Flynn!AM6,'Frick Pond'!AM6,'Long Pond'!AM6,'Cathedral Glen'!AM6)</f>
        <v>0</v>
      </c>
      <c r="AN5" s="15">
        <f>SUM('Biscuit Brook'!AN6,'Hardenburgh- MH Trail'!AN6,'McKenley Hollow'!AN6,'Mongaup Pond'!AN6,'Rider Hollow'!AN6,Seager!AN6,Denning!AN6,'Fox Hollow'!AN6,'Giant Ledge'!AN6,Peekamoose!AN6,'Slide Mt'!AN6,Wittenberg!AN6,'Woodland Valley'!AN6,'Lane Street'!AN6,'Kelly Hollow'!AO6,'Millbrook to BLM FT'!AN6,'Beaverkill Road to BLM FT'!AN6,'Alder Lake'!AN6,'Dry Brook Ridge to Lean-to '!AN6,'Neversink Hardenburgh Trail'!AN6,Overlook!AN6,'Rochester Hollow'!AN6,'Onteora Lake'!AN6,'Mt Tremper'!AN6,'Ashokan HP'!AN6,Vernooy!AN6,'Red Hill Dinch Road '!AN6,Flynn!AN6,'Frick Pond'!AN6,'Long Pond'!AN6,'Cathedral Glen'!AN6)</f>
        <v>0</v>
      </c>
      <c r="AO5" s="15">
        <f>SUM('Biscuit Brook'!AO6,'Hardenburgh- MH Trail'!AO6,'McKenley Hollow'!AO6,'Mongaup Pond'!AO6,'Rider Hollow'!AO6,Seager!AO6,Denning!AO6,'Fox Hollow'!AO6,'Giant Ledge'!AO6,Peekamoose!AO6,'Slide Mt'!AO6,Wittenberg!AO6,'Woodland Valley'!AO6,'Lane Street'!AO6,'Kelly Hollow'!AP6,'Millbrook to BLM FT'!AO6,'Beaverkill Road to BLM FT'!AO6,'Alder Lake'!AO6,'Dry Brook Ridge to Lean-to '!AO6,'Neversink Hardenburgh Trail'!AO6,Overlook!AO6,'Rochester Hollow'!AO6,'Onteora Lake'!AO6,'Mt Tremper'!AO6,'Ashokan HP'!AO6,Vernooy!AO6,'Red Hill Dinch Road '!AO6,Flynn!AO6,'Frick Pond'!AO6,'Long Pond'!AO6,'Cathedral Glen'!AO6)</f>
        <v>0</v>
      </c>
      <c r="AP5" s="15">
        <f>SUM('Biscuit Brook'!AP6,'Hardenburgh- MH Trail'!AP6,'McKenley Hollow'!AP6,'Mongaup Pond'!AP6,'Rider Hollow'!AP6,Seager!AP6,Denning!AP6,'Fox Hollow'!AP6,'Giant Ledge'!AP6,Peekamoose!AP6,'Slide Mt'!AP6,Wittenberg!AP6,'Woodland Valley'!AP6,'Lane Street'!AP6,'Kelly Hollow'!AQ6,'Millbrook to BLM FT'!AP6,'Beaverkill Road to BLM FT'!AP6,'Alder Lake'!AP6,'Dry Brook Ridge to Lean-to '!AP6,'Neversink Hardenburgh Trail'!AP6,Overlook!AP6,'Rochester Hollow'!AP6,'Onteora Lake'!AP6,'Mt Tremper'!AP6,'Ashokan HP'!AP6,Vernooy!AP6,'Red Hill Dinch Road '!AP6,Flynn!AP6,'Frick Pond'!AP6,'Long Pond'!AP6,'Cathedral Glen'!AP6)</f>
        <v>0</v>
      </c>
      <c r="AQ5" s="15">
        <f>SUM('Biscuit Brook'!AQ6,'Hardenburgh- MH Trail'!AQ6,'McKenley Hollow'!AQ6,'Mongaup Pond'!AQ6,'Rider Hollow'!AQ6,Seager!AQ6,Denning!AQ6,'Fox Hollow'!AQ6,'Giant Ledge'!AQ6,Peekamoose!AQ6,'Slide Mt'!AQ6,Wittenberg!AQ6,'Woodland Valley'!AQ6,'Lane Street'!AQ6,'Kelly Hollow'!AR6,'Millbrook to BLM FT'!AQ6,'Beaverkill Road to BLM FT'!AQ6,'Alder Lake'!AQ6,'Dry Brook Ridge to Lean-to '!AQ6,'Neversink Hardenburgh Trail'!AQ6,Overlook!AQ6,'Rochester Hollow'!AQ6,'Onteora Lake'!AQ6,'Mt Tremper'!AQ6,'Ashokan HP'!AQ6,Vernooy!AQ6,'Red Hill Dinch Road '!AQ6,Flynn!AQ6,'Frick Pond'!AQ6,'Long Pond'!AQ6,'Cathedral Glen'!AQ6)</f>
        <v>0</v>
      </c>
      <c r="AR5" s="15">
        <f>SUM('Biscuit Brook'!AR6,'Hardenburgh- MH Trail'!AR6,'McKenley Hollow'!AR6,'Mongaup Pond'!AR6,'Rider Hollow'!AR6,Seager!AR6,Denning!AR6,'Fox Hollow'!AR6,'Giant Ledge'!AR6,Peekamoose!AR6,'Slide Mt'!AR6,Wittenberg!AR6,'Woodland Valley'!AR6,'Lane Street'!AR6,'Kelly Hollow'!AS6,'Millbrook to BLM FT'!AR6,'Beaverkill Road to BLM FT'!AR6,'Alder Lake'!AR6,'Dry Brook Ridge to Lean-to '!AR6,'Neversink Hardenburgh Trail'!AR6,Overlook!AR6,'Rochester Hollow'!AR6,'Onteora Lake'!AR6,'Mt Tremper'!AR6,'Ashokan HP'!AR6,Vernooy!AR6,'Red Hill Dinch Road '!AR6,Flynn!AR6,'Frick Pond'!AR6,'Long Pond'!AR6,'Cathedral Glen'!AR6)</f>
        <v>0</v>
      </c>
      <c r="AS5" s="15">
        <f>SUM('Biscuit Brook'!AS6,'Hardenburgh- MH Trail'!AS6,'McKenley Hollow'!AS6,'Mongaup Pond'!AS6,'Rider Hollow'!AS6,Seager!AS6,Denning!AS6,'Fox Hollow'!AS6,'Giant Ledge'!AS6,Peekamoose!AS6,'Slide Mt'!AS6,Wittenberg!AS6,'Woodland Valley'!AS6,'Lane Street'!AS6,'Kelly Hollow'!AT6,'Millbrook to BLM FT'!AS6,'Beaverkill Road to BLM FT'!AS6,'Alder Lake'!AS6,'Dry Brook Ridge to Lean-to '!AS6,'Neversink Hardenburgh Trail'!AS6,Overlook!AS6,'Rochester Hollow'!AS6,'Onteora Lake'!AS6,'Mt Tremper'!AS6,'Ashokan HP'!AS6,Vernooy!AS6,'Red Hill Dinch Road '!AS6,Flynn!AS6,'Frick Pond'!AS6,'Long Pond'!AS6,'Cathedral Glen'!AS6)</f>
        <v>0</v>
      </c>
      <c r="AT5" s="15">
        <f>SUM('Biscuit Brook'!AT6,'Hardenburgh- MH Trail'!AT6,'McKenley Hollow'!AT6,'Mongaup Pond'!AT6,'Rider Hollow'!AT6,Seager!AT6,Denning!AT6,'Fox Hollow'!AT6,'Giant Ledge'!AT6,Peekamoose!AT6,'Slide Mt'!AT6,Wittenberg!AT6,'Woodland Valley'!AT6,'Lane Street'!AT6,'Kelly Hollow'!AU6,'Millbrook to BLM FT'!AT6,'Beaverkill Road to BLM FT'!AT6,'Alder Lake'!AT6,'Dry Brook Ridge to Lean-to '!AT6,'Neversink Hardenburgh Trail'!AT6,Overlook!AT6,'Rochester Hollow'!AT6,'Onteora Lake'!AT6,'Mt Tremper'!AT6,'Ashokan HP'!AT6,Vernooy!AT6,'Red Hill Dinch Road '!AT6,Flynn!AT6,'Frick Pond'!AT6,'Long Pond'!AT6,'Cathedral Glen'!AT6)</f>
        <v>0</v>
      </c>
      <c r="AU5" s="15">
        <f>SUM('Biscuit Brook'!AU6,'Hardenburgh- MH Trail'!AU6,'McKenley Hollow'!AU6,'Mongaup Pond'!AU6,'Rider Hollow'!AU6,Seager!AU6,Denning!AU6,'Fox Hollow'!AU6,'Giant Ledge'!AU6,Peekamoose!AU6,'Slide Mt'!AU6,Wittenberg!AU6,'Woodland Valley'!AU6,'Lane Street'!AU6,'Kelly Hollow'!AV6,'Millbrook to BLM FT'!AU6,'Beaverkill Road to BLM FT'!AU6,'Alder Lake'!AU6,'Dry Brook Ridge to Lean-to '!AU6,'Neversink Hardenburgh Trail'!AU6,Overlook!AU6,'Rochester Hollow'!AU6,'Onteora Lake'!AU6,'Mt Tremper'!AU6,'Ashokan HP'!AU6,Vernooy!AU6,'Red Hill Dinch Road '!AU6,Flynn!AU6,'Frick Pond'!AU6,'Long Pond'!AU6,'Cathedral Glen'!AU6)</f>
        <v>0</v>
      </c>
      <c r="AV5" s="15">
        <f>SUM('Biscuit Brook'!AV6,'Hardenburgh- MH Trail'!AV6,'McKenley Hollow'!AV6,'Mongaup Pond'!AV6,'Rider Hollow'!AV6,Seager!AV6,Denning!AV6,'Fox Hollow'!AV6,'Giant Ledge'!AV6,Peekamoose!AV6,'Slide Mt'!AV6,Wittenberg!AV6,'Woodland Valley'!AV6,'Lane Street'!AV6,'Kelly Hollow'!AW6,'Millbrook to BLM FT'!AV6,'Beaverkill Road to BLM FT'!AV6,'Alder Lake'!AV6,'Dry Brook Ridge to Lean-to '!AV6,'Neversink Hardenburgh Trail'!AV6,Overlook!AV6,'Rochester Hollow'!AV6,'Onteora Lake'!AV6,'Mt Tremper'!AV6,'Ashokan HP'!AV6,Vernooy!AV6,'Red Hill Dinch Road '!AV6,Flynn!AV6,'Frick Pond'!AV6,'Long Pond'!AV6,'Cathedral Glen'!AV6)</f>
        <v>0</v>
      </c>
      <c r="AW5" s="15">
        <f>SUM('Biscuit Brook'!AW6,'Hardenburgh- MH Trail'!AW6,'McKenley Hollow'!AW6,'Mongaup Pond'!AW6,'Rider Hollow'!AW6,Seager!AW6,Denning!AW6,'Fox Hollow'!AW6,'Giant Ledge'!AW6,Peekamoose!AW6,'Slide Mt'!AW6,Wittenberg!AW6,'Woodland Valley'!AW6,'Lane Street'!AW6,'Kelly Hollow'!AX6,'Millbrook to BLM FT'!AW6,'Beaverkill Road to BLM FT'!AW6,'Alder Lake'!AW6,'Dry Brook Ridge to Lean-to '!AW6,'Neversink Hardenburgh Trail'!AW6,Overlook!AW6,'Rochester Hollow'!AW6,'Onteora Lake'!AW6,'Mt Tremper'!AW6,'Ashokan HP'!AW6,Vernooy!AW6,'Red Hill Dinch Road '!AW6,Flynn!AW6,'Frick Pond'!AW6,'Long Pond'!AW6,'Cathedral Glen'!AW6)</f>
        <v>0</v>
      </c>
      <c r="AX5" s="15">
        <f>SUM('Biscuit Brook'!AX6,'Hardenburgh- MH Trail'!AX6,'McKenley Hollow'!AX6,'Mongaup Pond'!AX6,'Rider Hollow'!AX6,Seager!AX6,Denning!AX6,'Fox Hollow'!AX6,'Giant Ledge'!AX6,Peekamoose!AX6,'Slide Mt'!AX6,Wittenberg!AX6,'Woodland Valley'!AX6,'Lane Street'!AX6,'Kelly Hollow'!AY6,'Millbrook to BLM FT'!AX6,'Beaverkill Road to BLM FT'!AX6,'Alder Lake'!AX6,'Dry Brook Ridge to Lean-to '!AX6,'Neversink Hardenburgh Trail'!AX6,Overlook!AX6,'Rochester Hollow'!AX6,'Onteora Lake'!AX6,'Mt Tremper'!AX6,'Ashokan HP'!AX6,Vernooy!AX6,'Red Hill Dinch Road '!AX6,Flynn!AX6,'Frick Pond'!AX6,'Long Pond'!AX6,'Cathedral Glen'!AX6)</f>
        <v>0</v>
      </c>
      <c r="AY5" s="15">
        <f>SUM('Biscuit Brook'!AY6,'Hardenburgh- MH Trail'!AY6,'McKenley Hollow'!AY6,'Mongaup Pond'!AY6,'Rider Hollow'!AY6,Seager!AY6,Denning!AY6,'Fox Hollow'!AY6,'Giant Ledge'!AY6,Peekamoose!AY6,'Slide Mt'!AY6,Wittenberg!AY6,'Woodland Valley'!AY6,'Lane Street'!AY6,'Kelly Hollow'!AZ6,'Millbrook to BLM FT'!AY6,'Beaverkill Road to BLM FT'!AY6,'Alder Lake'!AY6,'Dry Brook Ridge to Lean-to '!AY6,'Neversink Hardenburgh Trail'!AY6,Overlook!AY6,'Rochester Hollow'!AY6,'Onteora Lake'!AY6,'Mt Tremper'!AY6,'Ashokan HP'!AY6,Vernooy!AY6,'Red Hill Dinch Road '!AY6,Flynn!AY6,'Frick Pond'!AY6,'Long Pond'!AY6,'Cathedral Glen'!AY6)</f>
        <v>0</v>
      </c>
      <c r="AZ5" s="15" t="e">
        <f>SUM('Biscuit Brook'!AZ6,'Hardenburgh- MH Trail'!AZ6,'McKenley Hollow'!AZ6,'Mongaup Pond'!AZ6,'Rider Hollow'!AZ6,Seager!AZ6,Denning!AZ6,'Fox Hollow'!AZ6,'Giant Ledge'!AZ6,Peekamoose!AZ6,'Slide Mt'!AZ6,Wittenberg!AZ6,'Woodland Valley'!AZ6,'Lane Street'!AZ6,'Kelly Hollow'!BA6,'Millbrook to BLM FT'!AZ6,'Beaverkill Road to BLM FT'!AZ6,'Alder Lake'!AZ6,'Dry Brook Ridge to Lean-to '!AZ6,'Neversink Hardenburgh Trail'!AZ6,Overlook!AZ6,'Rochester Hollow'!AZ6,'Onteora Lake'!BA6,'Mt Tremper'!AZ6,'Ashokan HP'!AZ6,Vernooy!AZ6,'Red Hill Dinch Road '!AZ6,Flynn!AZ6,'Frick Pond'!AZ6,'Long Pond'!AZ6)</f>
        <v>#N/A</v>
      </c>
      <c r="BA5" s="96" t="e">
        <v>#N/A</v>
      </c>
      <c r="BB5" s="96" t="e">
        <v>#N/A</v>
      </c>
      <c r="BC5" s="96" t="e">
        <v>#N/A</v>
      </c>
      <c r="BD5" s="96" t="e">
        <v>#N/A</v>
      </c>
      <c r="BE5" s="96" t="e">
        <v>#N/A</v>
      </c>
      <c r="BF5" s="96" t="e">
        <v>#N/A</v>
      </c>
      <c r="BG5" s="96" t="e">
        <v>#N/A</v>
      </c>
      <c r="BH5" s="96" t="e">
        <v>#N/A</v>
      </c>
      <c r="BI5" s="96" t="e">
        <v>#N/A</v>
      </c>
      <c r="BJ5" s="96">
        <f t="shared" ref="BJ5:BJ15" si="36">AVERAGEIF(B5:K5,"&gt;0")</f>
        <v>1306.5</v>
      </c>
      <c r="BK5" s="96">
        <f t="shared" ref="BK5:BK15" si="37">AVERAGEIF(C5:L5,"&gt;0")</f>
        <v>1282.8</v>
      </c>
      <c r="BL5" s="96">
        <f t="shared" ref="BL5:BL15" si="38">AVERAGEIF(D5:M5,"&gt;0")</f>
        <v>1373.2</v>
      </c>
      <c r="BM5" s="96">
        <f t="shared" ref="BM5:BM15" si="39">AVERAGEIF(E5:N5,"&gt;0")</f>
        <v>1398.9</v>
      </c>
      <c r="BN5" s="96">
        <f t="shared" ref="BN5:BN15" si="40">AVERAGEIF(F5:O5,"&gt;0")</f>
        <v>1480.7</v>
      </c>
      <c r="BO5" s="96">
        <f t="shared" ref="BO5:BO15" si="41">AVERAGEIF(G5:P5,"&gt;0")</f>
        <v>1521.6</v>
      </c>
      <c r="BP5" s="96">
        <f t="shared" ref="BP5:BP15" si="42">AVERAGEIF(H5:Q5,"&gt;0")</f>
        <v>1571.8</v>
      </c>
      <c r="BQ5" s="96">
        <f t="shared" ref="BQ5:BQ15" si="43">AVERAGEIF(I5:R5,"&gt;0")</f>
        <v>1549.8</v>
      </c>
      <c r="BR5" s="96">
        <f t="shared" ref="BR5:BR15" si="44">AVERAGEIF(J5:S5,"&gt;0")</f>
        <v>1506.2222222222222</v>
      </c>
      <c r="BS5" s="96">
        <f t="shared" ref="BS5:BS15" si="45">AVERAGEIF(K5:T5,"&gt;0")</f>
        <v>1486.375</v>
      </c>
      <c r="BT5" s="96">
        <f t="shared" ref="BT5:BT15" si="46">AVERAGEIF(L5:U5,"&gt;0")</f>
        <v>1513.625</v>
      </c>
      <c r="BU5" s="96">
        <f t="shared" ref="BU5:BU15" si="47">AVERAGEIF(M5:V5,"&gt;0")</f>
        <v>1554.7142857142858</v>
      </c>
      <c r="BV5" s="96">
        <f t="shared" ref="BV5:BV15" si="48">AVERAGEIF(N5:W5,"&gt;0")</f>
        <v>1605.1428571428571</v>
      </c>
      <c r="BW5" s="96">
        <f t="shared" ref="BW5:BW15" si="49">AVERAGEIF(O5:X5,"&gt;0")</f>
        <v>1648</v>
      </c>
      <c r="BX5" s="96">
        <f t="shared" ref="BX5:BX15" si="50">AVERAGEIF(P5:Y5,"&gt;0")</f>
        <v>1658.4285714285713</v>
      </c>
      <c r="BY5" s="96">
        <f t="shared" ref="BY5:BY15" si="51">AVERAGEIF(Q5:Z5,"&gt;0")</f>
        <v>1631.5714285714287</v>
      </c>
      <c r="BZ5" s="96">
        <f t="shared" ref="BZ5:BZ15" si="52">AVERAGEIF(R5:AA5,"&gt;0")</f>
        <v>1790.8761904761905</v>
      </c>
      <c r="CA5" s="96">
        <f t="shared" ref="CA5:CA15" si="53">AVERAGEIF(S5:AB5,"&gt;0")</f>
        <v>2046.4476190476191</v>
      </c>
      <c r="CB5" s="96">
        <f t="shared" ref="CB5:CB15" si="54">AVERAGEIF(T5:AC5,"&gt;0")</f>
        <v>2142.5166666666664</v>
      </c>
      <c r="CC5" s="96">
        <f t="shared" ref="CC5:CC15" si="55">AVERAGEIF(U5:AD5,"&gt;0")</f>
        <v>2146.6814814814811</v>
      </c>
      <c r="CD5" s="96">
        <f t="shared" ref="CD5:CD15" si="56">AVERAGEIF(V5:AE5,"&gt;0")</f>
        <v>2370.1876543209873</v>
      </c>
      <c r="CE5" s="96">
        <f t="shared" ref="CE5:CE15" si="57">AVERAGEIF(W5:AF5,"&gt;0")</f>
        <v>2414.2355555555555</v>
      </c>
      <c r="CF5" s="96">
        <f t="shared" ref="CF5:CF15" si="58">AVERAGEIF(X5:AG5,"&gt;0")</f>
        <v>2435.8355555555559</v>
      </c>
      <c r="CG5" s="96">
        <f t="shared" ref="CG5:CG15" si="59">AVERAGEIF(Y5:AH5,"&gt;0")</f>
        <v>2561.0355555555557</v>
      </c>
      <c r="CH5" s="96">
        <f t="shared" ref="CH5:CH15" si="60">AVERAGEIF(Z5:AI5,"&gt;0")</f>
        <v>2612.3355555555554</v>
      </c>
      <c r="CI5" s="96">
        <f t="shared" ref="CI5:CI15" si="61">AVERAGEIF(AA5:AJ5,"&gt;0")</f>
        <v>2531.3355555555554</v>
      </c>
      <c r="CJ5" s="96">
        <f t="shared" ref="CJ5:CJ15" si="62">AVERAGEIF(AB5:AK5,"&gt;0")</f>
        <v>2529.5802469135797</v>
      </c>
      <c r="CK5" s="96">
        <f t="shared" ref="CK5:CK15" si="63">AVERAGEIF(AC5:AL5,"&gt;0")</f>
        <v>2463.2777777777774</v>
      </c>
      <c r="CL5" s="96">
        <f t="shared" ref="CL5:CL15" si="64">AVERAGEIF(AD5:AM5,"&gt;0")</f>
        <v>2413.0317460317456</v>
      </c>
      <c r="CM5" s="96">
        <f t="shared" ref="CM5:CM15" si="65">AVERAGEIF(AE5:AN5,"&gt;0")</f>
        <v>2451.8703703703704</v>
      </c>
      <c r="CN5" s="96">
        <f t="shared" ref="CN5:CN15" si="66">AVERAGEIF(AF5:AO5,"&gt;0")</f>
        <v>2236.5333333333333</v>
      </c>
      <c r="CO5" s="96">
        <f t="shared" ref="CO5:CO15" si="67">AVERAGEIF(AG5:AP5,"&gt;0")</f>
        <v>2093</v>
      </c>
      <c r="CP5" s="96">
        <f t="shared" ref="CP5:CP15" si="68">AVERAGEIF(AH5:AQ5,"&gt;0")</f>
        <v>1879.3333333333333</v>
      </c>
      <c r="CQ5" s="96">
        <f t="shared" ref="CQ5:CQ15" si="69">AVERAGEIF(AI5:AR5,"&gt;0")</f>
        <v>1425</v>
      </c>
      <c r="CR5" s="96">
        <f t="shared" ref="CR5:CR15" si="70">AVERAGEIF(AJ5:AS5,"&gt;0")</f>
        <v>617</v>
      </c>
      <c r="CS5" s="96" t="e">
        <f t="shared" ref="CS5:CS15" si="71">AVERAGEIF(AK5:AT5,"&gt;0")</f>
        <v>#DIV/0!</v>
      </c>
      <c r="CT5" s="96" t="e">
        <f t="shared" ref="CT5:CT15" si="72">AVERAGEIF(AL5:AU5,"&gt;0")</f>
        <v>#DIV/0!</v>
      </c>
      <c r="CU5" s="96" t="e">
        <f t="shared" ref="CU5:CU15" si="73">AVERAGEIF(AM5:AV5,"&gt;0")</f>
        <v>#DIV/0!</v>
      </c>
      <c r="CV5" s="96" t="e">
        <f t="shared" ref="CV5:CV15" si="74">AVERAGEIF(AN5:AW5,"&gt;0")</f>
        <v>#DIV/0!</v>
      </c>
      <c r="CW5" s="96" t="e">
        <f t="shared" ref="CW5:CW15" si="75">AVERAGEIF(AO5:AX5,"&gt;0")</f>
        <v>#DIV/0!</v>
      </c>
      <c r="CX5" s="96" t="e">
        <f t="shared" ref="CX5:CX15" si="76">AVERAGEIF(AP5:AY5,"&gt;0")</f>
        <v>#DIV/0!</v>
      </c>
      <c r="CY5" s="96" t="e">
        <f t="shared" ref="CY5:CY15" si="77">AVERAGEIF(AQ5:AZ5,"&gt;0")</f>
        <v>#DIV/0!</v>
      </c>
    </row>
    <row r="6" spans="1:103" s="10" customFormat="1" ht="20" customHeight="1" x14ac:dyDescent="0.2">
      <c r="A6" s="9" t="s">
        <v>2</v>
      </c>
      <c r="B6" s="16">
        <f>SUM('Biscuit Brook'!B7,'Hardenburgh- MH Trail'!B7,'McKenley Hollow'!B7,'Mongaup Pond'!B7,'Rider Hollow'!B7,Seager!B7,Denning!B7,'Fox Hollow'!B7,'Giant Ledge'!B7,Peekamoose!B7,'Slide Mt'!B7,Wittenberg!B7,'Woodland Valley'!B7,'Kelly Hollow'!B7,'Millbrook to BLM FT'!B7,'Beaverkill Road to BLM FT'!B7,'Alder Lake'!B7,'Dry Brook Ridge to Lean-to '!B7,'Neversink Hardenburgh Trail'!B7,Overlook!B7,'Rochester Hollow'!B7,'Onteora Lake'!B7,'Mt Tremper'!B7,'Ashokan HP'!B7,Vernooy!B7,'Red Hill Dinch Road '!B7,Flynn!B7,'Frick Pond'!B7,'Long Pond'!B7)</f>
        <v>1660</v>
      </c>
      <c r="C6" s="16">
        <f>SUM('Biscuit Brook'!C7,'Hardenburgh- MH Trail'!C7,'McKenley Hollow'!C7,'Mongaup Pond'!C7,'Rider Hollow'!C7,Seager!C7,Denning!C7,'Fox Hollow'!C7,'Giant Ledge'!C7,Peekamoose!C7,'Slide Mt'!C7,Wittenberg!C7,'Woodland Valley'!C7,'Kelly Hollow'!C7,'Millbrook to BLM FT'!C7,'Beaverkill Road to BLM FT'!C7,'Alder Lake'!C7,'Dry Brook Ridge to Lean-to '!C7,'Neversink Hardenburgh Trail'!C7,Overlook!C7,'Rochester Hollow'!C7,'Onteora Lake'!C7,'Mt Tremper'!C7,'Ashokan HP'!C7,Vernooy!C7,'Red Hill Dinch Road '!C7,Flynn!C7,'Frick Pond'!C7,'Long Pond'!C7)</f>
        <v>1209</v>
      </c>
      <c r="D6" s="16">
        <f>SUM('Biscuit Brook'!D7,'Hardenburgh- MH Trail'!D7,'McKenley Hollow'!D7,'Mongaup Pond'!D7,'Rider Hollow'!D7,Seager!D7,Denning!D7,'Fox Hollow'!D7,'Giant Ledge'!D7,Peekamoose!D7,'Slide Mt'!D7,Wittenberg!D7,'Woodland Valley'!D7,'Kelly Hollow'!D7,'Millbrook to BLM FT'!D7,'Beaverkill Road to BLM FT'!D7,'Alder Lake'!D7,'Dry Brook Ridge to Lean-to '!D7,'Neversink Hardenburgh Trail'!D7,Overlook!D7,'Rochester Hollow'!D7,'Onteora Lake'!D7,'Mt Tremper'!D7,'Ashokan HP'!D7,Vernooy!D7,'Red Hill Dinch Road '!D7,Flynn!D7,'Frick Pond'!D7,'Long Pond'!D7)</f>
        <v>493</v>
      </c>
      <c r="E6" s="16">
        <f>SUM('Biscuit Brook'!E7,'Hardenburgh- MH Trail'!E7,'McKenley Hollow'!E7,'Mongaup Pond'!E7,'Rider Hollow'!E7,Seager!E7,Denning!E7,'Fox Hollow'!E7,'Giant Ledge'!E7,Peekamoose!E7,'Slide Mt'!E7,Wittenberg!E7,'Woodland Valley'!E7,'Kelly Hollow'!E7,'Millbrook to BLM FT'!E7,'Beaverkill Road to BLM FT'!E7,'Alder Lake'!E7,'Dry Brook Ridge to Lean-to '!E7,'Neversink Hardenburgh Trail'!E7,Overlook!E7,'Rochester Hollow'!E7,'Onteora Lake'!E7,'Mt Tremper'!E7,'Ashokan HP'!E7,Vernooy!E7,'Red Hill Dinch Road '!E7,Flynn!E7,'Frick Pond'!E7,'Long Pond'!E7)</f>
        <v>915</v>
      </c>
      <c r="F6" s="16">
        <f>SUM('Biscuit Brook'!F7,'Hardenburgh- MH Trail'!F7,'McKenley Hollow'!F7,'Mongaup Pond'!F7,'Rider Hollow'!F7,Seager!F7,Denning!F7,'Fox Hollow'!F7,'Giant Ledge'!F7,Peekamoose!F7,'Slide Mt'!F7,Wittenberg!F7,'Woodland Valley'!F7,'Kelly Hollow'!F7,'Millbrook to BLM FT'!F7,'Beaverkill Road to BLM FT'!F7,'Alder Lake'!F7,'Dry Brook Ridge to Lean-to '!F7,'Neversink Hardenburgh Trail'!F7,Overlook!F7,'Rochester Hollow'!F7,'Onteora Lake'!F7,'Mt Tremper'!F7,'Ashokan HP'!F7,Vernooy!F7,'Red Hill Dinch Road '!F7,Flynn!F7,'Frick Pond'!F7,'Long Pond'!F7)</f>
        <v>1864</v>
      </c>
      <c r="G6" s="16">
        <f>SUM('Biscuit Brook'!G7,'Hardenburgh- MH Trail'!G7,'McKenley Hollow'!G7,'Mongaup Pond'!G7,'Rider Hollow'!G7,Seager!G7,Denning!G7,'Fox Hollow'!G7,'Giant Ledge'!G7,Peekamoose!G7,'Slide Mt'!G7,Wittenberg!G7,'Woodland Valley'!G7,'Kelly Hollow'!G7,'Millbrook to BLM FT'!G7,'Beaverkill Road to BLM FT'!G7,'Alder Lake'!G7,'Dry Brook Ridge to Lean-to '!G7,'Neversink Hardenburgh Trail'!G7,Overlook!G7,'Rochester Hollow'!G7,'Onteora Lake'!G7,'Mt Tremper'!G7,'Ashokan HP'!G7,Vernooy!G7,'Red Hill Dinch Road '!G7,Flynn!G7,'Frick Pond'!G7,'Long Pond'!G7)</f>
        <v>1402</v>
      </c>
      <c r="H6" s="16">
        <f>SUM('Biscuit Brook'!H7,'Hardenburgh- MH Trail'!H7,'McKenley Hollow'!H7,'Mongaup Pond'!H7,'Rider Hollow'!H7,Seager!H7,Denning!H7,'Fox Hollow'!H7,'Giant Ledge'!H7,Peekamoose!H7,'Slide Mt'!H7,Wittenberg!H7,'Woodland Valley'!H7,'Kelly Hollow'!H7,'Millbrook to BLM FT'!H7,'Beaverkill Road to BLM FT'!H7,'Alder Lake'!H7,'Dry Brook Ridge to Lean-to '!H7,'Neversink Hardenburgh Trail'!H7,Overlook!H7,'Rochester Hollow'!H7,'Onteora Lake'!H7,'Mt Tremper'!H7,'Ashokan HP'!H7,Vernooy!H7,'Red Hill Dinch Road '!H7,Flynn!H7,'Frick Pond'!H7,'Long Pond'!H7)</f>
        <v>1435</v>
      </c>
      <c r="I6" s="16">
        <f>SUM('Biscuit Brook'!I7,'Hardenburgh- MH Trail'!I7,'McKenley Hollow'!I7,'Mongaup Pond'!I7,'Rider Hollow'!I7,Seager!I7,Denning!I7,'Fox Hollow'!I7,'Giant Ledge'!I7,Peekamoose!I7,'Slide Mt'!I7,Wittenberg!I7,'Woodland Valley'!I7,'Kelly Hollow'!I7,'Millbrook to BLM FT'!I7,'Beaverkill Road to BLM FT'!I7,'Alder Lake'!I7,'Dry Brook Ridge to Lean-to '!I7,'Neversink Hardenburgh Trail'!I7,Overlook!I7,'Rochester Hollow'!I7,'Onteora Lake'!I7,'Mt Tremper'!I7,'Ashokan HP'!I7,Vernooy!I7,'Red Hill Dinch Road '!I7,Flynn!I7,'Frick Pond'!I7,'Long Pond'!I7)</f>
        <v>1656</v>
      </c>
      <c r="J6" s="16">
        <f>SUM('Biscuit Brook'!J7,'Hardenburgh- MH Trail'!J7,'McKenley Hollow'!J7,'Mongaup Pond'!J7,'Rider Hollow'!J7,Seager!J7,Denning!J7,'Fox Hollow'!J7,'Giant Ledge'!J7,Peekamoose!J7,'Slide Mt'!J7,Wittenberg!J7,'Woodland Valley'!J7,'Kelly Hollow'!J7,'Millbrook to BLM FT'!J7,'Beaverkill Road to BLM FT'!J7,'Alder Lake'!J7,'Dry Brook Ridge to Lean-to '!J7,'Neversink Hardenburgh Trail'!J7,Overlook!J7,'Rochester Hollow'!J7,'Onteora Lake'!J7,'Mt Tremper'!J7,'Ashokan HP'!J7,Vernooy!J7,'Red Hill Dinch Road '!J7,Flynn!J7,'Frick Pond'!J7,'Long Pond'!J7)</f>
        <v>1824</v>
      </c>
      <c r="K6" s="16">
        <f>SUM('Biscuit Brook'!K7,'Hardenburgh- MH Trail'!K7,'McKenley Hollow'!K7,'Mongaup Pond'!K7,'Rider Hollow'!K7,Seager!K7,Denning!K7,'Fox Hollow'!K7,'Giant Ledge'!K7,Peekamoose!K7,'Slide Mt'!K7,Wittenberg!K7,'Woodland Valley'!K7,'Kelly Hollow'!K7,'Millbrook to BLM FT'!K7,'Beaverkill Road to BLM FT'!K7,'Alder Lake'!K7,'Dry Brook Ridge to Lean-to '!K7,'Neversink Hardenburgh Trail'!K7,Overlook!K7,'Rochester Hollow'!K7,'Onteora Lake'!K7,'Mt Tremper'!K7,'Ashokan HP'!K7,Vernooy!K7,'Red Hill Dinch Road '!K7,Flynn!K7,'Frick Pond'!K7,'Long Pond'!K7)</f>
        <v>1951</v>
      </c>
      <c r="L6" s="16">
        <f>SUM('Biscuit Brook'!L7,'Hardenburgh- MH Trail'!L7,'McKenley Hollow'!L7,'Mongaup Pond'!L7,'Rider Hollow'!L7,Seager!L7,Denning!L7,'Fox Hollow'!L7,'Giant Ledge'!L7,Peekamoose!L7,'Slide Mt'!L7,Wittenberg!L7,'Woodland Valley'!L7,'Kelly Hollow'!L7,'Millbrook to BLM FT'!L7,'Beaverkill Road to BLM FT'!L7,'Alder Lake'!L7,'Dry Brook Ridge to Lean-to '!L7,'Neversink Hardenburgh Trail'!L7,Overlook!L7,'Rochester Hollow'!L7,'Onteora Lake'!L7,'Mt Tremper'!L7,'Ashokan HP'!L7,Vernooy!L7,'Red Hill Dinch Road '!L7,Flynn!L7,'Frick Pond'!L7,'Long Pond'!L7)</f>
        <v>1265</v>
      </c>
      <c r="M6" s="16">
        <f>SUM('Biscuit Brook'!M7,'Hardenburgh- MH Trail'!M7,'McKenley Hollow'!M7,'Mongaup Pond'!M7,'Rider Hollow'!M7,Seager!M7,Denning!M7,'Fox Hollow'!M7,'Giant Ledge'!M7,Peekamoose!M7,'Slide Mt'!M7,Wittenberg!M7,'Woodland Valley'!M7,'Kelly Hollow'!M7,'Millbrook to BLM FT'!M7,'Beaverkill Road to BLM FT'!M7,'Alder Lake'!M7,'Dry Brook Ridge to Lean-to '!M7,'Neversink Hardenburgh Trail'!M7,Overlook!M7,'Rochester Hollow'!M7,'Onteora Lake'!M7,'Mt Tremper'!M7,'Ashokan HP'!M7,Vernooy!M7,'Red Hill Dinch Road '!M7,Flynn!M7,'Frick Pond'!M7,'Long Pond'!M7)</f>
        <v>2391</v>
      </c>
      <c r="N6" s="16">
        <f>SUM('Biscuit Brook'!N7,'Hardenburgh- MH Trail'!N7,'McKenley Hollow'!N7,'Mongaup Pond'!N7,'Rider Hollow'!N7,Seager!N7,Denning!N7,'Fox Hollow'!N7,'Giant Ledge'!N7,Peekamoose!N7,'Slide Mt'!N7,Wittenberg!N7,'Woodland Valley'!N7,'Kelly Hollow'!N7,'Millbrook to BLM FT'!N7,'Beaverkill Road to BLM FT'!N7,'Alder Lake'!N7,'Dry Brook Ridge to Lean-to '!N7,'Neversink Hardenburgh Trail'!N7,Overlook!N7,'Rochester Hollow'!N7,'Onteora Lake'!N7,'Mt Tremper'!N7,'Ashokan HP'!N7,Vernooy!N7,'Red Hill Dinch Road '!N7,Flynn!N7,'Frick Pond'!N7,'Long Pond'!N7)</f>
        <v>1513</v>
      </c>
      <c r="O6" s="16">
        <f>SUM('Biscuit Brook'!O7,'Hardenburgh- MH Trail'!O7,'McKenley Hollow'!O7,'Mongaup Pond'!O7,'Rider Hollow'!O7,Seager!O7,Denning!O7,'Fox Hollow'!O7,'Giant Ledge'!O7,Peekamoose!O7,'Slide Mt'!O7,Wittenberg!O7,'Woodland Valley'!O7,'Kelly Hollow'!O7,'Millbrook to BLM FT'!O7,'Beaverkill Road to BLM FT'!O7,'Alder Lake'!O7,'Dry Brook Ridge to Lean-to '!O7,'Neversink Hardenburgh Trail'!O7,Overlook!O7,'Rochester Hollow'!O7,'Onteora Lake'!O7,'Mt Tremper'!O7,'Ashokan HP'!O7,Vernooy!O7,'Red Hill Dinch Road '!O7,Flynn!O7,'Frick Pond'!O7,'Long Pond'!O7)</f>
        <v>1487</v>
      </c>
      <c r="P6" s="16">
        <f>SUM('Biscuit Brook'!P7,'Hardenburgh- MH Trail'!P7,'McKenley Hollow'!P7,'Mongaup Pond'!P7,'Rider Hollow'!P7,Seager!P7,Denning!P7,'Fox Hollow'!P7,'Giant Ledge'!P7,Peekamoose!P7,'Slide Mt'!P7,Wittenberg!P7,'Woodland Valley'!P7,'Kelly Hollow'!P7,'Millbrook to BLM FT'!P7,'Beaverkill Road to BLM FT'!P7,'Alder Lake'!P7,'Dry Brook Ridge to Lean-to '!P7,'Neversink Hardenburgh Trail'!P7,Overlook!P7,'Rochester Hollow'!P7,'Onteora Lake'!P7,'Mt Tremper'!P7,'Ashokan HP'!P7,Vernooy!P7,'Red Hill Dinch Road '!P7,Flynn!P7,'Frick Pond'!P7,'Long Pond'!P7)</f>
        <v>1512</v>
      </c>
      <c r="Q6" s="16">
        <f>SUM('Biscuit Brook'!Q7,'Hardenburgh- MH Trail'!Q7,'McKenley Hollow'!Q7,'Mongaup Pond'!Q7,'Rider Hollow'!Q7,Seager!Q7,Denning!Q7,'Fox Hollow'!Q7,'Giant Ledge'!Q7,Peekamoose!Q7,'Slide Mt'!Q7,Wittenberg!Q7,'Woodland Valley'!Q7,'Kelly Hollow'!Q7,'Millbrook to BLM FT'!Q7,'Beaverkill Road to BLM FT'!Q7,'Alder Lake'!Q7,'Dry Brook Ridge to Lean-to '!Q7,'Neversink Hardenburgh Trail'!Q7,Overlook!Q7,'Rochester Hollow'!Q7,'Onteora Lake'!Q7,'Mt Tremper'!Q7,'Ashokan HP'!Q7,Vernooy!Q7,'Red Hill Dinch Road '!Q7,Flynn!Q7,'Frick Pond'!Q7,'Long Pond'!Q7)</f>
        <v>1788</v>
      </c>
      <c r="R6" s="16">
        <f>SUM('Biscuit Brook'!R7,'Hardenburgh- MH Trail'!R7,'McKenley Hollow'!R7,'Mongaup Pond'!R7,'Rider Hollow'!R7,Seager!R7,Denning!R7,'Fox Hollow'!R7,'Giant Ledge'!R7,Peekamoose!R7,'Slide Mt'!R7,Wittenberg!R7,'Woodland Valley'!R7,'Kelly Hollow'!R7,'Millbrook to BLM FT'!R7,'Beaverkill Road to BLM FT'!R7,'Alder Lake'!R7,'Dry Brook Ridge to Lean-to '!R7,'Neversink Hardenburgh Trail'!R7,Overlook!R7,'Rochester Hollow'!R7,'Onteora Lake'!R7,'Mt Tremper'!R7,'Ashokan HP'!R7,Vernooy!R7,'Red Hill Dinch Road '!R7,Flynn!R7,'Frick Pond'!R7,'Long Pond'!R7)</f>
        <v>1423</v>
      </c>
      <c r="S6" s="16"/>
      <c r="T6" s="16"/>
      <c r="U6" s="17">
        <f>SUM('Biscuit Brook'!U7,'Hardenburgh- MH Trail'!U7,'McKenley Hollow'!U7,'Mongaup Pond'!U7,'Rider Hollow'!U7,Seager!U7,Denning!U7,'Fox Hollow'!U7,'Giant Ledge'!U7,Peekamoose!U7,'Slide Mt'!U7,Wittenberg!U7,'Woodland Valley'!U7,'Kelly Hollow'!U7,'Millbrook to BLM FT'!U7,'Beaverkill Road to BLM FT'!U7,'Alder Lake'!U7,'Dry Brook Ridge to Lean-to '!U7,'Neversink Hardenburgh Trail'!U7,Overlook!U7,'Rochester Hollow'!U7,'Onteora Lake'!U7,'Mt Tremper'!U7,'Ashokan HP'!U7,Vernooy!U7,'Red Hill Dinch Road '!U7,Flynn!U7,'Frick Pond'!U7,'Long Pond'!U7)</f>
        <v>1858</v>
      </c>
      <c r="V6" s="17"/>
      <c r="W6" s="17">
        <f>SUM('Biscuit Brook'!W7,'Hardenburgh- MH Trail'!W7,'McKenley Hollow'!W7,'Mongaup Pond'!W7,'Rider Hollow'!W7,Seager!W7,Denning!W7,'Fox Hollow'!W7,'Giant Ledge'!W7,Peekamoose!W7,'Slide Mt'!W7,Wittenberg!W7,'Woodland Valley'!W7,'Kelly Hollow'!W7,'Millbrook to BLM FT'!W7,'Beaverkill Road to BLM FT'!W7,'Alder Lake'!W7,'Dry Brook Ridge to Lean-to '!W7,'Neversink Hardenburgh Trail'!W7,Overlook!W7,'Rochester Hollow'!W7,'Onteora Lake'!W7,'Mt Tremper'!W7,'Ashokan HP'!W7,Vernooy!W7,'Red Hill Dinch Road '!W7,Flynn!W7,'Frick Pond'!W7,'Long Pond'!W7)</f>
        <v>3220</v>
      </c>
      <c r="X6" s="17">
        <f>SUM('Biscuit Brook'!X7,'Hardenburgh- MH Trail'!X7,'McKenley Hollow'!X7,'Mongaup Pond'!X7,'Rider Hollow'!X7,Seager!X7,Denning!X7,'Fox Hollow'!X7,'Giant Ledge'!X7,Peekamoose!X7,'Slide Mt'!X7,Wittenberg!X7,'Woodland Valley'!X7,'Kelly Hollow'!X7,'Millbrook to BLM FT'!X7,'Beaverkill Road to BLM FT'!X7,'Alder Lake'!X7,'Dry Brook Ridge to Lean-to '!X7,'Neversink Hardenburgh Trail'!X7,Overlook!X7,'Rochester Hollow'!X7,'Onteora Lake'!X7,'Mt Tremper'!X7,'Ashokan HP'!X7,Vernooy!X7,'Red Hill Dinch Road '!X7,Flynn!X7,'Frick Pond'!X7,'Long Pond'!X7)</f>
        <v>2679</v>
      </c>
      <c r="Y6" s="17">
        <f>SUM('Biscuit Brook'!Y7,'Hardenburgh- MH Trail'!Y7,'McKenley Hollow'!Y7,'Mongaup Pond'!Y7,'Rider Hollow'!Y7,Seager!Y7,Denning!Y7,'Fox Hollow'!Y7,'Giant Ledge'!Y7,Peekamoose!Y7,'Slide Mt'!Y7,Wittenberg!Y7,'Woodland Valley'!Y7,'Kelly Hollow'!Y7,'Millbrook to BLM FT'!Y7,'Beaverkill Road to BLM FT'!Y7,'Alder Lake'!Y7,'Dry Brook Ridge to Lean-to '!Y7,'Neversink Hardenburgh Trail'!Y7,Overlook!Y7,'Rochester Hollow'!Y7,'Onteora Lake'!Y7,'Mt Tremper'!Y7,'Ashokan HP'!Y7,Vernooy!Y7,'Red Hill Dinch Road '!Y7,Flynn!Y7,'Frick Pond'!Y7,'Long Pond'!Y7)</f>
        <v>1916</v>
      </c>
      <c r="Z6" s="17">
        <f>SUM('Biscuit Brook'!Z7,'Hardenburgh- MH Trail'!Z7,'McKenley Hollow'!Z7,'Mongaup Pond'!Z7,'Rider Hollow'!Z7,Seager!Z7,Denning!Z7,'Fox Hollow'!Z7,'Giant Ledge'!Z7,Peekamoose!Z7,'Slide Mt'!Z7,Wittenberg!Z7,'Woodland Valley'!Z7,'Lane Street'!Z7,'Kelly Hollow'!Z7,'Millbrook to BLM FT'!Z7,'Beaverkill Road to BLM FT'!Z7,'Alder Lake'!Z7,'Dry Brook Ridge to Lean-to '!Z7,'Neversink Hardenburgh Trail'!Z7,Overlook!Z7,'Rochester Hollow'!Z7,'Onteora Lake'!Z7,'Mt Tremper'!Z7,'Ashokan HP'!Z7,Vernooy!Z7,'Red Hill Dinch Road '!Z7,Flynn!Z7,'Frick Pond'!Z7,'Long Pond'!Z7)</f>
        <v>1974</v>
      </c>
      <c r="AA6" s="17">
        <f>SUM('Biscuit Brook'!AA7,'Hardenburgh- MH Trail'!AA7,'McKenley Hollow'!AA7,'Mongaup Pond'!AA7,'Rider Hollow'!AA7,Seager!AA7,Denning!AA7,'Fox Hollow'!AA7,'Giant Ledge'!AA7,Peekamoose!AA7,'Slide Mt'!AA7,Wittenberg!AA7,'Woodland Valley'!AA7,'Lane Street'!AA7,'Kelly Hollow'!AA7,'Millbrook to BLM FT'!AA7,'Beaverkill Road to BLM FT'!AA7,'Alder Lake'!AA7,'Dry Brook Ridge to Lean-to '!AA7,'Neversink Hardenburgh Trail'!AA7,Overlook!AA7,'Rochester Hollow'!AA7,'Onteora Lake'!AA7,'Mt Tremper'!AA7,'Ashokan HP'!AA7,Vernooy!AA7,'Red Hill Dinch Road '!AA7,Flynn!AA7,'Frick Pond'!AA7,'Long Pond'!AA7)</f>
        <v>3713.2333333333331</v>
      </c>
      <c r="AB6" s="17">
        <f>SUM('Biscuit Brook'!AB7,'Hardenburgh- MH Trail'!AB7,'McKenley Hollow'!AB7,'Mongaup Pond'!AB7,'Rider Hollow'!AB7,Seager!AB7,Denning!AB7,'Fox Hollow'!AB7,'Giant Ledge'!AB7,Peekamoose!AB7,'Slide Mt'!AB7,Wittenberg!AB7,'Woodland Valley'!AB7,'Lane Street'!AB7,'Kelly Hollow'!AB7,'Millbrook to BLM FT'!AB7,'Beaverkill Road to BLM FT'!AB7,'Alder Lake'!AB7,'Dry Brook Ridge to Lean-to '!AB7,'Neversink Hardenburgh Trail'!AB7,Overlook!AB7,'Rochester Hollow'!AB7,'Onteora Lake'!AB7,'Mt Tremper'!AB7,'Ashokan HP'!AB7,Vernooy!AB7,'Red Hill Dinch Road '!AB7,Flynn!AB7,'Frick Pond'!AB7,'Long Pond'!AB7)</f>
        <v>1945</v>
      </c>
      <c r="AC6" s="17">
        <f>SUM('Biscuit Brook'!AC7,'Hardenburgh- MH Trail'!AC7,'McKenley Hollow'!AC7,'Mongaup Pond'!AC7,'Rider Hollow'!AC7,Seager!AC7,Denning!AC7,'Fox Hollow'!AC7,'Giant Ledge'!AC7,Peekamoose!AC7,'Slide Mt'!AC7,Wittenberg!AC7,'Woodland Valley'!AC7,'Lane Street'!AC7,'Kelly Hollow'!AD7,'Millbrook to BLM FT'!AC7,'Beaverkill Road to BLM FT'!AC7,'Alder Lake'!AC7,'Dry Brook Ridge to Lean-to '!AC7,'Neversink Hardenburgh Trail'!AC7,Overlook!AC7,'Rochester Hollow'!AC7,'Onteora Lake'!AC7,'Mt Tremper'!AC7,'Ashokan HP'!AC7,Vernooy!AC7,'Red Hill Dinch Road '!AC7,Flynn!AC7,'Frick Pond'!AC7,'Long Pond'!AC7)</f>
        <v>3122</v>
      </c>
      <c r="AD6" s="17">
        <f>SUM('Biscuit Brook'!AD7,'Hardenburgh- MH Trail'!AD7,'McKenley Hollow'!AD7,'Mongaup Pond'!AD7,'Rider Hollow'!AD7,Seager!AD7,Denning!AD7,'Fox Hollow'!AD7,'Giant Ledge'!AD7,Peekamoose!AD7,'Slide Mt'!AD7,Wittenberg!AD7,'Woodland Valley'!AD7,'Lane Street'!AD7,'Kelly Hollow'!AE7,'Millbrook to BLM FT'!AD7,'Beaverkill Road to BLM FT'!AD7,'Alder Lake'!AD7,'Dry Brook Ridge to Lean-to '!AD7,'Neversink Hardenburgh Trail'!AD7,Overlook!AD7,'Rochester Hollow'!AD7,'Onteora Lake'!AD7,'Mt Tremper'!AD7,'Ashokan HP'!AD7,Vernooy!AD7,'Red Hill Dinch Road '!AD7,Flynn!AD7,'Frick Pond'!AD7,'Long Pond'!AD7)</f>
        <v>2785</v>
      </c>
      <c r="AE6" s="17">
        <f>SUM('Biscuit Brook'!AE7,'Hardenburgh- MH Trail'!AE7,'McKenley Hollow'!AE7,'Mongaup Pond'!AE7,'Rider Hollow'!AE7,Seager!AE7,Denning!AE7,'Fox Hollow'!AE7,'Giant Ledge'!AE7,Peekamoose!AE7,'Slide Mt'!AE7,Wittenberg!AE7,'Woodland Valley'!AE7,'Lane Street'!AE7,'Kelly Hollow'!AF7,'Millbrook to BLM FT'!AE7,'Beaverkill Road to BLM FT'!AE7,'Alder Lake'!AE7,'Dry Brook Ridge to Lean-to '!AE7,'Neversink Hardenburgh Trail'!AE7,Overlook!AE7,'Rochester Hollow'!AE7,'Onteora Lake'!AE7,'Mt Tremper'!AE7,'Ashokan HP'!AE7,Vernooy!AE7,'Red Hill Dinch Road '!AE7,Flynn!AE7,'Frick Pond'!AE7,'Long Pond'!AE7)</f>
        <v>4599.8888888888887</v>
      </c>
      <c r="AF6" s="17">
        <f>SUM('Biscuit Brook'!AF7,'Hardenburgh- MH Trail'!AF7,'McKenley Hollow'!AF7,'Mongaup Pond'!AF7,'Rider Hollow'!AF7,Seager!AF7,Denning!AF7,'Fox Hollow'!AF7,'Giant Ledge'!AF7,Peekamoose!AF7,'Slide Mt'!AF7,Wittenberg!AF7,'Woodland Valley'!AF7,'Lane Street'!AF7,'Kelly Hollow'!AG7,'Millbrook to BLM FT'!AF7,'Beaverkill Road to BLM FT'!AF7,'Alder Lake'!AF7,'Dry Brook Ridge to Lean-to '!AF7,'Neversink Hardenburgh Trail'!AF7,Overlook!AF7,'Rochester Hollow'!AF7,'Onteora Lake'!AF7,'Mt Tremper'!AF7,'Ashokan HP'!AF7,Vernooy!AF7,'Red Hill Dinch Road '!AF7,Flynn!AF7,'Frick Pond'!AF7,'Long Pond'!AF7,'Cathedral Glen'!AF7)</f>
        <v>3932.6666666666665</v>
      </c>
      <c r="AG6" s="17">
        <f>SUM('Biscuit Brook'!AG7,'Hardenburgh- MH Trail'!AG7,'McKenley Hollow'!AG7,'Mongaup Pond'!AG7,'Rider Hollow'!AG7,Seager!AG7,Denning!AG7,'Fox Hollow'!AG7,'Giant Ledge'!AG7,Peekamoose!AG7,'Slide Mt'!AG7,Wittenberg!AG7,'Woodland Valley'!AG7,'Lane Street'!AG7,'Kelly Hollow'!AH7,'Millbrook to BLM FT'!AG7,'Beaverkill Road to BLM FT'!AG7,'Alder Lake'!AG7,'Dry Brook Ridge to Lean-to '!AG7,'Neversink Hardenburgh Trail'!AG7,Overlook!AG7,'Rochester Hollow'!AG7,'Onteora Lake'!AG7,'Mt Tremper'!AG7,'Ashokan HP'!AG7,Vernooy!AG7,'Red Hill Dinch Road '!AG7,Flynn!AG7,'Frick Pond'!AG7,'Long Pond'!AG7,'Cathedral Glen'!AG7)</f>
        <v>2571</v>
      </c>
      <c r="AH6" s="17">
        <f>SUM('Biscuit Brook'!AH7,'Hardenburgh- MH Trail'!AH7,'McKenley Hollow'!AH7,'Mongaup Pond'!AH7,'Rider Hollow'!AH7,Seager!AH7,Denning!AH7,'Fox Hollow'!AH7,'Giant Ledge'!AH7,Peekamoose!AH7,'Slide Mt'!AH7,Wittenberg!AH7,'Woodland Valley'!AH7,'Lane Street'!AH7,'Kelly Hollow'!AI7,'Millbrook to BLM FT'!AH7,'Beaverkill Road to BLM FT'!AH7,'Alder Lake'!AH7,'Dry Brook Ridge to Lean-to '!AH7,'Neversink Hardenburgh Trail'!AH7,Overlook!AH7,'Rochester Hollow'!AH7,'Onteora Lake'!AH7,'Mt Tremper'!AH7,'Ashokan HP'!AH7,Vernooy!AH7,'Red Hill Dinch Road '!AH7,Flynn!AH7,'Frick Pond'!AH7,'Long Pond'!AH7,'Cathedral Glen'!AH7)</f>
        <v>2406</v>
      </c>
      <c r="AI6" s="17">
        <f>SUM('Biscuit Brook'!AI7,'Hardenburgh- MH Trail'!AI7,'McKenley Hollow'!AI7,'Mongaup Pond'!AI7,'Rider Hollow'!AI7,Seager!AI7,Denning!AI7,'Fox Hollow'!AI7,'Giant Ledge'!AI7,Peekamoose!AI7,'Slide Mt'!AI7,Wittenberg!AI7,'Woodland Valley'!AI7,'Lane Street'!AI7,'Kelly Hollow'!AJ7,'Millbrook to BLM FT'!AI7,'Beaverkill Road to BLM FT'!AI7,'Alder Lake'!AI7,'Dry Brook Ridge to Lean-to '!AI7,'Neversink Hardenburgh Trail'!AI7,Overlook!AI7,'Rochester Hollow'!AI7,'Onteora Lake'!AI7,'Mt Tremper'!AI7,'Ashokan HP'!AI7,Vernooy!AI7,'Red Hill Dinch Road '!AI7,Flynn!AI7,'Frick Pond'!AI7,'Long Pond'!AI7,'Cathedral Glen'!AI7)</f>
        <v>2075</v>
      </c>
      <c r="AJ6" s="17">
        <f>SUM('Biscuit Brook'!AJ7,'Hardenburgh- MH Trail'!AJ7,'McKenley Hollow'!AJ7,'Mongaup Pond'!AJ7,'Rider Hollow'!AJ7,Seager!AJ7,Denning!AJ7,'Fox Hollow'!AJ7,'Giant Ledge'!AJ7,Peekamoose!AJ7,'Slide Mt'!AJ7,Wittenberg!AJ7,'Woodland Valley'!AJ7,'Lane Street'!AJ7,'Kelly Hollow'!AK7,'Millbrook to BLM FT'!AJ7,'Beaverkill Road to BLM FT'!AJ7,'Alder Lake'!AJ7,'Dry Brook Ridge to Lean-to '!AJ7,'Neversink Hardenburgh Trail'!AJ7,Overlook!AJ7,'Rochester Hollow'!AJ7,'Onteora Lake'!AJ7,'Mt Tremper'!AJ7,'Ashokan HP'!AJ7,Vernooy!AJ7,'Red Hill Dinch Road '!AJ7,Flynn!AJ7,'Frick Pond'!AJ7,'Long Pond'!AJ7,'Cathedral Glen'!AJ7)</f>
        <v>1178</v>
      </c>
      <c r="AK6" s="17">
        <f>SUM('Biscuit Brook'!AK7,'Hardenburgh- MH Trail'!AK7,'McKenley Hollow'!AK7,'Mongaup Pond'!AK7,'Rider Hollow'!AK7,Seager!AK7,Denning!AK7,'Fox Hollow'!AK7,'Giant Ledge'!AK7,Peekamoose!AK7,'Slide Mt'!AK7,Wittenberg!AK7,'Woodland Valley'!AK7,'Lane Street'!AK7,'Kelly Hollow'!AL7,'Millbrook to BLM FT'!AK7,'Beaverkill Road to BLM FT'!AK7,'Alder Lake'!AK7,'Dry Brook Ridge to Lean-to '!AK7,'Neversink Hardenburgh Trail'!AK7,Overlook!AK7,'Rochester Hollow'!AK7,'Onteora Lake'!AK7,'Mt Tremper'!AK7,'Ashokan HP'!AK7,Vernooy!AK7,'Red Hill Dinch Road '!AK7,Flynn!AK7,'Frick Pond'!AK7,'Long Pond'!AK7,'Cathedral Glen'!AK7)</f>
        <v>0</v>
      </c>
      <c r="AL6" s="17">
        <f>SUM('Biscuit Brook'!AL7,'Hardenburgh- MH Trail'!AL7,'McKenley Hollow'!AL7,'Mongaup Pond'!AL7,'Rider Hollow'!AL7,Seager!AL7,Denning!AL7,'Fox Hollow'!AL7,'Giant Ledge'!AL7,Peekamoose!AL7,'Slide Mt'!AL7,Wittenberg!AL7,'Woodland Valley'!AL7,'Lane Street'!AL7,'Kelly Hollow'!AM7,'Millbrook to BLM FT'!AL7,'Beaverkill Road to BLM FT'!AL7,'Alder Lake'!AL7,'Dry Brook Ridge to Lean-to '!AL7,'Neversink Hardenburgh Trail'!AL7,Overlook!AL7,'Rochester Hollow'!AL7,'Onteora Lake'!AL7,'Mt Tremper'!AL7,'Ashokan HP'!AL7,Vernooy!AL7,'Red Hill Dinch Road '!AL7,Flynn!AL7,'Frick Pond'!AL7,'Long Pond'!AL7,'Cathedral Glen'!AL7)</f>
        <v>0</v>
      </c>
      <c r="AM6" s="17">
        <f>SUM('Biscuit Brook'!AM7,'Hardenburgh- MH Trail'!AM7,'McKenley Hollow'!AM7,'Mongaup Pond'!AM7,'Rider Hollow'!AM7,Seager!AM7,Denning!AM7,'Fox Hollow'!AM7,'Giant Ledge'!AM7,Peekamoose!AM7,'Slide Mt'!AM7,Wittenberg!AM7,'Woodland Valley'!AM7,'Lane Street'!AM7,'Kelly Hollow'!AN7,'Millbrook to BLM FT'!AM7,'Beaverkill Road to BLM FT'!AM7,'Alder Lake'!AM7,'Dry Brook Ridge to Lean-to '!AM7,'Neversink Hardenburgh Trail'!AM7,Overlook!AM7,'Rochester Hollow'!AM7,'Onteora Lake'!AM7,'Mt Tremper'!AM7,'Ashokan HP'!AM7,Vernooy!AM7,'Red Hill Dinch Road '!AM7,Flynn!AM7,'Frick Pond'!AM7,'Long Pond'!AM7,'Cathedral Glen'!AM7)</f>
        <v>0</v>
      </c>
      <c r="AN6" s="17">
        <f>SUM('Biscuit Brook'!AN7,'Hardenburgh- MH Trail'!AN7,'McKenley Hollow'!AN7,'Mongaup Pond'!AN7,'Rider Hollow'!AN7,Seager!AN7,Denning!AN7,'Fox Hollow'!AN7,'Giant Ledge'!AN7,Peekamoose!AN7,'Slide Mt'!AN7,Wittenberg!AN7,'Woodland Valley'!AN7,'Lane Street'!AN7,'Kelly Hollow'!AO7,'Millbrook to BLM FT'!AN7,'Beaverkill Road to BLM FT'!AN7,'Alder Lake'!AN7,'Dry Brook Ridge to Lean-to '!AN7,'Neversink Hardenburgh Trail'!AN7,Overlook!AN7,'Rochester Hollow'!AN7,'Onteora Lake'!AN7,'Mt Tremper'!AN7,'Ashokan HP'!AN7,Vernooy!AN7,'Red Hill Dinch Road '!AN7,Flynn!AN7,'Frick Pond'!AN7,'Long Pond'!AN7,'Cathedral Glen'!AN7)</f>
        <v>0</v>
      </c>
      <c r="AO6" s="17">
        <f>SUM('Biscuit Brook'!AO7,'Hardenburgh- MH Trail'!AO7,'McKenley Hollow'!AO7,'Mongaup Pond'!AO7,'Rider Hollow'!AO7,Seager!AO7,Denning!AO7,'Fox Hollow'!AO7,'Giant Ledge'!AO7,Peekamoose!AO7,'Slide Mt'!AO7,Wittenberg!AO7,'Woodland Valley'!AO7,'Lane Street'!AO7,'Kelly Hollow'!AP7,'Millbrook to BLM FT'!AO7,'Beaverkill Road to BLM FT'!AO7,'Alder Lake'!AO7,'Dry Brook Ridge to Lean-to '!AO7,'Neversink Hardenburgh Trail'!AO7,Overlook!AO7,'Rochester Hollow'!AO7,'Onteora Lake'!AO7,'Mt Tremper'!AO7,'Ashokan HP'!AO7,Vernooy!AO7,'Red Hill Dinch Road '!AO7,Flynn!AO7,'Frick Pond'!AO7,'Long Pond'!AO7,'Cathedral Glen'!AO7)</f>
        <v>0</v>
      </c>
      <c r="AP6" s="17">
        <f>SUM('Biscuit Brook'!AP7,'Hardenburgh- MH Trail'!AP7,'McKenley Hollow'!AP7,'Mongaup Pond'!AP7,'Rider Hollow'!AP7,Seager!AP7,Denning!AP7,'Fox Hollow'!AP7,'Giant Ledge'!AP7,Peekamoose!AP7,'Slide Mt'!AP7,Wittenberg!AP7,'Woodland Valley'!AP7,'Lane Street'!AP7,'Kelly Hollow'!AQ7,'Millbrook to BLM FT'!AP7,'Beaverkill Road to BLM FT'!AP7,'Alder Lake'!AP7,'Dry Brook Ridge to Lean-to '!AP7,'Neversink Hardenburgh Trail'!AP7,Overlook!AP7,'Rochester Hollow'!AP7,'Onteora Lake'!AP7,'Mt Tremper'!AP7,'Ashokan HP'!AP7,Vernooy!AP7,'Red Hill Dinch Road '!AP7,Flynn!AP7,'Frick Pond'!AP7,'Long Pond'!AP7,'Cathedral Glen'!AP7)</f>
        <v>0</v>
      </c>
      <c r="AQ6" s="17">
        <f>SUM('Biscuit Brook'!AQ7,'Hardenburgh- MH Trail'!AQ7,'McKenley Hollow'!AQ7,'Mongaup Pond'!AQ7,'Rider Hollow'!AQ7,Seager!AQ7,Denning!AQ7,'Fox Hollow'!AQ7,'Giant Ledge'!AQ7,Peekamoose!AQ7,'Slide Mt'!AQ7,Wittenberg!AQ7,'Woodland Valley'!AQ7,'Lane Street'!AQ7,'Kelly Hollow'!AR7,'Millbrook to BLM FT'!AQ7,'Beaverkill Road to BLM FT'!AQ7,'Alder Lake'!AQ7,'Dry Brook Ridge to Lean-to '!AQ7,'Neversink Hardenburgh Trail'!AQ7,Overlook!AQ7,'Rochester Hollow'!AQ7,'Onteora Lake'!AQ7,'Mt Tremper'!AQ7,'Ashokan HP'!AQ7,Vernooy!AQ7,'Red Hill Dinch Road '!AQ7,Flynn!AQ7,'Frick Pond'!AQ7,'Long Pond'!AQ7,'Cathedral Glen'!AQ7)</f>
        <v>0</v>
      </c>
      <c r="AR6" s="17">
        <f>SUM('Biscuit Brook'!AR7,'Hardenburgh- MH Trail'!AR7,'McKenley Hollow'!AR7,'Mongaup Pond'!AR7,'Rider Hollow'!AR7,Seager!AR7,Denning!AR7,'Fox Hollow'!AR7,'Giant Ledge'!AR7,Peekamoose!AR7,'Slide Mt'!AR7,Wittenberg!AR7,'Woodland Valley'!AR7,'Lane Street'!AR7,'Kelly Hollow'!AS7,'Millbrook to BLM FT'!AR7,'Beaverkill Road to BLM FT'!AR7,'Alder Lake'!AR7,'Dry Brook Ridge to Lean-to '!AR7,'Neversink Hardenburgh Trail'!AR7,Overlook!AR7,'Rochester Hollow'!AR7,'Onteora Lake'!AR7,'Mt Tremper'!AR7,'Ashokan HP'!AR7,Vernooy!AR7,'Red Hill Dinch Road '!AR7,Flynn!AR7,'Frick Pond'!AR7,'Long Pond'!AR7,'Cathedral Glen'!AR7)</f>
        <v>0</v>
      </c>
      <c r="AS6" s="17">
        <f>SUM('Biscuit Brook'!AS7,'Hardenburgh- MH Trail'!AS7,'McKenley Hollow'!AS7,'Mongaup Pond'!AS7,'Rider Hollow'!AS7,Seager!AS7,Denning!AS7,'Fox Hollow'!AS7,'Giant Ledge'!AS7,Peekamoose!AS7,'Slide Mt'!AS7,Wittenberg!AS7,'Woodland Valley'!AS7,'Lane Street'!AS7,'Kelly Hollow'!AT7,'Millbrook to BLM FT'!AS7,'Beaverkill Road to BLM FT'!AS7,'Alder Lake'!AS7,'Dry Brook Ridge to Lean-to '!AS7,'Neversink Hardenburgh Trail'!AS7,Overlook!AS7,'Rochester Hollow'!AS7,'Onteora Lake'!AS7,'Mt Tremper'!AS7,'Ashokan HP'!AS7,Vernooy!AS7,'Red Hill Dinch Road '!AS7,Flynn!AS7,'Frick Pond'!AS7,'Long Pond'!AS7,'Cathedral Glen'!AS7)</f>
        <v>0</v>
      </c>
      <c r="AT6" s="17">
        <f>SUM('Biscuit Brook'!AT7,'Hardenburgh- MH Trail'!AT7,'McKenley Hollow'!AT7,'Mongaup Pond'!AT7,'Rider Hollow'!AT7,Seager!AT7,Denning!AT7,'Fox Hollow'!AT7,'Giant Ledge'!AT7,Peekamoose!AT7,'Slide Mt'!AT7,Wittenberg!AT7,'Woodland Valley'!AT7,'Lane Street'!AT7,'Kelly Hollow'!AU7,'Millbrook to BLM FT'!AT7,'Beaverkill Road to BLM FT'!AT7,'Alder Lake'!AT7,'Dry Brook Ridge to Lean-to '!AT7,'Neversink Hardenburgh Trail'!AT7,Overlook!AT7,'Rochester Hollow'!AT7,'Onteora Lake'!AT7,'Mt Tremper'!AT7,'Ashokan HP'!AT7,Vernooy!AT7,'Red Hill Dinch Road '!AT7,Flynn!AT7,'Frick Pond'!AT7,'Long Pond'!AT7,'Cathedral Glen'!AT7)</f>
        <v>0</v>
      </c>
      <c r="AU6" s="17">
        <f>SUM('Biscuit Brook'!AU7,'Hardenburgh- MH Trail'!AU7,'McKenley Hollow'!AU7,'Mongaup Pond'!AU7,'Rider Hollow'!AU7,Seager!AU7,Denning!AU7,'Fox Hollow'!AU7,'Giant Ledge'!AU7,Peekamoose!AU7,'Slide Mt'!AU7,Wittenberg!AU7,'Woodland Valley'!AU7,'Lane Street'!AU7,'Kelly Hollow'!AV7,'Millbrook to BLM FT'!AU7,'Beaverkill Road to BLM FT'!AU7,'Alder Lake'!AU7,'Dry Brook Ridge to Lean-to '!AU7,'Neversink Hardenburgh Trail'!AU7,Overlook!AU7,'Rochester Hollow'!AU7,'Onteora Lake'!AU7,'Mt Tremper'!AU7,'Ashokan HP'!AU7,Vernooy!AU7,'Red Hill Dinch Road '!AU7,Flynn!AU7,'Frick Pond'!AU7,'Long Pond'!AU7,'Cathedral Glen'!AU7)</f>
        <v>0</v>
      </c>
      <c r="AV6" s="17">
        <f>SUM('Biscuit Brook'!AV7,'Hardenburgh- MH Trail'!AV7,'McKenley Hollow'!AV7,'Mongaup Pond'!AV7,'Rider Hollow'!AV7,Seager!AV7,Denning!AV7,'Fox Hollow'!AV7,'Giant Ledge'!AV7,Peekamoose!AV7,'Slide Mt'!AV7,Wittenberg!AV7,'Woodland Valley'!AV7,'Lane Street'!AV7,'Kelly Hollow'!AW7,'Millbrook to BLM FT'!AV7,'Beaverkill Road to BLM FT'!AV7,'Alder Lake'!AV7,'Dry Brook Ridge to Lean-to '!AV7,'Neversink Hardenburgh Trail'!AV7,Overlook!AV7,'Rochester Hollow'!AV7,'Onteora Lake'!AV7,'Mt Tremper'!AV7,'Ashokan HP'!AV7,Vernooy!AV7,'Red Hill Dinch Road '!AV7,Flynn!AV7,'Frick Pond'!AV7,'Long Pond'!AV7,'Cathedral Glen'!AV7)</f>
        <v>0</v>
      </c>
      <c r="AW6" s="17">
        <f>SUM('Biscuit Brook'!AW7,'Hardenburgh- MH Trail'!AW7,'McKenley Hollow'!AW7,'Mongaup Pond'!AW7,'Rider Hollow'!AW7,Seager!AW7,Denning!AW7,'Fox Hollow'!AW7,'Giant Ledge'!AW7,Peekamoose!AW7,'Slide Mt'!AW7,Wittenberg!AW7,'Woodland Valley'!AW7,'Lane Street'!AW7,'Kelly Hollow'!AX7,'Millbrook to BLM FT'!AW7,'Beaverkill Road to BLM FT'!AW7,'Alder Lake'!AW7,'Dry Brook Ridge to Lean-to '!AW7,'Neversink Hardenburgh Trail'!AW7,Overlook!AW7,'Rochester Hollow'!AW7,'Onteora Lake'!AW7,'Mt Tremper'!AW7,'Ashokan HP'!AW7,Vernooy!AW7,'Red Hill Dinch Road '!AW7,Flynn!AW7,'Frick Pond'!AW7,'Long Pond'!AW7,'Cathedral Glen'!AW7)</f>
        <v>0</v>
      </c>
      <c r="AX6" s="17">
        <f>SUM('Biscuit Brook'!AX7,'Hardenburgh- MH Trail'!AX7,'McKenley Hollow'!AX7,'Mongaup Pond'!AX7,'Rider Hollow'!AX7,Seager!AX7,Denning!AX7,'Fox Hollow'!AX7,'Giant Ledge'!AX7,Peekamoose!AX7,'Slide Mt'!AX7,Wittenberg!AX7,'Woodland Valley'!AX7,'Lane Street'!AX7,'Kelly Hollow'!AY7,'Millbrook to BLM FT'!AX7,'Beaverkill Road to BLM FT'!AX7,'Alder Lake'!AX7,'Dry Brook Ridge to Lean-to '!AX7,'Neversink Hardenburgh Trail'!AX7,Overlook!AX7,'Rochester Hollow'!AX7,'Onteora Lake'!AX7,'Mt Tremper'!AX7,'Ashokan HP'!AX7,Vernooy!AX7,'Red Hill Dinch Road '!AX7,Flynn!AX7,'Frick Pond'!AX7,'Long Pond'!AX7,'Cathedral Glen'!AX7)</f>
        <v>0</v>
      </c>
      <c r="AY6" s="17">
        <f>SUM('Biscuit Brook'!AY7,'Hardenburgh- MH Trail'!AY7,'McKenley Hollow'!AY7,'Mongaup Pond'!AY7,'Rider Hollow'!AY7,Seager!AY7,Denning!AY7,'Fox Hollow'!AY7,'Giant Ledge'!AY7,Peekamoose!AY7,'Slide Mt'!AY7,Wittenberg!AY7,'Woodland Valley'!AY7,'Lane Street'!AY7,'Kelly Hollow'!AZ7,'Millbrook to BLM FT'!AY7,'Beaverkill Road to BLM FT'!AY7,'Alder Lake'!AY7,'Dry Brook Ridge to Lean-to '!AY7,'Neversink Hardenburgh Trail'!AY7,Overlook!AY7,'Rochester Hollow'!AY7,'Onteora Lake'!AY7,'Mt Tremper'!AY7,'Ashokan HP'!AY7,Vernooy!AY7,'Red Hill Dinch Road '!AY7,Flynn!AY7,'Frick Pond'!AY7,'Long Pond'!AY7,'Cathedral Glen'!AY7)</f>
        <v>0</v>
      </c>
      <c r="AZ6" s="17" t="e">
        <f>SUM('Biscuit Brook'!AZ7,'Hardenburgh- MH Trail'!AZ7,'McKenley Hollow'!AZ7,'Mongaup Pond'!AZ7,'Rider Hollow'!AZ7,Seager!AZ7,Denning!AZ7,'Fox Hollow'!AZ7,'Giant Ledge'!AZ7,Peekamoose!AZ7,'Slide Mt'!AZ7,Wittenberg!AZ7,'Woodland Valley'!AZ7,'Lane Street'!AZ7,'Kelly Hollow'!BA7,'Millbrook to BLM FT'!AZ7,'Beaverkill Road to BLM FT'!AZ7,'Alder Lake'!AZ7,'Dry Brook Ridge to Lean-to '!AZ7,'Neversink Hardenburgh Trail'!AZ7,Overlook!AZ7,'Rochester Hollow'!AZ7,'Onteora Lake'!BA7,'Mt Tremper'!AZ7,'Ashokan HP'!AZ7,Vernooy!AZ7,'Red Hill Dinch Road '!AZ7,Flynn!AZ7,'Frick Pond'!AZ7,'Long Pond'!AZ7)</f>
        <v>#N/A</v>
      </c>
      <c r="BA6" s="96" t="e">
        <v>#N/A</v>
      </c>
      <c r="BB6" s="96" t="e">
        <v>#N/A</v>
      </c>
      <c r="BC6" s="96" t="e">
        <v>#N/A</v>
      </c>
      <c r="BD6" s="96" t="e">
        <v>#N/A</v>
      </c>
      <c r="BE6" s="96" t="e">
        <v>#N/A</v>
      </c>
      <c r="BF6" s="96" t="e">
        <v>#N/A</v>
      </c>
      <c r="BG6" s="96" t="e">
        <v>#N/A</v>
      </c>
      <c r="BH6" s="96" t="e">
        <v>#N/A</v>
      </c>
      <c r="BI6" s="96" t="e">
        <v>#N/A</v>
      </c>
      <c r="BJ6" s="96">
        <f t="shared" si="36"/>
        <v>1440.9</v>
      </c>
      <c r="BK6" s="96">
        <f t="shared" si="37"/>
        <v>1401.4</v>
      </c>
      <c r="BL6" s="96">
        <f t="shared" si="38"/>
        <v>1519.6</v>
      </c>
      <c r="BM6" s="96">
        <f t="shared" si="39"/>
        <v>1621.6</v>
      </c>
      <c r="BN6" s="96">
        <f t="shared" si="40"/>
        <v>1678.8</v>
      </c>
      <c r="BO6" s="96">
        <f t="shared" si="41"/>
        <v>1643.6</v>
      </c>
      <c r="BP6" s="96">
        <f t="shared" si="42"/>
        <v>1682.2</v>
      </c>
      <c r="BQ6" s="96">
        <f t="shared" si="43"/>
        <v>1681</v>
      </c>
      <c r="BR6" s="96">
        <f t="shared" si="44"/>
        <v>1683.7777777777778</v>
      </c>
      <c r="BS6" s="96">
        <f t="shared" si="45"/>
        <v>1666.25</v>
      </c>
      <c r="BT6" s="96">
        <f t="shared" si="46"/>
        <v>1654.625</v>
      </c>
      <c r="BU6" s="96">
        <f t="shared" si="47"/>
        <v>1710.2857142857142</v>
      </c>
      <c r="BV6" s="96">
        <f t="shared" si="48"/>
        <v>1828.7142857142858</v>
      </c>
      <c r="BW6" s="96">
        <f t="shared" si="49"/>
        <v>1995.2857142857142</v>
      </c>
      <c r="BX6" s="96">
        <f t="shared" si="50"/>
        <v>2056.5714285714284</v>
      </c>
      <c r="BY6" s="96">
        <f t="shared" si="51"/>
        <v>2122.5714285714284</v>
      </c>
      <c r="BZ6" s="96">
        <f t="shared" si="52"/>
        <v>2397.6047619047617</v>
      </c>
      <c r="CA6" s="96">
        <f t="shared" si="53"/>
        <v>2472.1761904761906</v>
      </c>
      <c r="CB6" s="96">
        <f t="shared" si="54"/>
        <v>2553.4041666666667</v>
      </c>
      <c r="CC6" s="96">
        <f t="shared" si="55"/>
        <v>2579.1370370370369</v>
      </c>
      <c r="CD6" s="96">
        <f t="shared" si="56"/>
        <v>2883.7913580246914</v>
      </c>
      <c r="CE6" s="96">
        <f t="shared" si="57"/>
        <v>2988.6788888888887</v>
      </c>
      <c r="CF6" s="96">
        <f t="shared" si="58"/>
        <v>2923.778888888889</v>
      </c>
      <c r="CG6" s="96">
        <f t="shared" si="59"/>
        <v>2896.4788888888888</v>
      </c>
      <c r="CH6" s="96">
        <f t="shared" si="60"/>
        <v>2912.3788888888889</v>
      </c>
      <c r="CI6" s="96">
        <f t="shared" si="61"/>
        <v>2832.778888888889</v>
      </c>
      <c r="CJ6" s="96">
        <f t="shared" si="62"/>
        <v>2734.9506172839506</v>
      </c>
      <c r="CK6" s="96">
        <f t="shared" si="63"/>
        <v>2833.6944444444443</v>
      </c>
      <c r="CL6" s="96">
        <f t="shared" si="64"/>
        <v>2792.5079365079364</v>
      </c>
      <c r="CM6" s="96">
        <f t="shared" si="65"/>
        <v>2793.7592592592591</v>
      </c>
      <c r="CN6" s="96">
        <f t="shared" si="66"/>
        <v>2432.5333333333333</v>
      </c>
      <c r="CO6" s="96">
        <f t="shared" si="67"/>
        <v>2057.5</v>
      </c>
      <c r="CP6" s="96">
        <f t="shared" si="68"/>
        <v>1886.3333333333333</v>
      </c>
      <c r="CQ6" s="96">
        <f t="shared" si="69"/>
        <v>1626.5</v>
      </c>
      <c r="CR6" s="96">
        <f t="shared" si="70"/>
        <v>1178</v>
      </c>
      <c r="CS6" s="96" t="e">
        <f t="shared" si="71"/>
        <v>#DIV/0!</v>
      </c>
      <c r="CT6" s="96" t="e">
        <f t="shared" si="72"/>
        <v>#DIV/0!</v>
      </c>
      <c r="CU6" s="96" t="e">
        <f t="shared" si="73"/>
        <v>#DIV/0!</v>
      </c>
      <c r="CV6" s="96" t="e">
        <f t="shared" si="74"/>
        <v>#DIV/0!</v>
      </c>
      <c r="CW6" s="96" t="e">
        <f t="shared" si="75"/>
        <v>#DIV/0!</v>
      </c>
      <c r="CX6" s="96" t="e">
        <f t="shared" si="76"/>
        <v>#DIV/0!</v>
      </c>
      <c r="CY6" s="96" t="e">
        <f t="shared" si="77"/>
        <v>#DIV/0!</v>
      </c>
    </row>
    <row r="7" spans="1:103" ht="20" customHeight="1" x14ac:dyDescent="0.2">
      <c r="A7" s="7" t="s">
        <v>3</v>
      </c>
      <c r="B7" s="14">
        <f>SUM('Biscuit Brook'!B8,'Hardenburgh- MH Trail'!B8,'McKenley Hollow'!B8,'Mongaup Pond'!B8,'Rider Hollow'!B8,Seager!B8,Denning!B8,'Fox Hollow'!B8,'Giant Ledge'!B8,Peekamoose!B8,'Slide Mt'!B8,Wittenberg!B8,'Woodland Valley'!B8,'Kelly Hollow'!B8,'Millbrook to BLM FT'!B8,'Beaverkill Road to BLM FT'!B8,'Alder Lake'!B8,'Dry Brook Ridge to Lean-to '!B8,'Neversink Hardenburgh Trail'!B8,Overlook!B8,'Rochester Hollow'!B8,'Onteora Lake'!B8,'Mt Tremper'!B8,'Ashokan HP'!B8,Vernooy!B8,'Red Hill Dinch Road '!B8,Flynn!B8,'Frick Pond'!B8,'Long Pond'!B8)</f>
        <v>2695</v>
      </c>
      <c r="C7" s="14">
        <f>SUM('Biscuit Brook'!C8,'Hardenburgh- MH Trail'!C8,'McKenley Hollow'!C8,'Mongaup Pond'!C8,'Rider Hollow'!C8,Seager!C8,Denning!C8,'Fox Hollow'!C8,'Giant Ledge'!C8,Peekamoose!C8,'Slide Mt'!C8,Wittenberg!C8,'Woodland Valley'!C8,'Kelly Hollow'!C8,'Millbrook to BLM FT'!C8,'Beaverkill Road to BLM FT'!C8,'Alder Lake'!C8,'Dry Brook Ridge to Lean-to '!C8,'Neversink Hardenburgh Trail'!C8,Overlook!C8,'Rochester Hollow'!C8,'Onteora Lake'!C8,'Mt Tremper'!C8,'Ashokan HP'!C8,Vernooy!C8,'Red Hill Dinch Road '!C8,Flynn!C8,'Frick Pond'!C8,'Long Pond'!C8)</f>
        <v>1762</v>
      </c>
      <c r="D7" s="14">
        <f>SUM('Biscuit Brook'!D8,'Hardenburgh- MH Trail'!D8,'McKenley Hollow'!D8,'Mongaup Pond'!D8,'Rider Hollow'!D8,Seager!D8,Denning!D8,'Fox Hollow'!D8,'Giant Ledge'!D8,Peekamoose!D8,'Slide Mt'!D8,Wittenberg!D8,'Woodland Valley'!D8,'Kelly Hollow'!D8,'Millbrook to BLM FT'!D8,'Beaverkill Road to BLM FT'!D8,'Alder Lake'!D8,'Dry Brook Ridge to Lean-to '!D8,'Neversink Hardenburgh Trail'!D8,Overlook!D8,'Rochester Hollow'!D8,'Onteora Lake'!D8,'Mt Tremper'!D8,'Ashokan HP'!D8,Vernooy!D8,'Red Hill Dinch Road '!D8,Flynn!D8,'Frick Pond'!D8,'Long Pond'!D8)</f>
        <v>1507</v>
      </c>
      <c r="E7" s="14">
        <f>SUM('Biscuit Brook'!E8,'Hardenburgh- MH Trail'!E8,'McKenley Hollow'!E8,'Mongaup Pond'!E8,'Rider Hollow'!E8,Seager!E8,Denning!E8,'Fox Hollow'!E8,'Giant Ledge'!E8,Peekamoose!E8,'Slide Mt'!E8,Wittenberg!E8,'Woodland Valley'!E8,'Kelly Hollow'!E8,'Millbrook to BLM FT'!E8,'Beaverkill Road to BLM FT'!E8,'Alder Lake'!E8,'Dry Brook Ridge to Lean-to '!E8,'Neversink Hardenburgh Trail'!E8,Overlook!E8,'Rochester Hollow'!E8,'Onteora Lake'!E8,'Mt Tremper'!E8,'Ashokan HP'!E8,Vernooy!E8,'Red Hill Dinch Road '!E8,Flynn!E8,'Frick Pond'!E8,'Long Pond'!E8)</f>
        <v>1985</v>
      </c>
      <c r="F7" s="14">
        <f>SUM('Biscuit Brook'!F8,'Hardenburgh- MH Trail'!F8,'McKenley Hollow'!F8,'Mongaup Pond'!F8,'Rider Hollow'!F8,Seager!F8,Denning!F8,'Fox Hollow'!F8,'Giant Ledge'!F8,Peekamoose!F8,'Slide Mt'!F8,Wittenberg!F8,'Woodland Valley'!F8,'Kelly Hollow'!F8,'Millbrook to BLM FT'!F8,'Beaverkill Road to BLM FT'!F8,'Alder Lake'!F8,'Dry Brook Ridge to Lean-to '!F8,'Neversink Hardenburgh Trail'!F8,Overlook!F8,'Rochester Hollow'!F8,'Onteora Lake'!F8,'Mt Tremper'!F8,'Ashokan HP'!F8,Vernooy!F8,'Red Hill Dinch Road '!F8,Flynn!F8,'Frick Pond'!F8,'Long Pond'!F8)</f>
        <v>3210</v>
      </c>
      <c r="G7" s="14">
        <f>SUM('Biscuit Brook'!G8,'Hardenburgh- MH Trail'!G8,'McKenley Hollow'!G8,'Mongaup Pond'!G8,'Rider Hollow'!G8,Seager!G8,Denning!G8,'Fox Hollow'!G8,'Giant Ledge'!G8,Peekamoose!G8,'Slide Mt'!G8,Wittenberg!G8,'Woodland Valley'!G8,'Kelly Hollow'!G8,'Millbrook to BLM FT'!G8,'Beaverkill Road to BLM FT'!G8,'Alder Lake'!G8,'Dry Brook Ridge to Lean-to '!G8,'Neversink Hardenburgh Trail'!G8,Overlook!G8,'Rochester Hollow'!G8,'Onteora Lake'!G8,'Mt Tremper'!G8,'Ashokan HP'!G8,Vernooy!G8,'Red Hill Dinch Road '!G8,Flynn!G8,'Frick Pond'!G8,'Long Pond'!G8)</f>
        <v>2169</v>
      </c>
      <c r="H7" s="14">
        <f>SUM('Biscuit Brook'!H8,'Hardenburgh- MH Trail'!H8,'McKenley Hollow'!H8,'Mongaup Pond'!H8,'Rider Hollow'!H8,Seager!H8,Denning!H8,'Fox Hollow'!H8,'Giant Ledge'!H8,Peekamoose!H8,'Slide Mt'!H8,Wittenberg!H8,'Woodland Valley'!H8,'Kelly Hollow'!H8,'Millbrook to BLM FT'!H8,'Beaverkill Road to BLM FT'!H8,'Alder Lake'!H8,'Dry Brook Ridge to Lean-to '!H8,'Neversink Hardenburgh Trail'!H8,Overlook!H8,'Rochester Hollow'!H8,'Onteora Lake'!H8,'Mt Tremper'!H8,'Ashokan HP'!H8,Vernooy!H8,'Red Hill Dinch Road '!H8,Flynn!H8,'Frick Pond'!H8,'Long Pond'!H8)</f>
        <v>2231</v>
      </c>
      <c r="I7" s="14">
        <f>SUM('Biscuit Brook'!I8,'Hardenburgh- MH Trail'!I8,'McKenley Hollow'!I8,'Mongaup Pond'!I8,'Rider Hollow'!I8,Seager!I8,Denning!I8,'Fox Hollow'!I8,'Giant Ledge'!I8,Peekamoose!I8,'Slide Mt'!I8,Wittenberg!I8,'Woodland Valley'!I8,'Kelly Hollow'!I8,'Millbrook to BLM FT'!I8,'Beaverkill Road to BLM FT'!I8,'Alder Lake'!I8,'Dry Brook Ridge to Lean-to '!I8,'Neversink Hardenburgh Trail'!I8,Overlook!I8,'Rochester Hollow'!I8,'Onteora Lake'!I8,'Mt Tremper'!I8,'Ashokan HP'!I8,Vernooy!I8,'Red Hill Dinch Road '!I8,Flynn!I8,'Frick Pond'!I8,'Long Pond'!I8)</f>
        <v>2982</v>
      </c>
      <c r="J7" s="14">
        <f>SUM('Biscuit Brook'!J8,'Hardenburgh- MH Trail'!J8,'McKenley Hollow'!J8,'Mongaup Pond'!J8,'Rider Hollow'!J8,Seager!J8,Denning!J8,'Fox Hollow'!J8,'Giant Ledge'!J8,Peekamoose!J8,'Slide Mt'!J8,Wittenberg!J8,'Woodland Valley'!J8,'Kelly Hollow'!J8,'Millbrook to BLM FT'!J8,'Beaverkill Road to BLM FT'!J8,'Alder Lake'!J8,'Dry Brook Ridge to Lean-to '!J8,'Neversink Hardenburgh Trail'!J8,Overlook!J8,'Rochester Hollow'!J8,'Onteora Lake'!J8,'Mt Tremper'!J8,'Ashokan HP'!J8,Vernooy!J8,'Red Hill Dinch Road '!J8,Flynn!J8,'Frick Pond'!J8,'Long Pond'!J8)</f>
        <v>2831</v>
      </c>
      <c r="K7" s="14">
        <f>SUM('Biscuit Brook'!K8,'Hardenburgh- MH Trail'!K8,'McKenley Hollow'!K8,'Mongaup Pond'!K8,'Rider Hollow'!K8,Seager!K8,Denning!K8,'Fox Hollow'!K8,'Giant Ledge'!K8,Peekamoose!K8,'Slide Mt'!K8,Wittenberg!K8,'Woodland Valley'!K8,'Kelly Hollow'!K8,'Millbrook to BLM FT'!K8,'Beaverkill Road to BLM FT'!K8,'Alder Lake'!K8,'Dry Brook Ridge to Lean-to '!K8,'Neversink Hardenburgh Trail'!K8,Overlook!K8,'Rochester Hollow'!K8,'Onteora Lake'!K8,'Mt Tremper'!K8,'Ashokan HP'!K8,Vernooy!K8,'Red Hill Dinch Road '!K8,Flynn!K8,'Frick Pond'!K8,'Long Pond'!K8)</f>
        <v>2209</v>
      </c>
      <c r="L7" s="14">
        <f>SUM('Biscuit Brook'!L8,'Hardenburgh- MH Trail'!L8,'McKenley Hollow'!L8,'Mongaup Pond'!L8,'Rider Hollow'!L8,Seager!L8,Denning!L8,'Fox Hollow'!L8,'Giant Ledge'!L8,Peekamoose!L8,'Slide Mt'!L8,Wittenberg!L8,'Woodland Valley'!L8,'Kelly Hollow'!L8,'Millbrook to BLM FT'!L8,'Beaverkill Road to BLM FT'!L8,'Alder Lake'!L8,'Dry Brook Ridge to Lean-to '!L8,'Neversink Hardenburgh Trail'!L8,Overlook!L8,'Rochester Hollow'!L8,'Onteora Lake'!L8,'Mt Tremper'!L8,'Ashokan HP'!L8,Vernooy!L8,'Red Hill Dinch Road '!L8,Flynn!L8,'Frick Pond'!L8,'Long Pond'!L8)</f>
        <v>2235</v>
      </c>
      <c r="M7" s="14">
        <f>SUM('Biscuit Brook'!M8,'Hardenburgh- MH Trail'!M8,'McKenley Hollow'!M8,'Mongaup Pond'!M8,'Rider Hollow'!M8,Seager!M8,Denning!M8,'Fox Hollow'!M8,'Giant Ledge'!M8,Peekamoose!M8,'Slide Mt'!M8,Wittenberg!M8,'Woodland Valley'!M8,'Kelly Hollow'!M8,'Millbrook to BLM FT'!M8,'Beaverkill Road to BLM FT'!M8,'Alder Lake'!M8,'Dry Brook Ridge to Lean-to '!M8,'Neversink Hardenburgh Trail'!M8,Overlook!M8,'Rochester Hollow'!M8,'Onteora Lake'!M8,'Mt Tremper'!M8,'Ashokan HP'!M8,Vernooy!M8,'Red Hill Dinch Road '!M8,Flynn!M8,'Frick Pond'!M8,'Long Pond'!M8)</f>
        <v>2497</v>
      </c>
      <c r="N7" s="14">
        <f>SUM('Biscuit Brook'!N8,'Hardenburgh- MH Trail'!N8,'McKenley Hollow'!N8,'Mongaup Pond'!N8,'Rider Hollow'!N8,Seager!N8,Denning!N8,'Fox Hollow'!N8,'Giant Ledge'!N8,Peekamoose!N8,'Slide Mt'!N8,Wittenberg!N8,'Woodland Valley'!N8,'Kelly Hollow'!N8,'Millbrook to BLM FT'!N8,'Beaverkill Road to BLM FT'!N8,'Alder Lake'!N8,'Dry Brook Ridge to Lean-to '!N8,'Neversink Hardenburgh Trail'!N8,Overlook!N8,'Rochester Hollow'!N8,'Onteora Lake'!N8,'Mt Tremper'!N8,'Ashokan HP'!N8,Vernooy!N8,'Red Hill Dinch Road '!N8,Flynn!N8,'Frick Pond'!N8,'Long Pond'!N8)</f>
        <v>2251</v>
      </c>
      <c r="O7" s="14">
        <f>SUM('Biscuit Brook'!O8,'Hardenburgh- MH Trail'!O8,'McKenley Hollow'!O8,'Mongaup Pond'!O8,'Rider Hollow'!O8,Seager!O8,Denning!O8,'Fox Hollow'!O8,'Giant Ledge'!O8,Peekamoose!O8,'Slide Mt'!O8,Wittenberg!O8,'Woodland Valley'!O8,'Kelly Hollow'!O8,'Millbrook to BLM FT'!O8,'Beaverkill Road to BLM FT'!O8,'Alder Lake'!O8,'Dry Brook Ridge to Lean-to '!O8,'Neversink Hardenburgh Trail'!O8,Overlook!O8,'Rochester Hollow'!O8,'Onteora Lake'!O8,'Mt Tremper'!O8,'Ashokan HP'!O8,Vernooy!O8,'Red Hill Dinch Road '!O8,Flynn!O8,'Frick Pond'!O8,'Long Pond'!O8)</f>
        <v>2685</v>
      </c>
      <c r="P7" s="14">
        <f>SUM('Biscuit Brook'!P8,'Hardenburgh- MH Trail'!P8,'McKenley Hollow'!P8,'Mongaup Pond'!P8,'Rider Hollow'!P8,Seager!P8,Denning!P8,'Fox Hollow'!P8,'Giant Ledge'!P8,Peekamoose!P8,'Slide Mt'!P8,Wittenberg!P8,'Woodland Valley'!P8,'Kelly Hollow'!P8,'Millbrook to BLM FT'!P8,'Beaverkill Road to BLM FT'!P8,'Alder Lake'!P8,'Dry Brook Ridge to Lean-to '!P8,'Neversink Hardenburgh Trail'!P8,Overlook!P8,'Rochester Hollow'!P8,'Onteora Lake'!P8,'Mt Tremper'!P8,'Ashokan HP'!P8,Vernooy!P8,'Red Hill Dinch Road '!P8,Flynn!P8,'Frick Pond'!P8,'Long Pond'!P8)</f>
        <v>2074</v>
      </c>
      <c r="Q7" s="14">
        <f>SUM('Biscuit Brook'!Q8,'Hardenburgh- MH Trail'!Q8,'McKenley Hollow'!Q8,'Mongaup Pond'!Q8,'Rider Hollow'!Q8,Seager!Q8,Denning!Q8,'Fox Hollow'!Q8,'Giant Ledge'!Q8,Peekamoose!Q8,'Slide Mt'!Q8,Wittenberg!Q8,'Woodland Valley'!Q8,'Kelly Hollow'!Q8,'Millbrook to BLM FT'!Q8,'Beaverkill Road to BLM FT'!Q8,'Alder Lake'!Q8,'Dry Brook Ridge to Lean-to '!Q8,'Neversink Hardenburgh Trail'!Q8,Overlook!Q8,'Rochester Hollow'!Q8,'Onteora Lake'!Q8,'Mt Tremper'!Q8,'Ashokan HP'!Q8,Vernooy!Q8,'Red Hill Dinch Road '!Q8,Flynn!Q8,'Frick Pond'!Q8,'Long Pond'!Q8)</f>
        <v>3516</v>
      </c>
      <c r="R7" s="14">
        <f>SUM('Biscuit Brook'!R8,'Hardenburgh- MH Trail'!R8,'McKenley Hollow'!R8,'Mongaup Pond'!R8,'Rider Hollow'!R8,Seager!R8,Denning!R8,'Fox Hollow'!R8,'Giant Ledge'!R8,Peekamoose!R8,'Slide Mt'!R8,Wittenberg!R8,'Woodland Valley'!R8,'Kelly Hollow'!R8,'Millbrook to BLM FT'!R8,'Beaverkill Road to BLM FT'!R8,'Alder Lake'!R8,'Dry Brook Ridge to Lean-to '!R8,'Neversink Hardenburgh Trail'!R8,Overlook!R8,'Rochester Hollow'!R8,'Onteora Lake'!R8,'Mt Tremper'!R8,'Ashokan HP'!R8,Vernooy!R8,'Red Hill Dinch Road '!R8,Flynn!R8,'Frick Pond'!R8,'Long Pond'!R8)</f>
        <v>2396</v>
      </c>
      <c r="S7" s="14"/>
      <c r="T7" s="14"/>
      <c r="U7" s="15">
        <f>SUM('Biscuit Brook'!U8,'Hardenburgh- MH Trail'!U8,'McKenley Hollow'!U8,'Mongaup Pond'!U8,'Rider Hollow'!U8,Seager!U8,Denning!U8,'Fox Hollow'!U8,'Giant Ledge'!U8,Peekamoose!U8,'Slide Mt'!U8,Wittenberg!U8,'Woodland Valley'!U8,'Kelly Hollow'!U8,'Millbrook to BLM FT'!U8,'Beaverkill Road to BLM FT'!U8,'Alder Lake'!U8,'Dry Brook Ridge to Lean-to '!U8,'Neversink Hardenburgh Trail'!U8,Overlook!U8,'Rochester Hollow'!U8,'Onteora Lake'!U8,'Mt Tremper'!U8,'Ashokan HP'!U8,Vernooy!U8,'Red Hill Dinch Road '!U8,Flynn!U8,'Frick Pond'!U8,'Long Pond'!U8)</f>
        <v>3913</v>
      </c>
      <c r="V7" s="15"/>
      <c r="W7" s="15">
        <f>SUM('Biscuit Brook'!W8,'Hardenburgh- MH Trail'!W8,'McKenley Hollow'!W8,'Mongaup Pond'!W8,'Rider Hollow'!W8,Seager!W8,Denning!W8,'Fox Hollow'!W8,'Giant Ledge'!W8,Peekamoose!W8,'Slide Mt'!W8,Wittenberg!W8,'Woodland Valley'!W8,'Kelly Hollow'!W8,'Millbrook to BLM FT'!W8,'Beaverkill Road to BLM FT'!W8,'Alder Lake'!W8,'Dry Brook Ridge to Lean-to '!W8,'Neversink Hardenburgh Trail'!W8,Overlook!W8,'Rochester Hollow'!W8,'Onteora Lake'!W8,'Mt Tremper'!W8,'Ashokan HP'!W8,Vernooy!W8,'Red Hill Dinch Road '!W8,Flynn!W8,'Frick Pond'!W8,'Long Pond'!W8)</f>
        <v>3992</v>
      </c>
      <c r="X7" s="15">
        <f>SUM('Biscuit Brook'!X8,'Hardenburgh- MH Trail'!X8,'McKenley Hollow'!X8,'Mongaup Pond'!X8,'Rider Hollow'!X8,Seager!X8,Denning!X8,'Fox Hollow'!X8,'Giant Ledge'!X8,Peekamoose!X8,'Slide Mt'!X8,Wittenberg!X8,'Woodland Valley'!X8,'Kelly Hollow'!X8,'Millbrook to BLM FT'!X8,'Beaverkill Road to BLM FT'!X8,'Alder Lake'!X8,'Dry Brook Ridge to Lean-to '!X8,'Neversink Hardenburgh Trail'!X8,Overlook!X8,'Rochester Hollow'!X8,'Onteora Lake'!X8,'Mt Tremper'!X8,'Ashokan HP'!X8,Vernooy!X8,'Red Hill Dinch Road '!X8,Flynn!X8,'Frick Pond'!X8,'Long Pond'!X8)</f>
        <v>3469</v>
      </c>
      <c r="Y7" s="15">
        <f>SUM('Biscuit Brook'!Y8,'Hardenburgh- MH Trail'!Y8,'McKenley Hollow'!Y8,'Mongaup Pond'!Y8,'Rider Hollow'!Y8,Seager!Y8,Denning!Y8,'Fox Hollow'!Y8,'Giant Ledge'!Y8,Peekamoose!Y8,'Slide Mt'!Y8,Wittenberg!Y8,'Woodland Valley'!Y8,'Kelly Hollow'!Y8,'Millbrook to BLM FT'!Y8,'Beaverkill Road to BLM FT'!Y8,'Alder Lake'!Y8,'Dry Brook Ridge to Lean-to '!Y8,'Neversink Hardenburgh Trail'!Y8,Overlook!Y8,'Rochester Hollow'!Y8,'Onteora Lake'!Y8,'Mt Tremper'!Y8,'Ashokan HP'!Y8,Vernooy!Y8,'Red Hill Dinch Road '!Y8,Flynn!Y8,'Frick Pond'!Y8,'Long Pond'!Y8)</f>
        <v>3562</v>
      </c>
      <c r="Z7" s="15">
        <f>SUM('Biscuit Brook'!Z8,'Hardenburgh- MH Trail'!Z8,'McKenley Hollow'!Z8,'Mongaup Pond'!Z8,'Rider Hollow'!Z8,Seager!Z8,Denning!Z8,'Fox Hollow'!Z8,'Giant Ledge'!Z8,Peekamoose!Z8,'Slide Mt'!Z8,Wittenberg!Z8,'Woodland Valley'!Z8,'Lane Street'!Z8,'Kelly Hollow'!Z8,'Millbrook to BLM FT'!Z8,'Beaverkill Road to BLM FT'!Z8,'Alder Lake'!Z8,'Dry Brook Ridge to Lean-to '!Z8,'Neversink Hardenburgh Trail'!Z8,Overlook!Z8,'Rochester Hollow'!Z8,'Onteora Lake'!Z8,'Mt Tremper'!Z8,'Ashokan HP'!Z8,Vernooy!Z8,'Red Hill Dinch Road '!Z8,Flynn!Z8,'Frick Pond'!Z8,'Long Pond'!Z8)</f>
        <v>4018</v>
      </c>
      <c r="AA7" s="15">
        <f>SUM('Biscuit Brook'!AA8,'Hardenburgh- MH Trail'!AA8,'McKenley Hollow'!AA8,'Mongaup Pond'!AA8,'Rider Hollow'!AA8,Seager!AA8,Denning!AA8,'Fox Hollow'!AA8,'Giant Ledge'!AA8,Peekamoose!AA8,'Slide Mt'!AA8,Wittenberg!AA8,'Woodland Valley'!AA8,'Lane Street'!AA8,'Kelly Hollow'!AA8,'Millbrook to BLM FT'!AA8,'Beaverkill Road to BLM FT'!AA8,'Alder Lake'!AA8,'Dry Brook Ridge to Lean-to '!AA8,'Neversink Hardenburgh Trail'!AA8,Overlook!AA8,'Rochester Hollow'!AA8,'Onteora Lake'!AA8,'Mt Tremper'!AA8,'Ashokan HP'!AA8,Vernooy!AA8,'Red Hill Dinch Road '!AA8,Flynn!AA8,'Frick Pond'!AA8,'Long Pond'!AA8)</f>
        <v>5820.0666666666666</v>
      </c>
      <c r="AB7" s="15">
        <f>SUM('Biscuit Brook'!AB8,'Hardenburgh- MH Trail'!AB8,'McKenley Hollow'!AB8,'Mongaup Pond'!AB8,'Rider Hollow'!AB8,Seager!AB8,Denning!AB8,'Fox Hollow'!AB8,'Giant Ledge'!AB8,Peekamoose!AB8,'Slide Mt'!AB8,Wittenberg!AB8,'Woodland Valley'!AB8,'Lane Street'!AB8,'Kelly Hollow'!AB8,'Millbrook to BLM FT'!AB8,'Beaverkill Road to BLM FT'!AB8,'Alder Lake'!AB8,'Dry Brook Ridge to Lean-to '!AB8,'Neversink Hardenburgh Trail'!AB8,Overlook!AB8,'Rochester Hollow'!AB8,'Onteora Lake'!AB8,'Mt Tremper'!AB8,'Ashokan HP'!AB8,Vernooy!AB8,'Red Hill Dinch Road '!AB8,Flynn!AB8,'Frick Pond'!AB8,'Long Pond'!AB8)</f>
        <v>6402</v>
      </c>
      <c r="AC7" s="15">
        <f>SUM('Biscuit Brook'!AC8,'Hardenburgh- MH Trail'!AC8,'McKenley Hollow'!AC8,'Mongaup Pond'!AC8,'Rider Hollow'!AC8,Seager!AC8,Denning!AC8,'Fox Hollow'!AC8,'Giant Ledge'!AC8,Peekamoose!AC8,'Slide Mt'!AC8,Wittenberg!AC8,'Woodland Valley'!AC8,'Lane Street'!AC8,'Kelly Hollow'!AD8,'Millbrook to BLM FT'!AC8,'Beaverkill Road to BLM FT'!AC8,'Alder Lake'!AC8,'Dry Brook Ridge to Lean-to '!AC8,'Neversink Hardenburgh Trail'!AC8,Overlook!AC8,'Rochester Hollow'!AC8,'Onteora Lake'!AC8,'Mt Tremper'!AC8,'Ashokan HP'!AC8,Vernooy!AC8,'Red Hill Dinch Road '!AC8,Flynn!AC8,'Frick Pond'!AC8,'Long Pond'!AC8)</f>
        <v>4236</v>
      </c>
      <c r="AD7" s="15">
        <f>SUM('Biscuit Brook'!AD8,'Hardenburgh- MH Trail'!AD8,'McKenley Hollow'!AD8,'Mongaup Pond'!AD8,'Rider Hollow'!AD8,Seager!AD8,Denning!AD8,'Fox Hollow'!AD8,'Giant Ledge'!AD8,Peekamoose!AD8,'Slide Mt'!AD8,Wittenberg!AD8,'Woodland Valley'!AD8,'Lane Street'!AD8,'Kelly Hollow'!AE8,'Millbrook to BLM FT'!AD8,'Beaverkill Road to BLM FT'!AD8,'Alder Lake'!AD8,'Dry Brook Ridge to Lean-to '!AD8,'Neversink Hardenburgh Trail'!AD8,Overlook!AD8,'Rochester Hollow'!AD8,'Onteora Lake'!AD8,'Mt Tremper'!AD8,'Ashokan HP'!AD8,Vernooy!AD8,'Red Hill Dinch Road '!AD8,Flynn!AD8,'Frick Pond'!AD8,'Long Pond'!AD8)</f>
        <v>3596</v>
      </c>
      <c r="AE7" s="15">
        <f>SUM('Biscuit Brook'!AE8,'Hardenburgh- MH Trail'!AE8,'McKenley Hollow'!AE8,'Mongaup Pond'!AE8,'Rider Hollow'!AE8,Seager!AE8,Denning!AE8,'Fox Hollow'!AE8,'Giant Ledge'!AE8,Peekamoose!AE8,'Slide Mt'!AE8,Wittenberg!AE8,'Woodland Valley'!AE8,'Lane Street'!AE8,'Kelly Hollow'!AF8,'Millbrook to BLM FT'!AE8,'Beaverkill Road to BLM FT'!AE8,'Alder Lake'!AE8,'Dry Brook Ridge to Lean-to '!AE8,'Neversink Hardenburgh Trail'!AE8,Overlook!AE8,'Rochester Hollow'!AE8,'Onteora Lake'!AE8,'Mt Tremper'!AE8,'Ashokan HP'!AE8,Vernooy!AE8,'Red Hill Dinch Road '!AE8,Flynn!AE8,'Frick Pond'!AE8,'Long Pond'!AE8)</f>
        <v>3619</v>
      </c>
      <c r="AF7" s="15">
        <f>SUM('Biscuit Brook'!AF8,'Hardenburgh- MH Trail'!AF8,'McKenley Hollow'!AF8,'Mongaup Pond'!AF8,'Rider Hollow'!AF8,Seager!AF8,Denning!AF8,'Fox Hollow'!AF8,'Giant Ledge'!AF8,Peekamoose!AF8,'Slide Mt'!AF8,Wittenberg!AF8,'Woodland Valley'!AF8,'Lane Street'!AF8,'Kelly Hollow'!AG8,'Millbrook to BLM FT'!AF8,'Beaverkill Road to BLM FT'!AF8,'Alder Lake'!AF8,'Dry Brook Ridge to Lean-to '!AF8,'Neversink Hardenburgh Trail'!AF8,Overlook!AF8,'Rochester Hollow'!AF8,'Onteora Lake'!AF8,'Mt Tremper'!AF8,'Ashokan HP'!AF8,Vernooy!AF8,'Red Hill Dinch Road '!AF8,Flynn!AF8,'Frick Pond'!AF8,'Long Pond'!AF8,'Cathedral Glen'!AF8)</f>
        <v>4663</v>
      </c>
      <c r="AG7" s="15">
        <f>SUM('Biscuit Brook'!AG8,'Hardenburgh- MH Trail'!AG8,'McKenley Hollow'!AG8,'Mongaup Pond'!AG8,'Rider Hollow'!AG8,Seager!AG8,Denning!AG8,'Fox Hollow'!AG8,'Giant Ledge'!AG8,Peekamoose!AG8,'Slide Mt'!AG8,Wittenberg!AG8,'Woodland Valley'!AG8,'Lane Street'!AG8,'Kelly Hollow'!AH8,'Millbrook to BLM FT'!AG8,'Beaverkill Road to BLM FT'!AG8,'Alder Lake'!AG8,'Dry Brook Ridge to Lean-to '!AG8,'Neversink Hardenburgh Trail'!AG8,Overlook!AG8,'Rochester Hollow'!AG8,'Onteora Lake'!AG8,'Mt Tremper'!AG8,'Ashokan HP'!AG8,Vernooy!AG8,'Red Hill Dinch Road '!AG8,Flynn!AG8,'Frick Pond'!AG8,'Long Pond'!AG8,'Cathedral Glen'!AG8)</f>
        <v>4577</v>
      </c>
      <c r="AH7" s="15">
        <f>SUM('Biscuit Brook'!AH8,'Hardenburgh- MH Trail'!AH8,'McKenley Hollow'!AH8,'Mongaup Pond'!AH8,'Rider Hollow'!AH8,Seager!AH8,Denning!AH8,'Fox Hollow'!AH8,'Giant Ledge'!AH8,Peekamoose!AH8,'Slide Mt'!AH8,Wittenberg!AH8,'Woodland Valley'!AH8,'Lane Street'!AH8,'Kelly Hollow'!AI8,'Millbrook to BLM FT'!AH8,'Beaverkill Road to BLM FT'!AH8,'Alder Lake'!AH8,'Dry Brook Ridge to Lean-to '!AH8,'Neversink Hardenburgh Trail'!AH8,Overlook!AH8,'Rochester Hollow'!AH8,'Onteora Lake'!AH8,'Mt Tremper'!AH8,'Ashokan HP'!AH8,Vernooy!AH8,'Red Hill Dinch Road '!AH8,Flynn!AH8,'Frick Pond'!AH8,'Long Pond'!AH8,'Cathedral Glen'!AH8)</f>
        <v>3730</v>
      </c>
      <c r="AI7" s="15">
        <f>SUM('Biscuit Brook'!AI8,'Hardenburgh- MH Trail'!AI8,'McKenley Hollow'!AI8,'Mongaup Pond'!AI8,'Rider Hollow'!AI8,Seager!AI8,Denning!AI8,'Fox Hollow'!AI8,'Giant Ledge'!AI8,Peekamoose!AI8,'Slide Mt'!AI8,Wittenberg!AI8,'Woodland Valley'!AI8,'Lane Street'!AI8,'Kelly Hollow'!AJ8,'Millbrook to BLM FT'!AI8,'Beaverkill Road to BLM FT'!AI8,'Alder Lake'!AI8,'Dry Brook Ridge to Lean-to '!AI8,'Neversink Hardenburgh Trail'!AI8,Overlook!AI8,'Rochester Hollow'!AI8,'Onteora Lake'!AI8,'Mt Tremper'!AI8,'Ashokan HP'!AI8,Vernooy!AI8,'Red Hill Dinch Road '!AI8,Flynn!AI8,'Frick Pond'!AI8,'Long Pond'!AI8,'Cathedral Glen'!AI8)</f>
        <v>2134</v>
      </c>
      <c r="AJ7" s="15">
        <f>SUM('Biscuit Brook'!AJ8,'Hardenburgh- MH Trail'!AJ8,'McKenley Hollow'!AJ8,'Mongaup Pond'!AJ8,'Rider Hollow'!AJ8,Seager!AJ8,Denning!AJ8,'Fox Hollow'!AJ8,'Giant Ledge'!AJ8,Peekamoose!AJ8,'Slide Mt'!AJ8,Wittenberg!AJ8,'Woodland Valley'!AJ8,'Lane Street'!AJ8,'Kelly Hollow'!AK8,'Millbrook to BLM FT'!AJ8,'Beaverkill Road to BLM FT'!AJ8,'Alder Lake'!AJ8,'Dry Brook Ridge to Lean-to '!AJ8,'Neversink Hardenburgh Trail'!AJ8,Overlook!AJ8,'Rochester Hollow'!AJ8,'Onteora Lake'!AJ8,'Mt Tremper'!AJ8,'Ashokan HP'!AJ8,Vernooy!AJ8,'Red Hill Dinch Road '!AJ8,Flynn!AJ8,'Frick Pond'!AJ8,'Long Pond'!AJ8,'Cathedral Glen'!AJ8)</f>
        <v>1273</v>
      </c>
      <c r="AK7" s="15">
        <f>SUM('Biscuit Brook'!AK8,'Hardenburgh- MH Trail'!AK8,'McKenley Hollow'!AK8,'Mongaup Pond'!AK8,'Rider Hollow'!AK8,Seager!AK8,Denning!AK8,'Fox Hollow'!AK8,'Giant Ledge'!AK8,Peekamoose!AK8,'Slide Mt'!AK8,Wittenberg!AK8,'Woodland Valley'!AK8,'Lane Street'!AK8,'Kelly Hollow'!AL8,'Millbrook to BLM FT'!AK8,'Beaverkill Road to BLM FT'!AK8,'Alder Lake'!AK8,'Dry Brook Ridge to Lean-to '!AK8,'Neversink Hardenburgh Trail'!AK8,Overlook!AK8,'Rochester Hollow'!AK8,'Onteora Lake'!AK8,'Mt Tremper'!AK8,'Ashokan HP'!AK8,Vernooy!AK8,'Red Hill Dinch Road '!AK8,Flynn!AK8,'Frick Pond'!AK8,'Long Pond'!AK8,'Cathedral Glen'!AK8)</f>
        <v>0</v>
      </c>
      <c r="AL7" s="15">
        <f>SUM('Biscuit Brook'!AL8,'Hardenburgh- MH Trail'!AL8,'McKenley Hollow'!AL8,'Mongaup Pond'!AL8,'Rider Hollow'!AL8,Seager!AL8,Denning!AL8,'Fox Hollow'!AL8,'Giant Ledge'!AL8,Peekamoose!AL8,'Slide Mt'!AL8,Wittenberg!AL8,'Woodland Valley'!AL8,'Lane Street'!AL8,'Kelly Hollow'!AM8,'Millbrook to BLM FT'!AL8,'Beaverkill Road to BLM FT'!AL8,'Alder Lake'!AL8,'Dry Brook Ridge to Lean-to '!AL8,'Neversink Hardenburgh Trail'!AL8,Overlook!AL8,'Rochester Hollow'!AL8,'Onteora Lake'!AL8,'Mt Tremper'!AL8,'Ashokan HP'!AL8,Vernooy!AL8,'Red Hill Dinch Road '!AL8,Flynn!AL8,'Frick Pond'!AL8,'Long Pond'!AL8,'Cathedral Glen'!AL8)</f>
        <v>0</v>
      </c>
      <c r="AM7" s="15">
        <f>SUM('Biscuit Brook'!AM8,'Hardenburgh- MH Trail'!AM8,'McKenley Hollow'!AM8,'Mongaup Pond'!AM8,'Rider Hollow'!AM8,Seager!AM8,Denning!AM8,'Fox Hollow'!AM8,'Giant Ledge'!AM8,Peekamoose!AM8,'Slide Mt'!AM8,Wittenberg!AM8,'Woodland Valley'!AM8,'Lane Street'!AM8,'Kelly Hollow'!AN8,'Millbrook to BLM FT'!AM8,'Beaverkill Road to BLM FT'!AM8,'Alder Lake'!AM8,'Dry Brook Ridge to Lean-to '!AM8,'Neversink Hardenburgh Trail'!AM8,Overlook!AM8,'Rochester Hollow'!AM8,'Onteora Lake'!AM8,'Mt Tremper'!AM8,'Ashokan HP'!AM8,Vernooy!AM8,'Red Hill Dinch Road '!AM8,Flynn!AM8,'Frick Pond'!AM8,'Long Pond'!AM8,'Cathedral Glen'!AM8)</f>
        <v>0</v>
      </c>
      <c r="AN7" s="15">
        <f>SUM('Biscuit Brook'!AN8,'Hardenburgh- MH Trail'!AN8,'McKenley Hollow'!AN8,'Mongaup Pond'!AN8,'Rider Hollow'!AN8,Seager!AN8,Denning!AN8,'Fox Hollow'!AN8,'Giant Ledge'!AN8,Peekamoose!AN8,'Slide Mt'!AN8,Wittenberg!AN8,'Woodland Valley'!AN8,'Lane Street'!AN8,'Kelly Hollow'!AO8,'Millbrook to BLM FT'!AN8,'Beaverkill Road to BLM FT'!AN8,'Alder Lake'!AN8,'Dry Brook Ridge to Lean-to '!AN8,'Neversink Hardenburgh Trail'!AN8,Overlook!AN8,'Rochester Hollow'!AN8,'Onteora Lake'!AN8,'Mt Tremper'!AN8,'Ashokan HP'!AN8,Vernooy!AN8,'Red Hill Dinch Road '!AN8,Flynn!AN8,'Frick Pond'!AN8,'Long Pond'!AN8,'Cathedral Glen'!AN8)</f>
        <v>0</v>
      </c>
      <c r="AO7" s="15">
        <f>SUM('Biscuit Brook'!AO8,'Hardenburgh- MH Trail'!AO8,'McKenley Hollow'!AO8,'Mongaup Pond'!AO8,'Rider Hollow'!AO8,Seager!AO8,Denning!AO8,'Fox Hollow'!AO8,'Giant Ledge'!AO8,Peekamoose!AO8,'Slide Mt'!AO8,Wittenberg!AO8,'Woodland Valley'!AO8,'Lane Street'!AO8,'Kelly Hollow'!AP8,'Millbrook to BLM FT'!AO8,'Beaverkill Road to BLM FT'!AO8,'Alder Lake'!AO8,'Dry Brook Ridge to Lean-to '!AO8,'Neversink Hardenburgh Trail'!AO8,Overlook!AO8,'Rochester Hollow'!AO8,'Onteora Lake'!AO8,'Mt Tremper'!AO8,'Ashokan HP'!AO8,Vernooy!AO8,'Red Hill Dinch Road '!AO8,Flynn!AO8,'Frick Pond'!AO8,'Long Pond'!AO8,'Cathedral Glen'!AO8)</f>
        <v>0</v>
      </c>
      <c r="AP7" s="15">
        <f>SUM('Biscuit Brook'!AP8,'Hardenburgh- MH Trail'!AP8,'McKenley Hollow'!AP8,'Mongaup Pond'!AP8,'Rider Hollow'!AP8,Seager!AP8,Denning!AP8,'Fox Hollow'!AP8,'Giant Ledge'!AP8,Peekamoose!AP8,'Slide Mt'!AP8,Wittenberg!AP8,'Woodland Valley'!AP8,'Lane Street'!AP8,'Kelly Hollow'!AQ8,'Millbrook to BLM FT'!AP8,'Beaverkill Road to BLM FT'!AP8,'Alder Lake'!AP8,'Dry Brook Ridge to Lean-to '!AP8,'Neversink Hardenburgh Trail'!AP8,Overlook!AP8,'Rochester Hollow'!AP8,'Onteora Lake'!AP8,'Mt Tremper'!AP8,'Ashokan HP'!AP8,Vernooy!AP8,'Red Hill Dinch Road '!AP8,Flynn!AP8,'Frick Pond'!AP8,'Long Pond'!AP8,'Cathedral Glen'!AP8)</f>
        <v>0</v>
      </c>
      <c r="AQ7" s="15">
        <f>SUM('Biscuit Brook'!AQ8,'Hardenburgh- MH Trail'!AQ8,'McKenley Hollow'!AQ8,'Mongaup Pond'!AQ8,'Rider Hollow'!AQ8,Seager!AQ8,Denning!AQ8,'Fox Hollow'!AQ8,'Giant Ledge'!AQ8,Peekamoose!AQ8,'Slide Mt'!AQ8,Wittenberg!AQ8,'Woodland Valley'!AQ8,'Lane Street'!AQ8,'Kelly Hollow'!AR8,'Millbrook to BLM FT'!AQ8,'Beaverkill Road to BLM FT'!AQ8,'Alder Lake'!AQ8,'Dry Brook Ridge to Lean-to '!AQ8,'Neversink Hardenburgh Trail'!AQ8,Overlook!AQ8,'Rochester Hollow'!AQ8,'Onteora Lake'!AQ8,'Mt Tremper'!AQ8,'Ashokan HP'!AQ8,Vernooy!AQ8,'Red Hill Dinch Road '!AQ8,Flynn!AQ8,'Frick Pond'!AQ8,'Long Pond'!AQ8,'Cathedral Glen'!AQ8)</f>
        <v>0</v>
      </c>
      <c r="AR7" s="15">
        <f>SUM('Biscuit Brook'!AR8,'Hardenburgh- MH Trail'!AR8,'McKenley Hollow'!AR8,'Mongaup Pond'!AR8,'Rider Hollow'!AR8,Seager!AR8,Denning!AR8,'Fox Hollow'!AR8,'Giant Ledge'!AR8,Peekamoose!AR8,'Slide Mt'!AR8,Wittenberg!AR8,'Woodland Valley'!AR8,'Lane Street'!AR8,'Kelly Hollow'!AS8,'Millbrook to BLM FT'!AR8,'Beaverkill Road to BLM FT'!AR8,'Alder Lake'!AR8,'Dry Brook Ridge to Lean-to '!AR8,'Neversink Hardenburgh Trail'!AR8,Overlook!AR8,'Rochester Hollow'!AR8,'Onteora Lake'!AR8,'Mt Tremper'!AR8,'Ashokan HP'!AR8,Vernooy!AR8,'Red Hill Dinch Road '!AR8,Flynn!AR8,'Frick Pond'!AR8,'Long Pond'!AR8,'Cathedral Glen'!AR8)</f>
        <v>0</v>
      </c>
      <c r="AS7" s="15">
        <f>SUM('Biscuit Brook'!AS8,'Hardenburgh- MH Trail'!AS8,'McKenley Hollow'!AS8,'Mongaup Pond'!AS8,'Rider Hollow'!AS8,Seager!AS8,Denning!AS8,'Fox Hollow'!AS8,'Giant Ledge'!AS8,Peekamoose!AS8,'Slide Mt'!AS8,Wittenberg!AS8,'Woodland Valley'!AS8,'Lane Street'!AS8,'Kelly Hollow'!AT8,'Millbrook to BLM FT'!AS8,'Beaverkill Road to BLM FT'!AS8,'Alder Lake'!AS8,'Dry Brook Ridge to Lean-to '!AS8,'Neversink Hardenburgh Trail'!AS8,Overlook!AS8,'Rochester Hollow'!AS8,'Onteora Lake'!AS8,'Mt Tremper'!AS8,'Ashokan HP'!AS8,Vernooy!AS8,'Red Hill Dinch Road '!AS8,Flynn!AS8,'Frick Pond'!AS8,'Long Pond'!AS8,'Cathedral Glen'!AS8)</f>
        <v>0</v>
      </c>
      <c r="AT7" s="15">
        <f>SUM('Biscuit Brook'!AT8,'Hardenburgh- MH Trail'!AT8,'McKenley Hollow'!AT8,'Mongaup Pond'!AT8,'Rider Hollow'!AT8,Seager!AT8,Denning!AT8,'Fox Hollow'!AT8,'Giant Ledge'!AT8,Peekamoose!AT8,'Slide Mt'!AT8,Wittenberg!AT8,'Woodland Valley'!AT8,'Lane Street'!AT8,'Kelly Hollow'!AU8,'Millbrook to BLM FT'!AT8,'Beaverkill Road to BLM FT'!AT8,'Alder Lake'!AT8,'Dry Brook Ridge to Lean-to '!AT8,'Neversink Hardenburgh Trail'!AT8,Overlook!AT8,'Rochester Hollow'!AT8,'Onteora Lake'!AT8,'Mt Tremper'!AT8,'Ashokan HP'!AT8,Vernooy!AT8,'Red Hill Dinch Road '!AT8,Flynn!AT8,'Frick Pond'!AT8,'Long Pond'!AT8,'Cathedral Glen'!AT8)</f>
        <v>0</v>
      </c>
      <c r="AU7" s="15">
        <f>SUM('Biscuit Brook'!AU8,'Hardenburgh- MH Trail'!AU8,'McKenley Hollow'!AU8,'Mongaup Pond'!AU8,'Rider Hollow'!AU8,Seager!AU8,Denning!AU8,'Fox Hollow'!AU8,'Giant Ledge'!AU8,Peekamoose!AU8,'Slide Mt'!AU8,Wittenberg!AU8,'Woodland Valley'!AU8,'Lane Street'!AU8,'Kelly Hollow'!AV8,'Millbrook to BLM FT'!AU8,'Beaverkill Road to BLM FT'!AU8,'Alder Lake'!AU8,'Dry Brook Ridge to Lean-to '!AU8,'Neversink Hardenburgh Trail'!AU8,Overlook!AU8,'Rochester Hollow'!AU8,'Onteora Lake'!AU8,'Mt Tremper'!AU8,'Ashokan HP'!AU8,Vernooy!AU8,'Red Hill Dinch Road '!AU8,Flynn!AU8,'Frick Pond'!AU8,'Long Pond'!AU8,'Cathedral Glen'!AU8)</f>
        <v>0</v>
      </c>
      <c r="AV7" s="15">
        <f>SUM('Biscuit Brook'!AV8,'Hardenburgh- MH Trail'!AV8,'McKenley Hollow'!AV8,'Mongaup Pond'!AV8,'Rider Hollow'!AV8,Seager!AV8,Denning!AV8,'Fox Hollow'!AV8,'Giant Ledge'!AV8,Peekamoose!AV8,'Slide Mt'!AV8,Wittenberg!AV8,'Woodland Valley'!AV8,'Lane Street'!AV8,'Kelly Hollow'!AW8,'Millbrook to BLM FT'!AV8,'Beaverkill Road to BLM FT'!AV8,'Alder Lake'!AV8,'Dry Brook Ridge to Lean-to '!AV8,'Neversink Hardenburgh Trail'!AV8,Overlook!AV8,'Rochester Hollow'!AV8,'Onteora Lake'!AV8,'Mt Tremper'!AV8,'Ashokan HP'!AV8,Vernooy!AV8,'Red Hill Dinch Road '!AV8,Flynn!AV8,'Frick Pond'!AV8,'Long Pond'!AV8,'Cathedral Glen'!AV8)</f>
        <v>0</v>
      </c>
      <c r="AW7" s="15">
        <f>SUM('Biscuit Brook'!AW8,'Hardenburgh- MH Trail'!AW8,'McKenley Hollow'!AW8,'Mongaup Pond'!AW8,'Rider Hollow'!AW8,Seager!AW8,Denning!AW8,'Fox Hollow'!AW8,'Giant Ledge'!AW8,Peekamoose!AW8,'Slide Mt'!AW8,Wittenberg!AW8,'Woodland Valley'!AW8,'Lane Street'!AW8,'Kelly Hollow'!AX8,'Millbrook to BLM FT'!AW8,'Beaverkill Road to BLM FT'!AW8,'Alder Lake'!AW8,'Dry Brook Ridge to Lean-to '!AW8,'Neversink Hardenburgh Trail'!AW8,Overlook!AW8,'Rochester Hollow'!AW8,'Onteora Lake'!AW8,'Mt Tremper'!AW8,'Ashokan HP'!AW8,Vernooy!AW8,'Red Hill Dinch Road '!AW8,Flynn!AW8,'Frick Pond'!AW8,'Long Pond'!AW8,'Cathedral Glen'!AW8)</f>
        <v>0</v>
      </c>
      <c r="AX7" s="15">
        <f>SUM('Biscuit Brook'!AX8,'Hardenburgh- MH Trail'!AX8,'McKenley Hollow'!AX8,'Mongaup Pond'!AX8,'Rider Hollow'!AX8,Seager!AX8,Denning!AX8,'Fox Hollow'!AX8,'Giant Ledge'!AX8,Peekamoose!AX8,'Slide Mt'!AX8,Wittenberg!AX8,'Woodland Valley'!AX8,'Lane Street'!AX8,'Kelly Hollow'!AY8,'Millbrook to BLM FT'!AX8,'Beaverkill Road to BLM FT'!AX8,'Alder Lake'!AX8,'Dry Brook Ridge to Lean-to '!AX8,'Neversink Hardenburgh Trail'!AX8,Overlook!AX8,'Rochester Hollow'!AX8,'Onteora Lake'!AX8,'Mt Tremper'!AX8,'Ashokan HP'!AX8,Vernooy!AX8,'Red Hill Dinch Road '!AX8,Flynn!AX8,'Frick Pond'!AX8,'Long Pond'!AX8,'Cathedral Glen'!AX8)</f>
        <v>0</v>
      </c>
      <c r="AY7" s="15">
        <f>SUM('Biscuit Brook'!AY8,'Hardenburgh- MH Trail'!AY8,'McKenley Hollow'!AY8,'Mongaup Pond'!AY8,'Rider Hollow'!AY8,Seager!AY8,Denning!AY8,'Fox Hollow'!AY8,'Giant Ledge'!AY8,Peekamoose!AY8,'Slide Mt'!AY8,Wittenberg!AY8,'Woodland Valley'!AY8,'Lane Street'!AY8,'Kelly Hollow'!AZ8,'Millbrook to BLM FT'!AY8,'Beaverkill Road to BLM FT'!AY8,'Alder Lake'!AY8,'Dry Brook Ridge to Lean-to '!AY8,'Neversink Hardenburgh Trail'!AY8,Overlook!AY8,'Rochester Hollow'!AY8,'Onteora Lake'!AY8,'Mt Tremper'!AY8,'Ashokan HP'!AY8,Vernooy!AY8,'Red Hill Dinch Road '!AY8,Flynn!AY8,'Frick Pond'!AY8,'Long Pond'!AY8,'Cathedral Glen'!AY8)</f>
        <v>0</v>
      </c>
      <c r="AZ7" s="15" t="e">
        <f>SUM('Biscuit Brook'!AZ8,'Hardenburgh- MH Trail'!AZ8,'McKenley Hollow'!AZ8,'Mongaup Pond'!AZ8,'Rider Hollow'!AZ8,Seager!AZ8,Denning!AZ8,'Fox Hollow'!AZ8,'Giant Ledge'!AZ8,Peekamoose!AZ8,'Slide Mt'!AZ8,Wittenberg!AZ8,'Woodland Valley'!AZ8,'Lane Street'!AZ8,'Kelly Hollow'!BA8,'Millbrook to BLM FT'!AZ8,'Beaverkill Road to BLM FT'!AZ8,'Alder Lake'!AZ8,'Dry Brook Ridge to Lean-to '!AZ8,'Neversink Hardenburgh Trail'!AZ8,Overlook!AZ8,'Rochester Hollow'!AZ8,'Onteora Lake'!BA8,'Mt Tremper'!AZ8,'Ashokan HP'!AZ8,Vernooy!AZ8,'Red Hill Dinch Road '!AZ8,Flynn!AZ8,'Frick Pond'!AZ8,'Long Pond'!AZ8)</f>
        <v>#N/A</v>
      </c>
      <c r="BA7" s="96" t="e">
        <v>#N/A</v>
      </c>
      <c r="BB7" s="96" t="e">
        <v>#N/A</v>
      </c>
      <c r="BC7" s="96" t="e">
        <v>#N/A</v>
      </c>
      <c r="BD7" s="96" t="e">
        <v>#N/A</v>
      </c>
      <c r="BE7" s="96" t="e">
        <v>#N/A</v>
      </c>
      <c r="BF7" s="96" t="e">
        <v>#N/A</v>
      </c>
      <c r="BG7" s="96" t="e">
        <v>#N/A</v>
      </c>
      <c r="BH7" s="96" t="e">
        <v>#N/A</v>
      </c>
      <c r="BI7" s="96" t="e">
        <v>#N/A</v>
      </c>
      <c r="BJ7" s="96">
        <f t="shared" si="36"/>
        <v>2358.1</v>
      </c>
      <c r="BK7" s="96">
        <f t="shared" si="37"/>
        <v>2312.1</v>
      </c>
      <c r="BL7" s="96">
        <f t="shared" si="38"/>
        <v>2385.6</v>
      </c>
      <c r="BM7" s="96">
        <f t="shared" si="39"/>
        <v>2460</v>
      </c>
      <c r="BN7" s="96">
        <f t="shared" si="40"/>
        <v>2530</v>
      </c>
      <c r="BO7" s="96">
        <f t="shared" si="41"/>
        <v>2416.4</v>
      </c>
      <c r="BP7" s="96">
        <f t="shared" si="42"/>
        <v>2551.1</v>
      </c>
      <c r="BQ7" s="96">
        <f t="shared" si="43"/>
        <v>2567.6</v>
      </c>
      <c r="BR7" s="96">
        <f t="shared" si="44"/>
        <v>2521.5555555555557</v>
      </c>
      <c r="BS7" s="96">
        <f t="shared" si="45"/>
        <v>2482.875</v>
      </c>
      <c r="BT7" s="96">
        <f t="shared" si="46"/>
        <v>2695.875</v>
      </c>
      <c r="BU7" s="96">
        <f t="shared" si="47"/>
        <v>2761.7142857142858</v>
      </c>
      <c r="BV7" s="96">
        <f t="shared" si="48"/>
        <v>2975.2857142857142</v>
      </c>
      <c r="BW7" s="96">
        <f t="shared" si="49"/>
        <v>3149.2857142857142</v>
      </c>
      <c r="BX7" s="96">
        <f t="shared" si="50"/>
        <v>3274.5714285714284</v>
      </c>
      <c r="BY7" s="96">
        <f t="shared" si="51"/>
        <v>3552.2857142857142</v>
      </c>
      <c r="BZ7" s="96">
        <f t="shared" si="52"/>
        <v>3881.4380952380952</v>
      </c>
      <c r="CA7" s="96">
        <f t="shared" si="53"/>
        <v>4453.723809523809</v>
      </c>
      <c r="CB7" s="96">
        <f t="shared" si="54"/>
        <v>4426.5083333333332</v>
      </c>
      <c r="CC7" s="96">
        <f t="shared" si="55"/>
        <v>4334.2296296296299</v>
      </c>
      <c r="CD7" s="96">
        <f t="shared" si="56"/>
        <v>4301.562962962963</v>
      </c>
      <c r="CE7" s="96">
        <f t="shared" si="57"/>
        <v>4337.7066666666669</v>
      </c>
      <c r="CF7" s="96">
        <f t="shared" si="58"/>
        <v>4396.2066666666669</v>
      </c>
      <c r="CG7" s="96">
        <f t="shared" si="59"/>
        <v>4422.3066666666664</v>
      </c>
      <c r="CH7" s="96">
        <f t="shared" si="60"/>
        <v>4279.5066666666662</v>
      </c>
      <c r="CI7" s="96">
        <f t="shared" si="61"/>
        <v>4005.0066666666667</v>
      </c>
      <c r="CJ7" s="96">
        <f t="shared" si="62"/>
        <v>3803.3333333333335</v>
      </c>
      <c r="CK7" s="96">
        <f t="shared" si="63"/>
        <v>3478.5</v>
      </c>
      <c r="CL7" s="96">
        <f t="shared" si="64"/>
        <v>3370.2857142857142</v>
      </c>
      <c r="CM7" s="96">
        <f t="shared" si="65"/>
        <v>3332.6666666666665</v>
      </c>
      <c r="CN7" s="96">
        <f t="shared" si="66"/>
        <v>3275.4</v>
      </c>
      <c r="CO7" s="96">
        <f t="shared" si="67"/>
        <v>2928.5</v>
      </c>
      <c r="CP7" s="96">
        <f t="shared" si="68"/>
        <v>2379</v>
      </c>
      <c r="CQ7" s="96">
        <f t="shared" si="69"/>
        <v>1703.5</v>
      </c>
      <c r="CR7" s="96">
        <f t="shared" si="70"/>
        <v>1273</v>
      </c>
      <c r="CS7" s="96" t="e">
        <f t="shared" si="71"/>
        <v>#DIV/0!</v>
      </c>
      <c r="CT7" s="96" t="e">
        <f t="shared" si="72"/>
        <v>#DIV/0!</v>
      </c>
      <c r="CU7" s="96" t="e">
        <f t="shared" si="73"/>
        <v>#DIV/0!</v>
      </c>
      <c r="CV7" s="96" t="e">
        <f t="shared" si="74"/>
        <v>#DIV/0!</v>
      </c>
      <c r="CW7" s="96" t="e">
        <f t="shared" si="75"/>
        <v>#DIV/0!</v>
      </c>
      <c r="CX7" s="96" t="e">
        <f t="shared" si="76"/>
        <v>#DIV/0!</v>
      </c>
      <c r="CY7" s="96" t="e">
        <f t="shared" si="77"/>
        <v>#DIV/0!</v>
      </c>
    </row>
    <row r="8" spans="1:103" s="10" customFormat="1" ht="20" customHeight="1" x14ac:dyDescent="0.2">
      <c r="A8" s="9" t="s">
        <v>4</v>
      </c>
      <c r="B8" s="16">
        <f>SUM('Biscuit Brook'!B9,'Hardenburgh- MH Trail'!B9,'McKenley Hollow'!B9,'Mongaup Pond'!B9,'Rider Hollow'!B9,Seager!B9,Denning!B9,'Fox Hollow'!B9,'Giant Ledge'!B9,Peekamoose!B9,'Slide Mt'!B9,Wittenberg!B9,'Woodland Valley'!B9,'Kelly Hollow'!B9,'Millbrook to BLM FT'!B9,'Beaverkill Road to BLM FT'!B9,'Alder Lake'!B9,'Dry Brook Ridge to Lean-to '!B9,'Neversink Hardenburgh Trail'!B9,Overlook!B9,'Rochester Hollow'!B9,'Onteora Lake'!B9,'Mt Tremper'!B9,'Ashokan HP'!B9,Vernooy!B9,'Red Hill Dinch Road '!B9,Flynn!B9,'Frick Pond'!B9,'Long Pond'!B9)</f>
        <v>4517</v>
      </c>
      <c r="C8" s="16">
        <f>SUM('Biscuit Brook'!C9,'Hardenburgh- MH Trail'!C9,'McKenley Hollow'!C9,'Mongaup Pond'!C9,'Rider Hollow'!C9,Seager!C9,Denning!C9,'Fox Hollow'!C9,'Giant Ledge'!C9,Peekamoose!C9,'Slide Mt'!C9,Wittenberg!C9,'Woodland Valley'!C9,'Kelly Hollow'!C9,'Millbrook to BLM FT'!C9,'Beaverkill Road to BLM FT'!C9,'Alder Lake'!C9,'Dry Brook Ridge to Lean-to '!C9,'Neversink Hardenburgh Trail'!C9,Overlook!C9,'Rochester Hollow'!C9,'Onteora Lake'!C9,'Mt Tremper'!C9,'Ashokan HP'!C9,Vernooy!C9,'Red Hill Dinch Road '!C9,Flynn!C9,'Frick Pond'!C9,'Long Pond'!C9)</f>
        <v>4516</v>
      </c>
      <c r="D8" s="16">
        <f>SUM('Biscuit Brook'!D9,'Hardenburgh- MH Trail'!D9,'McKenley Hollow'!D9,'Mongaup Pond'!D9,'Rider Hollow'!D9,Seager!D9,Denning!D9,'Fox Hollow'!D9,'Giant Ledge'!D9,Peekamoose!D9,'Slide Mt'!D9,Wittenberg!D9,'Woodland Valley'!D9,'Kelly Hollow'!D9,'Millbrook to BLM FT'!D9,'Beaverkill Road to BLM FT'!D9,'Alder Lake'!D9,'Dry Brook Ridge to Lean-to '!D9,'Neversink Hardenburgh Trail'!D9,Overlook!D9,'Rochester Hollow'!D9,'Onteora Lake'!D9,'Mt Tremper'!D9,'Ashokan HP'!D9,Vernooy!D9,'Red Hill Dinch Road '!D9,Flynn!D9,'Frick Pond'!D9,'Long Pond'!D9)</f>
        <v>5182</v>
      </c>
      <c r="E8" s="16">
        <f>SUM('Biscuit Brook'!E9,'Hardenburgh- MH Trail'!E9,'McKenley Hollow'!E9,'Mongaup Pond'!E9,'Rider Hollow'!E9,Seager!E9,Denning!E9,'Fox Hollow'!E9,'Giant Ledge'!E9,Peekamoose!E9,'Slide Mt'!E9,Wittenberg!E9,'Woodland Valley'!E9,'Kelly Hollow'!E9,'Millbrook to BLM FT'!E9,'Beaverkill Road to BLM FT'!E9,'Alder Lake'!E9,'Dry Brook Ridge to Lean-to '!E9,'Neversink Hardenburgh Trail'!E9,Overlook!E9,'Rochester Hollow'!E9,'Onteora Lake'!E9,'Mt Tremper'!E9,'Ashokan HP'!E9,Vernooy!E9,'Red Hill Dinch Road '!E9,Flynn!E9,'Frick Pond'!E9,'Long Pond'!E9)</f>
        <v>5005</v>
      </c>
      <c r="F8" s="16">
        <f>SUM('Biscuit Brook'!F9,'Hardenburgh- MH Trail'!F9,'McKenley Hollow'!F9,'Mongaup Pond'!F9,'Rider Hollow'!F9,Seager!F9,Denning!F9,'Fox Hollow'!F9,'Giant Ledge'!F9,Peekamoose!F9,'Slide Mt'!F9,Wittenberg!F9,'Woodland Valley'!F9,'Kelly Hollow'!F9,'Millbrook to BLM FT'!F9,'Beaverkill Road to BLM FT'!F9,'Alder Lake'!F9,'Dry Brook Ridge to Lean-to '!F9,'Neversink Hardenburgh Trail'!F9,Overlook!F9,'Rochester Hollow'!F9,'Onteora Lake'!F9,'Mt Tremper'!F9,'Ashokan HP'!F9,Vernooy!F9,'Red Hill Dinch Road '!F9,Flynn!F9,'Frick Pond'!F9,'Long Pond'!F9)</f>
        <v>5073</v>
      </c>
      <c r="G8" s="16">
        <f>SUM('Biscuit Brook'!G9,'Hardenburgh- MH Trail'!G9,'McKenley Hollow'!G9,'Mongaup Pond'!G9,'Rider Hollow'!G9,Seager!G9,Denning!G9,'Fox Hollow'!G9,'Giant Ledge'!G9,Peekamoose!G9,'Slide Mt'!G9,Wittenberg!G9,'Woodland Valley'!G9,'Kelly Hollow'!G9,'Millbrook to BLM FT'!G9,'Beaverkill Road to BLM FT'!G9,'Alder Lake'!G9,'Dry Brook Ridge to Lean-to '!G9,'Neversink Hardenburgh Trail'!G9,Overlook!G9,'Rochester Hollow'!G9,'Onteora Lake'!G9,'Mt Tremper'!G9,'Ashokan HP'!G9,Vernooy!G9,'Red Hill Dinch Road '!G9,Flynn!G9,'Frick Pond'!G9,'Long Pond'!G9)</f>
        <v>4349</v>
      </c>
      <c r="H8" s="16">
        <f>SUM('Biscuit Brook'!H9,'Hardenburgh- MH Trail'!H9,'McKenley Hollow'!H9,'Mongaup Pond'!H9,'Rider Hollow'!H9,Seager!H9,Denning!H9,'Fox Hollow'!H9,'Giant Ledge'!H9,Peekamoose!H9,'Slide Mt'!H9,Wittenberg!H9,'Woodland Valley'!H9,'Kelly Hollow'!H9,'Millbrook to BLM FT'!H9,'Beaverkill Road to BLM FT'!H9,'Alder Lake'!H9,'Dry Brook Ridge to Lean-to '!H9,'Neversink Hardenburgh Trail'!H9,Overlook!H9,'Rochester Hollow'!H9,'Onteora Lake'!H9,'Mt Tremper'!H9,'Ashokan HP'!H9,Vernooy!H9,'Red Hill Dinch Road '!H9,Flynn!H9,'Frick Pond'!H9,'Long Pond'!H9)</f>
        <v>5160</v>
      </c>
      <c r="I8" s="16">
        <f>SUM('Biscuit Brook'!I9,'Hardenburgh- MH Trail'!I9,'McKenley Hollow'!I9,'Mongaup Pond'!I9,'Rider Hollow'!I9,Seager!I9,Denning!I9,'Fox Hollow'!I9,'Giant Ledge'!I9,Peekamoose!I9,'Slide Mt'!I9,Wittenberg!I9,'Woodland Valley'!I9,'Kelly Hollow'!I9,'Millbrook to BLM FT'!I9,'Beaverkill Road to BLM FT'!I9,'Alder Lake'!I9,'Dry Brook Ridge to Lean-to '!I9,'Neversink Hardenburgh Trail'!I9,Overlook!I9,'Rochester Hollow'!I9,'Onteora Lake'!I9,'Mt Tremper'!I9,'Ashokan HP'!I9,Vernooy!I9,'Red Hill Dinch Road '!I9,Flynn!I9,'Frick Pond'!I9,'Long Pond'!I9)</f>
        <v>5295</v>
      </c>
      <c r="J8" s="16">
        <f>SUM('Biscuit Brook'!J9,'Hardenburgh- MH Trail'!J9,'McKenley Hollow'!J9,'Mongaup Pond'!J9,'Rider Hollow'!J9,Seager!J9,Denning!J9,'Fox Hollow'!J9,'Giant Ledge'!J9,Peekamoose!J9,'Slide Mt'!J9,Wittenberg!J9,'Woodland Valley'!J9,'Kelly Hollow'!J9,'Millbrook to BLM FT'!J9,'Beaverkill Road to BLM FT'!J9,'Alder Lake'!J9,'Dry Brook Ridge to Lean-to '!J9,'Neversink Hardenburgh Trail'!J9,Overlook!J9,'Rochester Hollow'!J9,'Onteora Lake'!J9,'Mt Tremper'!J9,'Ashokan HP'!J9,Vernooy!J9,'Red Hill Dinch Road '!J9,Flynn!J9,'Frick Pond'!J9,'Long Pond'!J9)</f>
        <v>5911</v>
      </c>
      <c r="K8" s="16">
        <f>SUM('Biscuit Brook'!K9,'Hardenburgh- MH Trail'!K9,'McKenley Hollow'!K9,'Mongaup Pond'!K9,'Rider Hollow'!K9,Seager!K9,Denning!K9,'Fox Hollow'!K9,'Giant Ledge'!K9,Peekamoose!K9,'Slide Mt'!K9,Wittenberg!K9,'Woodland Valley'!K9,'Kelly Hollow'!K9,'Millbrook to BLM FT'!K9,'Beaverkill Road to BLM FT'!K9,'Alder Lake'!K9,'Dry Brook Ridge to Lean-to '!K9,'Neversink Hardenburgh Trail'!K9,Overlook!K9,'Rochester Hollow'!K9,'Onteora Lake'!K9,'Mt Tremper'!K9,'Ashokan HP'!K9,Vernooy!K9,'Red Hill Dinch Road '!K9,Flynn!K9,'Frick Pond'!K9,'Long Pond'!K9)</f>
        <v>4369</v>
      </c>
      <c r="L8" s="16">
        <f>SUM('Biscuit Brook'!L9,'Hardenburgh- MH Trail'!L9,'McKenley Hollow'!L9,'Mongaup Pond'!L9,'Rider Hollow'!L9,Seager!L9,Denning!L9,'Fox Hollow'!L9,'Giant Ledge'!L9,Peekamoose!L9,'Slide Mt'!L9,Wittenberg!L9,'Woodland Valley'!L9,'Kelly Hollow'!L9,'Millbrook to BLM FT'!L9,'Beaverkill Road to BLM FT'!L9,'Alder Lake'!L9,'Dry Brook Ridge to Lean-to '!L9,'Neversink Hardenburgh Trail'!L9,Overlook!L9,'Rochester Hollow'!L9,'Onteora Lake'!L9,'Mt Tremper'!L9,'Ashokan HP'!L9,Vernooy!L9,'Red Hill Dinch Road '!L9,Flynn!L9,'Frick Pond'!L9,'Long Pond'!L9)</f>
        <v>3913</v>
      </c>
      <c r="M8" s="16">
        <f>SUM('Biscuit Brook'!M9,'Hardenburgh- MH Trail'!M9,'McKenley Hollow'!M9,'Mongaup Pond'!M9,'Rider Hollow'!M9,Seager!M9,Denning!M9,'Fox Hollow'!M9,'Giant Ledge'!M9,Peekamoose!M9,'Slide Mt'!M9,Wittenberg!M9,'Woodland Valley'!M9,'Kelly Hollow'!M9,'Millbrook to BLM FT'!M9,'Beaverkill Road to BLM FT'!M9,'Alder Lake'!M9,'Dry Brook Ridge to Lean-to '!M9,'Neversink Hardenburgh Trail'!M9,Overlook!M9,'Rochester Hollow'!M9,'Onteora Lake'!M9,'Mt Tremper'!M9,'Ashokan HP'!M9,Vernooy!M9,'Red Hill Dinch Road '!M9,Flynn!M9,'Frick Pond'!M9,'Long Pond'!M9)</f>
        <v>4454</v>
      </c>
      <c r="N8" s="16">
        <f>SUM('Biscuit Brook'!N9,'Hardenburgh- MH Trail'!N9,'McKenley Hollow'!N9,'Mongaup Pond'!N9,'Rider Hollow'!N9,Seager!N9,Denning!N9,'Fox Hollow'!N9,'Giant Ledge'!N9,Peekamoose!N9,'Slide Mt'!N9,Wittenberg!N9,'Woodland Valley'!N9,'Kelly Hollow'!N9,'Millbrook to BLM FT'!N9,'Beaverkill Road to BLM FT'!N9,'Alder Lake'!N9,'Dry Brook Ridge to Lean-to '!N9,'Neversink Hardenburgh Trail'!N9,Overlook!N9,'Rochester Hollow'!N9,'Onteora Lake'!N9,'Mt Tremper'!N9,'Ashokan HP'!N9,Vernooy!N9,'Red Hill Dinch Road '!N9,Flynn!N9,'Frick Pond'!N9,'Long Pond'!N9)</f>
        <v>3735</v>
      </c>
      <c r="O8" s="16">
        <f>SUM('Biscuit Brook'!O9,'Hardenburgh- MH Trail'!O9,'McKenley Hollow'!O9,'Mongaup Pond'!O9,'Rider Hollow'!O9,Seager!O9,Denning!O9,'Fox Hollow'!O9,'Giant Ledge'!O9,Peekamoose!O9,'Slide Mt'!O9,Wittenberg!O9,'Woodland Valley'!O9,'Kelly Hollow'!O9,'Millbrook to BLM FT'!O9,'Beaverkill Road to BLM FT'!O9,'Alder Lake'!O9,'Dry Brook Ridge to Lean-to '!O9,'Neversink Hardenburgh Trail'!O9,Overlook!O9,'Rochester Hollow'!O9,'Onteora Lake'!O9,'Mt Tremper'!O9,'Ashokan HP'!O9,Vernooy!O9,'Red Hill Dinch Road '!O9,Flynn!O9,'Frick Pond'!O9,'Long Pond'!O9)</f>
        <v>4767</v>
      </c>
      <c r="P8" s="16">
        <f>SUM('Biscuit Brook'!P9,'Hardenburgh- MH Trail'!P9,'McKenley Hollow'!P9,'Mongaup Pond'!P9,'Rider Hollow'!P9,Seager!P9,Denning!P9,'Fox Hollow'!P9,'Giant Ledge'!P9,Peekamoose!P9,'Slide Mt'!P9,Wittenberg!P9,'Woodland Valley'!P9,'Kelly Hollow'!P9,'Millbrook to BLM FT'!P9,'Beaverkill Road to BLM FT'!P9,'Alder Lake'!P9,'Dry Brook Ridge to Lean-to '!P9,'Neversink Hardenburgh Trail'!P9,Overlook!P9,'Rochester Hollow'!P9,'Onteora Lake'!P9,'Mt Tremper'!P9,'Ashokan HP'!P9,Vernooy!P9,'Red Hill Dinch Road '!P9,Flynn!P9,'Frick Pond'!P9,'Long Pond'!P9)</f>
        <v>4566</v>
      </c>
      <c r="Q8" s="16">
        <f>SUM('Biscuit Brook'!Q9,'Hardenburgh- MH Trail'!Q9,'McKenley Hollow'!Q9,'Mongaup Pond'!Q9,'Rider Hollow'!Q9,Seager!Q9,Denning!Q9,'Fox Hollow'!Q9,'Giant Ledge'!Q9,Peekamoose!Q9,'Slide Mt'!Q9,Wittenberg!Q9,'Woodland Valley'!Q9,'Kelly Hollow'!Q9,'Millbrook to BLM FT'!Q9,'Beaverkill Road to BLM FT'!Q9,'Alder Lake'!Q9,'Dry Brook Ridge to Lean-to '!Q9,'Neversink Hardenburgh Trail'!Q9,Overlook!Q9,'Rochester Hollow'!Q9,'Onteora Lake'!Q9,'Mt Tremper'!Q9,'Ashokan HP'!Q9,Vernooy!Q9,'Red Hill Dinch Road '!Q9,Flynn!Q9,'Frick Pond'!Q9,'Long Pond'!Q9)</f>
        <v>3986</v>
      </c>
      <c r="R8" s="16">
        <f>SUM('Biscuit Brook'!R9,'Hardenburgh- MH Trail'!R9,'McKenley Hollow'!R9,'Mongaup Pond'!R9,'Rider Hollow'!R9,Seager!R9,Denning!R9,'Fox Hollow'!R9,'Giant Ledge'!R9,Peekamoose!R9,'Slide Mt'!R9,Wittenberg!R9,'Woodland Valley'!R9,'Kelly Hollow'!R9,'Millbrook to BLM FT'!R9,'Beaverkill Road to BLM FT'!R9,'Alder Lake'!R9,'Dry Brook Ridge to Lean-to '!R9,'Neversink Hardenburgh Trail'!R9,Overlook!R9,'Rochester Hollow'!R9,'Onteora Lake'!R9,'Mt Tremper'!R9,'Ashokan HP'!R9,Vernooy!R9,'Red Hill Dinch Road '!R9,Flynn!R9,'Frick Pond'!R9,'Long Pond'!R9)</f>
        <v>5030</v>
      </c>
      <c r="S8" s="16"/>
      <c r="T8" s="16"/>
      <c r="U8" s="17">
        <f>SUM('Biscuit Brook'!U9,'Hardenburgh- MH Trail'!U9,'McKenley Hollow'!U9,'Mongaup Pond'!U9,'Rider Hollow'!U9,Seager!U9,Denning!U9,'Fox Hollow'!U9,'Giant Ledge'!U9,Peekamoose!U9,'Slide Mt'!U9,Wittenberg!U9,'Woodland Valley'!U9,'Kelly Hollow'!U9,'Millbrook to BLM FT'!U9,'Beaverkill Road to BLM FT'!U9,'Alder Lake'!U9,'Dry Brook Ridge to Lean-to '!U9,'Neversink Hardenburgh Trail'!U9,Overlook!U9,'Rochester Hollow'!U9,'Onteora Lake'!U9,'Mt Tremper'!U9,'Ashokan HP'!U9,Vernooy!U9,'Red Hill Dinch Road '!U9,Flynn!U9,'Frick Pond'!U9,'Long Pond'!U9)</f>
        <v>5793</v>
      </c>
      <c r="V8" s="17"/>
      <c r="W8" s="17">
        <f>SUM('Biscuit Brook'!W9,'Hardenburgh- MH Trail'!W9,'McKenley Hollow'!W9,'Mongaup Pond'!W9,'Rider Hollow'!W9,Seager!W9,Denning!W9,'Fox Hollow'!W9,'Giant Ledge'!W9,Peekamoose!W9,'Slide Mt'!W9,Wittenberg!W9,'Woodland Valley'!W9,'Kelly Hollow'!W9,'Millbrook to BLM FT'!W9,'Beaverkill Road to BLM FT'!W9,'Alder Lake'!W9,'Dry Brook Ridge to Lean-to '!W9,'Neversink Hardenburgh Trail'!W9,Overlook!W9,'Rochester Hollow'!W9,'Onteora Lake'!W9,'Mt Tremper'!W9,'Ashokan HP'!W9,Vernooy!W9,'Red Hill Dinch Road '!W9,Flynn!W9,'Frick Pond'!W9,'Long Pond'!W9)</f>
        <v>4898</v>
      </c>
      <c r="X8" s="17">
        <f>SUM('Biscuit Brook'!X9,'Hardenburgh- MH Trail'!X9,'McKenley Hollow'!X9,'Mongaup Pond'!X9,'Rider Hollow'!X9,Seager!X9,Denning!X9,'Fox Hollow'!X9,'Giant Ledge'!X9,Peekamoose!X9,'Slide Mt'!X9,Wittenberg!X9,'Woodland Valley'!X9,'Kelly Hollow'!X9,'Millbrook to BLM FT'!X9,'Beaverkill Road to BLM FT'!X9,'Alder Lake'!X9,'Dry Brook Ridge to Lean-to '!X9,'Neversink Hardenburgh Trail'!X9,Overlook!X9,'Rochester Hollow'!X9,'Onteora Lake'!X9,'Mt Tremper'!X9,'Ashokan HP'!X9,Vernooy!X9,'Red Hill Dinch Road '!X9,Flynn!X9,'Frick Pond'!X9,'Long Pond'!X9)</f>
        <v>4841</v>
      </c>
      <c r="Y8" s="17">
        <f>SUM('Biscuit Brook'!Y9,'Hardenburgh- MH Trail'!Y9,'McKenley Hollow'!Y9,'Mongaup Pond'!Y9,'Rider Hollow'!Y9,Seager!Y9,Denning!Y9,'Fox Hollow'!Y9,'Giant Ledge'!Y9,Peekamoose!Y9,'Slide Mt'!Y9,Wittenberg!Y9,'Woodland Valley'!Y9,'Kelly Hollow'!Y9,'Millbrook to BLM FT'!Y9,'Beaverkill Road to BLM FT'!Y9,'Alder Lake'!Y9,'Dry Brook Ridge to Lean-to '!Y9,'Neversink Hardenburgh Trail'!Y9,Overlook!Y9,'Rochester Hollow'!Y9,'Onteora Lake'!Y9,'Mt Tremper'!Y9,'Ashokan HP'!Y9,Vernooy!Y9,'Red Hill Dinch Road '!Y9,Flynn!Y9,'Frick Pond'!Y9,'Long Pond'!Y9)</f>
        <v>6776</v>
      </c>
      <c r="Z8" s="17">
        <f>SUM('Biscuit Brook'!Z9,'Hardenburgh- MH Trail'!Z9,'McKenley Hollow'!Z9,'Mongaup Pond'!Z9,'Rider Hollow'!Z9,Seager!Z9,Denning!Z9,'Fox Hollow'!Z9,'Giant Ledge'!Z9,Peekamoose!Z9,'Slide Mt'!Z9,Wittenberg!Z9,'Woodland Valley'!Z9,'Lane Street'!Z9,'Kelly Hollow'!Z9,'Millbrook to BLM FT'!Z9,'Beaverkill Road to BLM FT'!Z9,'Alder Lake'!Z9,'Dry Brook Ridge to Lean-to '!Z9,'Neversink Hardenburgh Trail'!Z9,Overlook!Z9,'Rochester Hollow'!Z9,'Onteora Lake'!Z9,'Mt Tremper'!Z9,'Ashokan HP'!Z9,Vernooy!Z9,'Red Hill Dinch Road '!Z9,Flynn!Z9,'Frick Pond'!Z9,'Long Pond'!Z9)</f>
        <v>8241</v>
      </c>
      <c r="AA8" s="17">
        <f>SUM('Biscuit Brook'!AA9,'Hardenburgh- MH Trail'!AA9,'McKenley Hollow'!AA9,'Mongaup Pond'!AA9,'Rider Hollow'!AA9,Seager!AA9,Denning!AA9,'Fox Hollow'!AA9,'Giant Ledge'!AA9,Peekamoose!AA9,'Slide Mt'!AA9,Wittenberg!AA9,'Woodland Valley'!AA9,'Lane Street'!AA9,'Kelly Hollow'!AA9,'Millbrook to BLM FT'!AA9,'Beaverkill Road to BLM FT'!AA9,'Alder Lake'!AA9,'Dry Brook Ridge to Lean-to '!AA9,'Neversink Hardenburgh Trail'!AA9,Overlook!AA9,'Rochester Hollow'!AA9,'Onteora Lake'!AA9,'Mt Tremper'!AA9,'Ashokan HP'!AA9,Vernooy!AA9,'Red Hill Dinch Road '!AA9,Flynn!AA9,'Frick Pond'!AA9,'Long Pond'!AA9)</f>
        <v>6970.4166666666633</v>
      </c>
      <c r="AB8" s="17">
        <f>SUM('Biscuit Brook'!AB9,'Hardenburgh- MH Trail'!AB9,'McKenley Hollow'!AB9,'Mongaup Pond'!AB9,'Rider Hollow'!AB9,Seager!AB9,Denning!AB9,'Fox Hollow'!AB9,'Giant Ledge'!AB9,Peekamoose!AB9,'Slide Mt'!AB9,Wittenberg!AB9,'Woodland Valley'!AB9,'Lane Street'!AB9,'Kelly Hollow'!AB9,'Millbrook to BLM FT'!AB9,'Beaverkill Road to BLM FT'!AB9,'Alder Lake'!AB9,'Dry Brook Ridge to Lean-to '!AB9,'Neversink Hardenburgh Trail'!AB9,Overlook!AB9,'Rochester Hollow'!AB9,'Onteora Lake'!AB9,'Mt Tremper'!AB9,'Ashokan HP'!AB9,Vernooy!AB9,'Red Hill Dinch Road '!AB9,Flynn!AB9,'Frick Pond'!AB9,'Long Pond'!AB9)</f>
        <v>7138</v>
      </c>
      <c r="AC8" s="17">
        <f>SUM('Biscuit Brook'!AC9,'Hardenburgh- MH Trail'!AC9,'McKenley Hollow'!AC9,'Mongaup Pond'!AC9,'Rider Hollow'!AC9,Seager!AC9,Denning!AC9,'Fox Hollow'!AC9,'Giant Ledge'!AC9,Peekamoose!AC9,'Slide Mt'!AC9,Wittenberg!AC9,'Woodland Valley'!AC9,'Lane Street'!AC9,'Kelly Hollow'!AD9,'Millbrook to BLM FT'!AC9,'Beaverkill Road to BLM FT'!AC9,'Alder Lake'!AC9,'Dry Brook Ridge to Lean-to '!AC9,'Neversink Hardenburgh Trail'!AC9,Overlook!AC9,'Rochester Hollow'!AC9,'Onteora Lake'!AC9,'Mt Tremper'!AC9,'Ashokan HP'!AC9,Vernooy!AC9,'Red Hill Dinch Road '!AC9,Flynn!AC9,'Frick Pond'!AC9,'Long Pond'!AC9)</f>
        <v>6602</v>
      </c>
      <c r="AD8" s="17">
        <f>SUM('Biscuit Brook'!AD9,'Hardenburgh- MH Trail'!AD9,'McKenley Hollow'!AD9,'Mongaup Pond'!AD9,'Rider Hollow'!AD9,Seager!AD9,Denning!AD9,'Fox Hollow'!AD9,'Giant Ledge'!AD9,Peekamoose!AD9,'Slide Mt'!AD9,Wittenberg!AD9,'Woodland Valley'!AD9,'Lane Street'!AD9,'Kelly Hollow'!AE9,'Millbrook to BLM FT'!AD9,'Beaverkill Road to BLM FT'!AD9,'Alder Lake'!AD9,'Dry Brook Ridge to Lean-to '!AD9,'Neversink Hardenburgh Trail'!AD9,Overlook!AD9,'Rochester Hollow'!AD9,'Onteora Lake'!AD9,'Mt Tremper'!AD9,'Ashokan HP'!AD9,Vernooy!AD9,'Red Hill Dinch Road '!AD9,Flynn!AD9,'Frick Pond'!AD9,'Long Pond'!AD9)</f>
        <v>7879</v>
      </c>
      <c r="AE8" s="17">
        <f>SUM('Biscuit Brook'!AE9,'Hardenburgh- MH Trail'!AE9,'McKenley Hollow'!AE9,'Mongaup Pond'!AE9,'Rider Hollow'!AE9,Seager!AE9,Denning!AE9,'Fox Hollow'!AE9,'Giant Ledge'!AE9,Peekamoose!AE9,'Slide Mt'!AE9,Wittenberg!AE9,'Woodland Valley'!AE9,'Lane Street'!AE9,'Kelly Hollow'!AF9,'Millbrook to BLM FT'!AE9,'Beaverkill Road to BLM FT'!AE9,'Alder Lake'!AE9,'Dry Brook Ridge to Lean-to '!AE9,'Neversink Hardenburgh Trail'!AE9,Overlook!AE9,'Rochester Hollow'!AE9,'Onteora Lake'!AE9,'Mt Tremper'!AE9,'Ashokan HP'!AE9,Vernooy!AE9,'Red Hill Dinch Road '!AE9,Flynn!AE9,'Frick Pond'!AE9,'Long Pond'!AE9)</f>
        <v>7625.666666666667</v>
      </c>
      <c r="AF8" s="17">
        <f>SUM('Biscuit Brook'!AF9,'Hardenburgh- MH Trail'!AF9,'McKenley Hollow'!AF9,'Mongaup Pond'!AF9,'Rider Hollow'!AF9,Seager!AF9,Denning!AF9,'Fox Hollow'!AF9,'Giant Ledge'!AF9,Peekamoose!AF9,'Slide Mt'!AF9,Wittenberg!AF9,'Woodland Valley'!AF9,'Lane Street'!AF9,'Kelly Hollow'!AG9,'Millbrook to BLM FT'!AF9,'Beaverkill Road to BLM FT'!AF9,'Alder Lake'!AF9,'Dry Brook Ridge to Lean-to '!AF9,'Neversink Hardenburgh Trail'!AF9,Overlook!AF9,'Rochester Hollow'!AF9,'Onteora Lake'!AF9,'Mt Tremper'!AF9,'Ashokan HP'!AF9,Vernooy!AF9,'Red Hill Dinch Road '!AF9,Flynn!AF9,'Frick Pond'!AF9,'Long Pond'!AF9,'Cathedral Glen'!AF9)</f>
        <v>6402.3333333333339</v>
      </c>
      <c r="AG8" s="17">
        <f>SUM('Biscuit Brook'!AG9,'Hardenburgh- MH Trail'!AG9,'McKenley Hollow'!AG9,'Mongaup Pond'!AG9,'Rider Hollow'!AG9,Seager!AG9,Denning!AG9,'Fox Hollow'!AG9,'Giant Ledge'!AG9,Peekamoose!AG9,'Slide Mt'!AG9,Wittenberg!AG9,'Woodland Valley'!AG9,'Lane Street'!AG9,'Kelly Hollow'!AH9,'Millbrook to BLM FT'!AG9,'Beaverkill Road to BLM FT'!AG9,'Alder Lake'!AG9,'Dry Brook Ridge to Lean-to '!AG9,'Neversink Hardenburgh Trail'!AG9,Overlook!AG9,'Rochester Hollow'!AG9,'Onteora Lake'!AG9,'Mt Tremper'!AG9,'Ashokan HP'!AG9,Vernooy!AG9,'Red Hill Dinch Road '!AG9,Flynn!AG9,'Frick Pond'!AG9,'Long Pond'!AG9,'Cathedral Glen'!AG9)</f>
        <v>6115</v>
      </c>
      <c r="AH8" s="17">
        <f>SUM('Biscuit Brook'!AH9,'Hardenburgh- MH Trail'!AH9,'McKenley Hollow'!AH9,'Mongaup Pond'!AH9,'Rider Hollow'!AH9,Seager!AH9,Denning!AH9,'Fox Hollow'!AH9,'Giant Ledge'!AH9,Peekamoose!AH9,'Slide Mt'!AH9,Wittenberg!AH9,'Woodland Valley'!AH9,'Lane Street'!AH9,'Kelly Hollow'!AI9,'Millbrook to BLM FT'!AH9,'Beaverkill Road to BLM FT'!AH9,'Alder Lake'!AH9,'Dry Brook Ridge to Lean-to '!AH9,'Neversink Hardenburgh Trail'!AH9,Overlook!AH9,'Rochester Hollow'!AH9,'Onteora Lake'!AH9,'Mt Tremper'!AH9,'Ashokan HP'!AH9,Vernooy!AH9,'Red Hill Dinch Road '!AH9,Flynn!AH9,'Frick Pond'!AH9,'Long Pond'!AH9,'Cathedral Glen'!AH9)</f>
        <v>6493</v>
      </c>
      <c r="AI8" s="17">
        <f>SUM('Biscuit Brook'!AI9,'Hardenburgh- MH Trail'!AI9,'McKenley Hollow'!AI9,'Mongaup Pond'!AI9,'Rider Hollow'!AI9,Seager!AI9,Denning!AI9,'Fox Hollow'!AI9,'Giant Ledge'!AI9,Peekamoose!AI9,'Slide Mt'!AI9,Wittenberg!AI9,'Woodland Valley'!AI9,'Lane Street'!AI9,'Kelly Hollow'!AJ9,'Millbrook to BLM FT'!AI9,'Beaverkill Road to BLM FT'!AI9,'Alder Lake'!AI9,'Dry Brook Ridge to Lean-to '!AI9,'Neversink Hardenburgh Trail'!AI9,Overlook!AI9,'Rochester Hollow'!AI9,'Onteora Lake'!AI9,'Mt Tremper'!AI9,'Ashokan HP'!AI9,Vernooy!AI9,'Red Hill Dinch Road '!AI9,Flynn!AI9,'Frick Pond'!AI9,'Long Pond'!AI9,'Cathedral Glen'!AI9)</f>
        <v>3199</v>
      </c>
      <c r="AJ8" s="17">
        <f>SUM('Biscuit Brook'!AJ9,'Hardenburgh- MH Trail'!AJ9,'McKenley Hollow'!AJ9,'Mongaup Pond'!AJ9,'Rider Hollow'!AJ9,Seager!AJ9,Denning!AJ9,'Fox Hollow'!AJ9,'Giant Ledge'!AJ9,Peekamoose!AJ9,'Slide Mt'!AJ9,Wittenberg!AJ9,'Woodland Valley'!AJ9,'Lane Street'!AJ9,'Kelly Hollow'!AK9,'Millbrook to BLM FT'!AJ9,'Beaverkill Road to BLM FT'!AJ9,'Alder Lake'!AJ9,'Dry Brook Ridge to Lean-to '!AJ9,'Neversink Hardenburgh Trail'!AJ9,Overlook!AJ9,'Rochester Hollow'!AJ9,'Onteora Lake'!AJ9,'Mt Tremper'!AJ9,'Ashokan HP'!AJ9,Vernooy!AJ9,'Red Hill Dinch Road '!AJ9,Flynn!AJ9,'Frick Pond'!AJ9,'Long Pond'!AJ9,'Cathedral Glen'!AJ9)</f>
        <v>2070</v>
      </c>
      <c r="AK8" s="17">
        <f>SUM('Biscuit Brook'!AK9,'Hardenburgh- MH Trail'!AK9,'McKenley Hollow'!AK9,'Mongaup Pond'!AK9,'Rider Hollow'!AK9,Seager!AK9,Denning!AK9,'Fox Hollow'!AK9,'Giant Ledge'!AK9,Peekamoose!AK9,'Slide Mt'!AK9,Wittenberg!AK9,'Woodland Valley'!AK9,'Lane Street'!AK9,'Kelly Hollow'!AL9,'Millbrook to BLM FT'!AK9,'Beaverkill Road to BLM FT'!AK9,'Alder Lake'!AK9,'Dry Brook Ridge to Lean-to '!AK9,'Neversink Hardenburgh Trail'!AK9,Overlook!AK9,'Rochester Hollow'!AK9,'Onteora Lake'!AK9,'Mt Tremper'!AK9,'Ashokan HP'!AK9,Vernooy!AK9,'Red Hill Dinch Road '!AK9,Flynn!AK9,'Frick Pond'!AK9,'Long Pond'!AK9,'Cathedral Glen'!AK9)</f>
        <v>0</v>
      </c>
      <c r="AL8" s="17">
        <f>SUM('Biscuit Brook'!AL9,'Hardenburgh- MH Trail'!AL9,'McKenley Hollow'!AL9,'Mongaup Pond'!AL9,'Rider Hollow'!AL9,Seager!AL9,Denning!AL9,'Fox Hollow'!AL9,'Giant Ledge'!AL9,Peekamoose!AL9,'Slide Mt'!AL9,Wittenberg!AL9,'Woodland Valley'!AL9,'Lane Street'!AL9,'Kelly Hollow'!AM9,'Millbrook to BLM FT'!AL9,'Beaverkill Road to BLM FT'!AL9,'Alder Lake'!AL9,'Dry Brook Ridge to Lean-to '!AL9,'Neversink Hardenburgh Trail'!AL9,Overlook!AL9,'Rochester Hollow'!AL9,'Onteora Lake'!AL9,'Mt Tremper'!AL9,'Ashokan HP'!AL9,Vernooy!AL9,'Red Hill Dinch Road '!AL9,Flynn!AL9,'Frick Pond'!AL9,'Long Pond'!AL9,'Cathedral Glen'!AL9)</f>
        <v>0</v>
      </c>
      <c r="AM8" s="17">
        <f>SUM('Biscuit Brook'!AM9,'Hardenburgh- MH Trail'!AM9,'McKenley Hollow'!AM9,'Mongaup Pond'!AM9,'Rider Hollow'!AM9,Seager!AM9,Denning!AM9,'Fox Hollow'!AM9,'Giant Ledge'!AM9,Peekamoose!AM9,'Slide Mt'!AM9,Wittenberg!AM9,'Woodland Valley'!AM9,'Lane Street'!AM9,'Kelly Hollow'!AN9,'Millbrook to BLM FT'!AM9,'Beaverkill Road to BLM FT'!AM9,'Alder Lake'!AM9,'Dry Brook Ridge to Lean-to '!AM9,'Neversink Hardenburgh Trail'!AM9,Overlook!AM9,'Rochester Hollow'!AM9,'Onteora Lake'!AM9,'Mt Tremper'!AM9,'Ashokan HP'!AM9,Vernooy!AM9,'Red Hill Dinch Road '!AM9,Flynn!AM9,'Frick Pond'!AM9,'Long Pond'!AM9,'Cathedral Glen'!AM9)</f>
        <v>0</v>
      </c>
      <c r="AN8" s="17">
        <f>SUM('Biscuit Brook'!AN9,'Hardenburgh- MH Trail'!AN9,'McKenley Hollow'!AN9,'Mongaup Pond'!AN9,'Rider Hollow'!AN9,Seager!AN9,Denning!AN9,'Fox Hollow'!AN9,'Giant Ledge'!AN9,Peekamoose!AN9,'Slide Mt'!AN9,Wittenberg!AN9,'Woodland Valley'!AN9,'Lane Street'!AN9,'Kelly Hollow'!AO9,'Millbrook to BLM FT'!AN9,'Beaverkill Road to BLM FT'!AN9,'Alder Lake'!AN9,'Dry Brook Ridge to Lean-to '!AN9,'Neversink Hardenburgh Trail'!AN9,Overlook!AN9,'Rochester Hollow'!AN9,'Onteora Lake'!AN9,'Mt Tremper'!AN9,'Ashokan HP'!AN9,Vernooy!AN9,'Red Hill Dinch Road '!AN9,Flynn!AN9,'Frick Pond'!AN9,'Long Pond'!AN9,'Cathedral Glen'!AN9)</f>
        <v>0</v>
      </c>
      <c r="AO8" s="17">
        <f>SUM('Biscuit Brook'!AO9,'Hardenburgh- MH Trail'!AO9,'McKenley Hollow'!AO9,'Mongaup Pond'!AO9,'Rider Hollow'!AO9,Seager!AO9,Denning!AO9,'Fox Hollow'!AO9,'Giant Ledge'!AO9,Peekamoose!AO9,'Slide Mt'!AO9,Wittenberg!AO9,'Woodland Valley'!AO9,'Lane Street'!AO9,'Kelly Hollow'!AP9,'Millbrook to BLM FT'!AO9,'Beaverkill Road to BLM FT'!AO9,'Alder Lake'!AO9,'Dry Brook Ridge to Lean-to '!AO9,'Neversink Hardenburgh Trail'!AO9,Overlook!AO9,'Rochester Hollow'!AO9,'Onteora Lake'!AO9,'Mt Tremper'!AO9,'Ashokan HP'!AO9,Vernooy!AO9,'Red Hill Dinch Road '!AO9,Flynn!AO9,'Frick Pond'!AO9,'Long Pond'!AO9,'Cathedral Glen'!AO9)</f>
        <v>0</v>
      </c>
      <c r="AP8" s="17">
        <f>SUM('Biscuit Brook'!AP9,'Hardenburgh- MH Trail'!AP9,'McKenley Hollow'!AP9,'Mongaup Pond'!AP9,'Rider Hollow'!AP9,Seager!AP9,Denning!AP9,'Fox Hollow'!AP9,'Giant Ledge'!AP9,Peekamoose!AP9,'Slide Mt'!AP9,Wittenberg!AP9,'Woodland Valley'!AP9,'Lane Street'!AP9,'Kelly Hollow'!AQ9,'Millbrook to BLM FT'!AP9,'Beaverkill Road to BLM FT'!AP9,'Alder Lake'!AP9,'Dry Brook Ridge to Lean-to '!AP9,'Neversink Hardenburgh Trail'!AP9,Overlook!AP9,'Rochester Hollow'!AP9,'Onteora Lake'!AP9,'Mt Tremper'!AP9,'Ashokan HP'!AP9,Vernooy!AP9,'Red Hill Dinch Road '!AP9,Flynn!AP9,'Frick Pond'!AP9,'Long Pond'!AP9,'Cathedral Glen'!AP9)</f>
        <v>0</v>
      </c>
      <c r="AQ8" s="17">
        <f>SUM('Biscuit Brook'!AQ9,'Hardenburgh- MH Trail'!AQ9,'McKenley Hollow'!AQ9,'Mongaup Pond'!AQ9,'Rider Hollow'!AQ9,Seager!AQ9,Denning!AQ9,'Fox Hollow'!AQ9,'Giant Ledge'!AQ9,Peekamoose!AQ9,'Slide Mt'!AQ9,Wittenberg!AQ9,'Woodland Valley'!AQ9,'Lane Street'!AQ9,'Kelly Hollow'!AR9,'Millbrook to BLM FT'!AQ9,'Beaverkill Road to BLM FT'!AQ9,'Alder Lake'!AQ9,'Dry Brook Ridge to Lean-to '!AQ9,'Neversink Hardenburgh Trail'!AQ9,Overlook!AQ9,'Rochester Hollow'!AQ9,'Onteora Lake'!AQ9,'Mt Tremper'!AQ9,'Ashokan HP'!AQ9,Vernooy!AQ9,'Red Hill Dinch Road '!AQ9,Flynn!AQ9,'Frick Pond'!AQ9,'Long Pond'!AQ9,'Cathedral Glen'!AQ9)</f>
        <v>0</v>
      </c>
      <c r="AR8" s="17">
        <f>SUM('Biscuit Brook'!AR9,'Hardenburgh- MH Trail'!AR9,'McKenley Hollow'!AR9,'Mongaup Pond'!AR9,'Rider Hollow'!AR9,Seager!AR9,Denning!AR9,'Fox Hollow'!AR9,'Giant Ledge'!AR9,Peekamoose!AR9,'Slide Mt'!AR9,Wittenberg!AR9,'Woodland Valley'!AR9,'Lane Street'!AR9,'Kelly Hollow'!AS9,'Millbrook to BLM FT'!AR9,'Beaverkill Road to BLM FT'!AR9,'Alder Lake'!AR9,'Dry Brook Ridge to Lean-to '!AR9,'Neversink Hardenburgh Trail'!AR9,Overlook!AR9,'Rochester Hollow'!AR9,'Onteora Lake'!AR9,'Mt Tremper'!AR9,'Ashokan HP'!AR9,Vernooy!AR9,'Red Hill Dinch Road '!AR9,Flynn!AR9,'Frick Pond'!AR9,'Long Pond'!AR9,'Cathedral Glen'!AR9)</f>
        <v>0</v>
      </c>
      <c r="AS8" s="17">
        <f>SUM('Biscuit Brook'!AS9,'Hardenburgh- MH Trail'!AS9,'McKenley Hollow'!AS9,'Mongaup Pond'!AS9,'Rider Hollow'!AS9,Seager!AS9,Denning!AS9,'Fox Hollow'!AS9,'Giant Ledge'!AS9,Peekamoose!AS9,'Slide Mt'!AS9,Wittenberg!AS9,'Woodland Valley'!AS9,'Lane Street'!AS9,'Kelly Hollow'!AT9,'Millbrook to BLM FT'!AS9,'Beaverkill Road to BLM FT'!AS9,'Alder Lake'!AS9,'Dry Brook Ridge to Lean-to '!AS9,'Neversink Hardenburgh Trail'!AS9,Overlook!AS9,'Rochester Hollow'!AS9,'Onteora Lake'!AS9,'Mt Tremper'!AS9,'Ashokan HP'!AS9,Vernooy!AS9,'Red Hill Dinch Road '!AS9,Flynn!AS9,'Frick Pond'!AS9,'Long Pond'!AS9,'Cathedral Glen'!AS9)</f>
        <v>0</v>
      </c>
      <c r="AT8" s="17">
        <f>SUM('Biscuit Brook'!AT9,'Hardenburgh- MH Trail'!AT9,'McKenley Hollow'!AT9,'Mongaup Pond'!AT9,'Rider Hollow'!AT9,Seager!AT9,Denning!AT9,'Fox Hollow'!AT9,'Giant Ledge'!AT9,Peekamoose!AT9,'Slide Mt'!AT9,Wittenberg!AT9,'Woodland Valley'!AT9,'Lane Street'!AT9,'Kelly Hollow'!AU9,'Millbrook to BLM FT'!AT9,'Beaverkill Road to BLM FT'!AT9,'Alder Lake'!AT9,'Dry Brook Ridge to Lean-to '!AT9,'Neversink Hardenburgh Trail'!AT9,Overlook!AT9,'Rochester Hollow'!AT9,'Onteora Lake'!AT9,'Mt Tremper'!AT9,'Ashokan HP'!AT9,Vernooy!AT9,'Red Hill Dinch Road '!AT9,Flynn!AT9,'Frick Pond'!AT9,'Long Pond'!AT9,'Cathedral Glen'!AT9)</f>
        <v>0</v>
      </c>
      <c r="AU8" s="17">
        <f>SUM('Biscuit Brook'!AU9,'Hardenburgh- MH Trail'!AU9,'McKenley Hollow'!AU9,'Mongaup Pond'!AU9,'Rider Hollow'!AU9,Seager!AU9,Denning!AU9,'Fox Hollow'!AU9,'Giant Ledge'!AU9,Peekamoose!AU9,'Slide Mt'!AU9,Wittenberg!AU9,'Woodland Valley'!AU9,'Lane Street'!AU9,'Kelly Hollow'!AV9,'Millbrook to BLM FT'!AU9,'Beaverkill Road to BLM FT'!AU9,'Alder Lake'!AU9,'Dry Brook Ridge to Lean-to '!AU9,'Neversink Hardenburgh Trail'!AU9,Overlook!AU9,'Rochester Hollow'!AU9,'Onteora Lake'!AU9,'Mt Tremper'!AU9,'Ashokan HP'!AU9,Vernooy!AU9,'Red Hill Dinch Road '!AU9,Flynn!AU9,'Frick Pond'!AU9,'Long Pond'!AU9,'Cathedral Glen'!AU9)</f>
        <v>0</v>
      </c>
      <c r="AV8" s="17">
        <f>SUM('Biscuit Brook'!AV9,'Hardenburgh- MH Trail'!AV9,'McKenley Hollow'!AV9,'Mongaup Pond'!AV9,'Rider Hollow'!AV9,Seager!AV9,Denning!AV9,'Fox Hollow'!AV9,'Giant Ledge'!AV9,Peekamoose!AV9,'Slide Mt'!AV9,Wittenberg!AV9,'Woodland Valley'!AV9,'Lane Street'!AV9,'Kelly Hollow'!AW9,'Millbrook to BLM FT'!AV9,'Beaverkill Road to BLM FT'!AV9,'Alder Lake'!AV9,'Dry Brook Ridge to Lean-to '!AV9,'Neversink Hardenburgh Trail'!AV9,Overlook!AV9,'Rochester Hollow'!AV9,'Onteora Lake'!AV9,'Mt Tremper'!AV9,'Ashokan HP'!AV9,Vernooy!AV9,'Red Hill Dinch Road '!AV9,Flynn!AV9,'Frick Pond'!AV9,'Long Pond'!AV9,'Cathedral Glen'!AV9)</f>
        <v>0</v>
      </c>
      <c r="AW8" s="17">
        <f>SUM('Biscuit Brook'!AW9,'Hardenburgh- MH Trail'!AW9,'McKenley Hollow'!AW9,'Mongaup Pond'!AW9,'Rider Hollow'!AW9,Seager!AW9,Denning!AW9,'Fox Hollow'!AW9,'Giant Ledge'!AW9,Peekamoose!AW9,'Slide Mt'!AW9,Wittenberg!AW9,'Woodland Valley'!AW9,'Lane Street'!AW9,'Kelly Hollow'!AX9,'Millbrook to BLM FT'!AW9,'Beaverkill Road to BLM FT'!AW9,'Alder Lake'!AW9,'Dry Brook Ridge to Lean-to '!AW9,'Neversink Hardenburgh Trail'!AW9,Overlook!AW9,'Rochester Hollow'!AW9,'Onteora Lake'!AW9,'Mt Tremper'!AW9,'Ashokan HP'!AW9,Vernooy!AW9,'Red Hill Dinch Road '!AW9,Flynn!AW9,'Frick Pond'!AW9,'Long Pond'!AW9,'Cathedral Glen'!AW9)</f>
        <v>0</v>
      </c>
      <c r="AX8" s="17">
        <f>SUM('Biscuit Brook'!AX9,'Hardenburgh- MH Trail'!AX9,'McKenley Hollow'!AX9,'Mongaup Pond'!AX9,'Rider Hollow'!AX9,Seager!AX9,Denning!AX9,'Fox Hollow'!AX9,'Giant Ledge'!AX9,Peekamoose!AX9,'Slide Mt'!AX9,Wittenberg!AX9,'Woodland Valley'!AX9,'Lane Street'!AX9,'Kelly Hollow'!AY9,'Millbrook to BLM FT'!AX9,'Beaverkill Road to BLM FT'!AX9,'Alder Lake'!AX9,'Dry Brook Ridge to Lean-to '!AX9,'Neversink Hardenburgh Trail'!AX9,Overlook!AX9,'Rochester Hollow'!AX9,'Onteora Lake'!AX9,'Mt Tremper'!AX9,'Ashokan HP'!AX9,Vernooy!AX9,'Red Hill Dinch Road '!AX9,Flynn!AX9,'Frick Pond'!AX9,'Long Pond'!AX9,'Cathedral Glen'!AX9)</f>
        <v>0</v>
      </c>
      <c r="AY8" s="17">
        <f>SUM('Biscuit Brook'!AY9,'Hardenburgh- MH Trail'!AY9,'McKenley Hollow'!AY9,'Mongaup Pond'!AY9,'Rider Hollow'!AY9,Seager!AY9,Denning!AY9,'Fox Hollow'!AY9,'Giant Ledge'!AY9,Peekamoose!AY9,'Slide Mt'!AY9,Wittenberg!AY9,'Woodland Valley'!AY9,'Lane Street'!AY9,'Kelly Hollow'!AZ9,'Millbrook to BLM FT'!AY9,'Beaverkill Road to BLM FT'!AY9,'Alder Lake'!AY9,'Dry Brook Ridge to Lean-to '!AY9,'Neversink Hardenburgh Trail'!AY9,Overlook!AY9,'Rochester Hollow'!AY9,'Onteora Lake'!AY9,'Mt Tremper'!AY9,'Ashokan HP'!AY9,Vernooy!AY9,'Red Hill Dinch Road '!AY9,Flynn!AY9,'Frick Pond'!AY9,'Long Pond'!AY9,'Cathedral Glen'!AY9)</f>
        <v>0</v>
      </c>
      <c r="AZ8" s="17" t="e">
        <f>SUM('Biscuit Brook'!AZ9,'Hardenburgh- MH Trail'!AZ9,'McKenley Hollow'!AZ9,'Mongaup Pond'!AZ9,'Rider Hollow'!AZ9,Seager!AZ9,Denning!AZ9,'Fox Hollow'!AZ9,'Giant Ledge'!AZ9,Peekamoose!AZ9,'Slide Mt'!AZ9,Wittenberg!AZ9,'Woodland Valley'!AZ9,'Lane Street'!AZ9,'Kelly Hollow'!BA9,'Millbrook to BLM FT'!AZ9,'Beaverkill Road to BLM FT'!AZ9,'Alder Lake'!AZ9,'Dry Brook Ridge to Lean-to '!AZ9,'Neversink Hardenburgh Trail'!AZ9,Overlook!AZ9,'Rochester Hollow'!AZ9,'Onteora Lake'!BA9,'Mt Tremper'!AZ9,'Ashokan HP'!AZ9,Vernooy!AZ9,'Red Hill Dinch Road '!AZ9,Flynn!AZ9,'Frick Pond'!AZ9,'Long Pond'!AZ9)</f>
        <v>#N/A</v>
      </c>
      <c r="BA8" s="96" t="e">
        <v>#N/A</v>
      </c>
      <c r="BB8" s="96" t="e">
        <v>#N/A</v>
      </c>
      <c r="BC8" s="96" t="e">
        <v>#N/A</v>
      </c>
      <c r="BD8" s="96" t="e">
        <v>#N/A</v>
      </c>
      <c r="BE8" s="96" t="e">
        <v>#N/A</v>
      </c>
      <c r="BF8" s="96" t="e">
        <v>#N/A</v>
      </c>
      <c r="BG8" s="96" t="e">
        <v>#N/A</v>
      </c>
      <c r="BH8" s="96" t="e">
        <v>#N/A</v>
      </c>
      <c r="BI8" s="96" t="e">
        <v>#N/A</v>
      </c>
      <c r="BJ8" s="96">
        <f t="shared" si="36"/>
        <v>4937.7</v>
      </c>
      <c r="BK8" s="96">
        <f t="shared" si="37"/>
        <v>4877.3</v>
      </c>
      <c r="BL8" s="96">
        <f t="shared" si="38"/>
        <v>4871.1000000000004</v>
      </c>
      <c r="BM8" s="96">
        <f t="shared" si="39"/>
        <v>4726.3999999999996</v>
      </c>
      <c r="BN8" s="96">
        <f t="shared" si="40"/>
        <v>4702.6000000000004</v>
      </c>
      <c r="BO8" s="96">
        <f t="shared" si="41"/>
        <v>4651.8999999999996</v>
      </c>
      <c r="BP8" s="96">
        <f t="shared" si="42"/>
        <v>4615.6000000000004</v>
      </c>
      <c r="BQ8" s="96">
        <f t="shared" si="43"/>
        <v>4602.6000000000004</v>
      </c>
      <c r="BR8" s="96">
        <f t="shared" si="44"/>
        <v>4525.666666666667</v>
      </c>
      <c r="BS8" s="96">
        <f t="shared" si="45"/>
        <v>4352.5</v>
      </c>
      <c r="BT8" s="96">
        <f t="shared" si="46"/>
        <v>4530.5</v>
      </c>
      <c r="BU8" s="96">
        <f t="shared" si="47"/>
        <v>4618.7142857142853</v>
      </c>
      <c r="BV8" s="96">
        <f t="shared" si="48"/>
        <v>4682.1428571428569</v>
      </c>
      <c r="BW8" s="96">
        <f t="shared" si="49"/>
        <v>4840.1428571428569</v>
      </c>
      <c r="BX8" s="96">
        <f t="shared" si="50"/>
        <v>5127.1428571428569</v>
      </c>
      <c r="BY8" s="96">
        <f t="shared" si="51"/>
        <v>5652.1428571428569</v>
      </c>
      <c r="BZ8" s="96">
        <f t="shared" si="52"/>
        <v>6078.4880952380945</v>
      </c>
      <c r="CA8" s="96">
        <f t="shared" si="53"/>
        <v>6379.6309523809523</v>
      </c>
      <c r="CB8" s="96">
        <f t="shared" si="54"/>
        <v>6407.427083333333</v>
      </c>
      <c r="CC8" s="96">
        <f t="shared" si="55"/>
        <v>6570.9351851851852</v>
      </c>
      <c r="CD8" s="96">
        <f t="shared" si="56"/>
        <v>6774.5648148148139</v>
      </c>
      <c r="CE8" s="96">
        <f t="shared" si="57"/>
        <v>6737.3416666666653</v>
      </c>
      <c r="CF8" s="96">
        <f t="shared" si="58"/>
        <v>6859.0416666666661</v>
      </c>
      <c r="CG8" s="96">
        <f t="shared" si="59"/>
        <v>7024.2416666666659</v>
      </c>
      <c r="CH8" s="96">
        <f t="shared" si="60"/>
        <v>6666.5416666666661</v>
      </c>
      <c r="CI8" s="96">
        <f t="shared" si="61"/>
        <v>6049.4416666666666</v>
      </c>
      <c r="CJ8" s="96">
        <f t="shared" si="62"/>
        <v>5947.1111111111113</v>
      </c>
      <c r="CK8" s="96">
        <f t="shared" si="63"/>
        <v>5798.25</v>
      </c>
      <c r="CL8" s="96">
        <f t="shared" si="64"/>
        <v>5683.4285714285716</v>
      </c>
      <c r="CM8" s="96">
        <f t="shared" si="65"/>
        <v>5317.5</v>
      </c>
      <c r="CN8" s="96">
        <f t="shared" si="66"/>
        <v>4855.8666666666668</v>
      </c>
      <c r="CO8" s="96">
        <f t="shared" si="67"/>
        <v>4469.25</v>
      </c>
      <c r="CP8" s="96">
        <f t="shared" si="68"/>
        <v>3920.6666666666665</v>
      </c>
      <c r="CQ8" s="96">
        <f t="shared" si="69"/>
        <v>2634.5</v>
      </c>
      <c r="CR8" s="96">
        <f t="shared" si="70"/>
        <v>2070</v>
      </c>
      <c r="CS8" s="96" t="e">
        <f t="shared" si="71"/>
        <v>#DIV/0!</v>
      </c>
      <c r="CT8" s="96" t="e">
        <f t="shared" si="72"/>
        <v>#DIV/0!</v>
      </c>
      <c r="CU8" s="96" t="e">
        <f t="shared" si="73"/>
        <v>#DIV/0!</v>
      </c>
      <c r="CV8" s="96" t="e">
        <f t="shared" si="74"/>
        <v>#DIV/0!</v>
      </c>
      <c r="CW8" s="96" t="e">
        <f t="shared" si="75"/>
        <v>#DIV/0!</v>
      </c>
      <c r="CX8" s="96" t="e">
        <f t="shared" si="76"/>
        <v>#DIV/0!</v>
      </c>
      <c r="CY8" s="96" t="e">
        <f t="shared" si="77"/>
        <v>#DIV/0!</v>
      </c>
    </row>
    <row r="9" spans="1:103" ht="20" customHeight="1" x14ac:dyDescent="0.2">
      <c r="A9" s="7" t="s">
        <v>5</v>
      </c>
      <c r="B9" s="14">
        <f>SUM('Biscuit Brook'!B10,'Hardenburgh- MH Trail'!B10,'McKenley Hollow'!B10,'Mongaup Pond'!B10,'Rider Hollow'!B10,Seager!B10,Denning!B10,'Fox Hollow'!B10,'Giant Ledge'!B10,Peekamoose!B10,'Slide Mt'!B10,Wittenberg!B10,'Woodland Valley'!B10,'Kelly Hollow'!B10,'Millbrook to BLM FT'!B10,'Beaverkill Road to BLM FT'!B10,'Alder Lake'!B10,'Dry Brook Ridge to Lean-to '!B10,'Neversink Hardenburgh Trail'!B10,Overlook!B10,'Rochester Hollow'!B10,'Onteora Lake'!B10,'Mt Tremper'!B10,'Ashokan HP'!B10,Vernooy!B10,'Red Hill Dinch Road '!B10,Flynn!B10,'Frick Pond'!B10,'Long Pond'!B10)</f>
        <v>3983</v>
      </c>
      <c r="C9" s="14">
        <f>SUM('Biscuit Brook'!C10,'Hardenburgh- MH Trail'!C10,'McKenley Hollow'!C10,'Mongaup Pond'!C10,'Rider Hollow'!C10,Seager!C10,Denning!C10,'Fox Hollow'!C10,'Giant Ledge'!C10,Peekamoose!C10,'Slide Mt'!C10,Wittenberg!C10,'Woodland Valley'!C10,'Kelly Hollow'!C10,'Millbrook to BLM FT'!C10,'Beaverkill Road to BLM FT'!C10,'Alder Lake'!C10,'Dry Brook Ridge to Lean-to '!C10,'Neversink Hardenburgh Trail'!C10,Overlook!C10,'Rochester Hollow'!C10,'Onteora Lake'!C10,'Mt Tremper'!C10,'Ashokan HP'!C10,Vernooy!C10,'Red Hill Dinch Road '!C10,Flynn!C10,'Frick Pond'!C10,'Long Pond'!C10)</f>
        <v>3021</v>
      </c>
      <c r="D9" s="14">
        <f>SUM('Biscuit Brook'!D10,'Hardenburgh- MH Trail'!D10,'McKenley Hollow'!D10,'Mongaup Pond'!D10,'Rider Hollow'!D10,Seager!D10,Denning!D10,'Fox Hollow'!D10,'Giant Ledge'!D10,Peekamoose!D10,'Slide Mt'!D10,Wittenberg!D10,'Woodland Valley'!D10,'Kelly Hollow'!D10,'Millbrook to BLM FT'!D10,'Beaverkill Road to BLM FT'!D10,'Alder Lake'!D10,'Dry Brook Ridge to Lean-to '!D10,'Neversink Hardenburgh Trail'!D10,Overlook!D10,'Rochester Hollow'!D10,'Onteora Lake'!D10,'Mt Tremper'!D10,'Ashokan HP'!D10,Vernooy!D10,'Red Hill Dinch Road '!D10,Flynn!D10,'Frick Pond'!D10,'Long Pond'!D10)</f>
        <v>3469</v>
      </c>
      <c r="E9" s="14">
        <f>SUM('Biscuit Brook'!E10,'Hardenburgh- MH Trail'!E10,'McKenley Hollow'!E10,'Mongaup Pond'!E10,'Rider Hollow'!E10,Seager!E10,Denning!E10,'Fox Hollow'!E10,'Giant Ledge'!E10,Peekamoose!E10,'Slide Mt'!E10,Wittenberg!E10,'Woodland Valley'!E10,'Kelly Hollow'!E10,'Millbrook to BLM FT'!E10,'Beaverkill Road to BLM FT'!E10,'Alder Lake'!E10,'Dry Brook Ridge to Lean-to '!E10,'Neversink Hardenburgh Trail'!E10,Overlook!E10,'Rochester Hollow'!E10,'Onteora Lake'!E10,'Mt Tremper'!E10,'Ashokan HP'!E10,Vernooy!E10,'Red Hill Dinch Road '!E10,Flynn!E10,'Frick Pond'!E10,'Long Pond'!E10)</f>
        <v>3751</v>
      </c>
      <c r="F9" s="14">
        <f>SUM('Biscuit Brook'!F10,'Hardenburgh- MH Trail'!F10,'McKenley Hollow'!F10,'Mongaup Pond'!F10,'Rider Hollow'!F10,Seager!F10,Denning!F10,'Fox Hollow'!F10,'Giant Ledge'!F10,Peekamoose!F10,'Slide Mt'!F10,Wittenberg!F10,'Woodland Valley'!F10,'Kelly Hollow'!F10,'Millbrook to BLM FT'!F10,'Beaverkill Road to BLM FT'!F10,'Alder Lake'!F10,'Dry Brook Ridge to Lean-to '!F10,'Neversink Hardenburgh Trail'!F10,Overlook!F10,'Rochester Hollow'!F10,'Onteora Lake'!F10,'Mt Tremper'!F10,'Ashokan HP'!F10,Vernooy!F10,'Red Hill Dinch Road '!F10,Flynn!F10,'Frick Pond'!F10,'Long Pond'!F10)</f>
        <v>3890</v>
      </c>
      <c r="G9" s="14">
        <f>SUM('Biscuit Brook'!G10,'Hardenburgh- MH Trail'!G10,'McKenley Hollow'!G10,'Mongaup Pond'!G10,'Rider Hollow'!G10,Seager!G10,Denning!G10,'Fox Hollow'!G10,'Giant Ledge'!G10,Peekamoose!G10,'Slide Mt'!G10,Wittenberg!G10,'Woodland Valley'!G10,'Kelly Hollow'!G10,'Millbrook to BLM FT'!G10,'Beaverkill Road to BLM FT'!G10,'Alder Lake'!G10,'Dry Brook Ridge to Lean-to '!G10,'Neversink Hardenburgh Trail'!G10,Overlook!G10,'Rochester Hollow'!G10,'Onteora Lake'!G10,'Mt Tremper'!G10,'Ashokan HP'!G10,Vernooy!G10,'Red Hill Dinch Road '!G10,Flynn!G10,'Frick Pond'!G10,'Long Pond'!G10)</f>
        <v>4108</v>
      </c>
      <c r="H9" s="14">
        <f>SUM('Biscuit Brook'!H10,'Hardenburgh- MH Trail'!H10,'McKenley Hollow'!H10,'Mongaup Pond'!H10,'Rider Hollow'!H10,Seager!H10,Denning!H10,'Fox Hollow'!H10,'Giant Ledge'!H10,Peekamoose!H10,'Slide Mt'!H10,Wittenberg!H10,'Woodland Valley'!H10,'Kelly Hollow'!H10,'Millbrook to BLM FT'!H10,'Beaverkill Road to BLM FT'!H10,'Alder Lake'!H10,'Dry Brook Ridge to Lean-to '!H10,'Neversink Hardenburgh Trail'!H10,Overlook!H10,'Rochester Hollow'!H10,'Onteora Lake'!H10,'Mt Tremper'!H10,'Ashokan HP'!H10,Vernooy!H10,'Red Hill Dinch Road '!H10,Flynn!H10,'Frick Pond'!H10,'Long Pond'!H10)</f>
        <v>4452</v>
      </c>
      <c r="I9" s="14">
        <f>SUM('Biscuit Brook'!I10,'Hardenburgh- MH Trail'!I10,'McKenley Hollow'!I10,'Mongaup Pond'!I10,'Rider Hollow'!I10,Seager!I10,Denning!I10,'Fox Hollow'!I10,'Giant Ledge'!I10,Peekamoose!I10,'Slide Mt'!I10,Wittenberg!I10,'Woodland Valley'!I10,'Kelly Hollow'!I10,'Millbrook to BLM FT'!I10,'Beaverkill Road to BLM FT'!I10,'Alder Lake'!I10,'Dry Brook Ridge to Lean-to '!I10,'Neversink Hardenburgh Trail'!I10,Overlook!I10,'Rochester Hollow'!I10,'Onteora Lake'!I10,'Mt Tremper'!I10,'Ashokan HP'!I10,Vernooy!I10,'Red Hill Dinch Road '!I10,Flynn!I10,'Frick Pond'!I10,'Long Pond'!I10)</f>
        <v>3611</v>
      </c>
      <c r="J9" s="14">
        <f>SUM('Biscuit Brook'!J10,'Hardenburgh- MH Trail'!J10,'McKenley Hollow'!J10,'Mongaup Pond'!J10,'Rider Hollow'!J10,Seager!J10,Denning!J10,'Fox Hollow'!J10,'Giant Ledge'!J10,Peekamoose!J10,'Slide Mt'!J10,Wittenberg!J10,'Woodland Valley'!J10,'Kelly Hollow'!J10,'Millbrook to BLM FT'!J10,'Beaverkill Road to BLM FT'!J10,'Alder Lake'!J10,'Dry Brook Ridge to Lean-to '!J10,'Neversink Hardenburgh Trail'!J10,Overlook!J10,'Rochester Hollow'!J10,'Onteora Lake'!J10,'Mt Tremper'!J10,'Ashokan HP'!J10,Vernooy!J10,'Red Hill Dinch Road '!J10,Flynn!J10,'Frick Pond'!J10,'Long Pond'!J10)</f>
        <v>4398</v>
      </c>
      <c r="K9" s="14">
        <f>SUM('Biscuit Brook'!K10,'Hardenburgh- MH Trail'!K10,'McKenley Hollow'!K10,'Mongaup Pond'!K10,'Rider Hollow'!K10,Seager!K10,Denning!K10,'Fox Hollow'!K10,'Giant Ledge'!K10,Peekamoose!K10,'Slide Mt'!K10,Wittenberg!K10,'Woodland Valley'!K10,'Kelly Hollow'!K10,'Millbrook to BLM FT'!K10,'Beaverkill Road to BLM FT'!K10,'Alder Lake'!K10,'Dry Brook Ridge to Lean-to '!K10,'Neversink Hardenburgh Trail'!K10,Overlook!K10,'Rochester Hollow'!K10,'Onteora Lake'!K10,'Mt Tremper'!K10,'Ashokan HP'!K10,Vernooy!K10,'Red Hill Dinch Road '!K10,Flynn!K10,'Frick Pond'!K10,'Long Pond'!K10)</f>
        <v>3597</v>
      </c>
      <c r="L9" s="14">
        <f>SUM('Biscuit Brook'!L10,'Hardenburgh- MH Trail'!L10,'McKenley Hollow'!L10,'Mongaup Pond'!L10,'Rider Hollow'!L10,Seager!L10,Denning!L10,'Fox Hollow'!L10,'Giant Ledge'!L10,Peekamoose!L10,'Slide Mt'!L10,Wittenberg!L10,'Woodland Valley'!L10,'Kelly Hollow'!L10,'Millbrook to BLM FT'!L10,'Beaverkill Road to BLM FT'!L10,'Alder Lake'!L10,'Dry Brook Ridge to Lean-to '!L10,'Neversink Hardenburgh Trail'!L10,Overlook!L10,'Rochester Hollow'!L10,'Onteora Lake'!L10,'Mt Tremper'!L10,'Ashokan HP'!L10,Vernooy!L10,'Red Hill Dinch Road '!L10,Flynn!L10,'Frick Pond'!L10,'Long Pond'!L10)</f>
        <v>4011</v>
      </c>
      <c r="M9" s="14">
        <f>SUM('Biscuit Brook'!M10,'Hardenburgh- MH Trail'!M10,'McKenley Hollow'!M10,'Mongaup Pond'!M10,'Rider Hollow'!M10,Seager!M10,Denning!M10,'Fox Hollow'!M10,'Giant Ledge'!M10,Peekamoose!M10,'Slide Mt'!M10,Wittenberg!M10,'Woodland Valley'!M10,'Kelly Hollow'!M10,'Millbrook to BLM FT'!M10,'Beaverkill Road to BLM FT'!M10,'Alder Lake'!M10,'Dry Brook Ridge to Lean-to '!M10,'Neversink Hardenburgh Trail'!M10,Overlook!M10,'Rochester Hollow'!M10,'Onteora Lake'!M10,'Mt Tremper'!M10,'Ashokan HP'!M10,Vernooy!M10,'Red Hill Dinch Road '!M10,Flynn!M10,'Frick Pond'!M10,'Long Pond'!M10)</f>
        <v>4970</v>
      </c>
      <c r="N9" s="14">
        <f>SUM('Biscuit Brook'!N10,'Hardenburgh- MH Trail'!N10,'McKenley Hollow'!N10,'Mongaup Pond'!N10,'Rider Hollow'!N10,Seager!N10,Denning!N10,'Fox Hollow'!N10,'Giant Ledge'!N10,Peekamoose!N10,'Slide Mt'!N10,Wittenberg!N10,'Woodland Valley'!N10,'Kelly Hollow'!N10,'Millbrook to BLM FT'!N10,'Beaverkill Road to BLM FT'!N10,'Alder Lake'!N10,'Dry Brook Ridge to Lean-to '!N10,'Neversink Hardenburgh Trail'!N10,Overlook!N10,'Rochester Hollow'!N10,'Onteora Lake'!N10,'Mt Tremper'!N10,'Ashokan HP'!N10,Vernooy!N10,'Red Hill Dinch Road '!N10,Flynn!N10,'Frick Pond'!N10,'Long Pond'!N10)</f>
        <v>3812</v>
      </c>
      <c r="O9" s="14">
        <f>SUM('Biscuit Brook'!O10,'Hardenburgh- MH Trail'!O10,'McKenley Hollow'!O10,'Mongaup Pond'!O10,'Rider Hollow'!O10,Seager!O10,Denning!O10,'Fox Hollow'!O10,'Giant Ledge'!O10,Peekamoose!O10,'Slide Mt'!O10,Wittenberg!O10,'Woodland Valley'!O10,'Kelly Hollow'!O10,'Millbrook to BLM FT'!O10,'Beaverkill Road to BLM FT'!O10,'Alder Lake'!O10,'Dry Brook Ridge to Lean-to '!O10,'Neversink Hardenburgh Trail'!O10,Overlook!O10,'Rochester Hollow'!O10,'Onteora Lake'!O10,'Mt Tremper'!O10,'Ashokan HP'!O10,Vernooy!O10,'Red Hill Dinch Road '!O10,Flynn!O10,'Frick Pond'!O10,'Long Pond'!O10)</f>
        <v>4248</v>
      </c>
      <c r="P9" s="14">
        <f>SUM('Biscuit Brook'!P10,'Hardenburgh- MH Trail'!P10,'McKenley Hollow'!P10,'Mongaup Pond'!P10,'Rider Hollow'!P10,Seager!P10,Denning!P10,'Fox Hollow'!P10,'Giant Ledge'!P10,Peekamoose!P10,'Slide Mt'!P10,Wittenberg!P10,'Woodland Valley'!P10,'Kelly Hollow'!P10,'Millbrook to BLM FT'!P10,'Beaverkill Road to BLM FT'!P10,'Alder Lake'!P10,'Dry Brook Ridge to Lean-to '!P10,'Neversink Hardenburgh Trail'!P10,Overlook!P10,'Rochester Hollow'!P10,'Onteora Lake'!P10,'Mt Tremper'!P10,'Ashokan HP'!P10,Vernooy!P10,'Red Hill Dinch Road '!P10,Flynn!P10,'Frick Pond'!P10,'Long Pond'!P10)</f>
        <v>3746</v>
      </c>
      <c r="Q9" s="14">
        <f>SUM('Biscuit Brook'!Q10,'Hardenburgh- MH Trail'!Q10,'McKenley Hollow'!Q10,'Mongaup Pond'!Q10,'Rider Hollow'!Q10,Seager!Q10,Denning!Q10,'Fox Hollow'!Q10,'Giant Ledge'!Q10,Peekamoose!Q10,'Slide Mt'!Q10,Wittenberg!Q10,'Woodland Valley'!Q10,'Kelly Hollow'!Q10,'Millbrook to BLM FT'!Q10,'Beaverkill Road to BLM FT'!Q10,'Alder Lake'!Q10,'Dry Brook Ridge to Lean-to '!Q10,'Neversink Hardenburgh Trail'!Q10,Overlook!Q10,'Rochester Hollow'!Q10,'Onteora Lake'!Q10,'Mt Tremper'!Q10,'Ashokan HP'!Q10,Vernooy!Q10,'Red Hill Dinch Road '!Q10,Flynn!Q10,'Frick Pond'!Q10,'Long Pond'!Q10)</f>
        <v>3277</v>
      </c>
      <c r="R9" s="14">
        <f>SUM('Biscuit Brook'!R10,'Hardenburgh- MH Trail'!R10,'McKenley Hollow'!R10,'Mongaup Pond'!R10,'Rider Hollow'!R10,Seager!R10,Denning!R10,'Fox Hollow'!R10,'Giant Ledge'!R10,Peekamoose!R10,'Slide Mt'!R10,Wittenberg!R10,'Woodland Valley'!R10,'Kelly Hollow'!R10,'Millbrook to BLM FT'!R10,'Beaverkill Road to BLM FT'!R10,'Alder Lake'!R10,'Dry Brook Ridge to Lean-to '!R10,'Neversink Hardenburgh Trail'!R10,Overlook!R10,'Rochester Hollow'!R10,'Onteora Lake'!R10,'Mt Tremper'!R10,'Ashokan HP'!R10,Vernooy!R10,'Red Hill Dinch Road '!R10,Flynn!R10,'Frick Pond'!R10,'Long Pond'!R10)</f>
        <v>4726</v>
      </c>
      <c r="S9" s="14"/>
      <c r="T9" s="14"/>
      <c r="U9" s="15">
        <f>SUM('Biscuit Brook'!U10,'Hardenburgh- MH Trail'!U10,'McKenley Hollow'!U10,'Mongaup Pond'!U10,'Rider Hollow'!U10,Seager!U10,Denning!U10,'Fox Hollow'!U10,'Giant Ledge'!U10,Peekamoose!U10,'Slide Mt'!U10,Wittenberg!U10,'Woodland Valley'!U10,'Kelly Hollow'!U10,'Millbrook to BLM FT'!U10,'Beaverkill Road to BLM FT'!U10,'Alder Lake'!U10,'Dry Brook Ridge to Lean-to '!U10,'Neversink Hardenburgh Trail'!U10,Overlook!U10,'Rochester Hollow'!U10,'Onteora Lake'!U10,'Mt Tremper'!U10,'Ashokan HP'!U10,Vernooy!U10,'Red Hill Dinch Road '!U10,Flynn!U10,'Frick Pond'!U10,'Long Pond'!U10)</f>
        <v>5043</v>
      </c>
      <c r="V9" s="15"/>
      <c r="W9" s="15">
        <f>SUM('Biscuit Brook'!W10,'Hardenburgh- MH Trail'!W10,'McKenley Hollow'!W10,'Mongaup Pond'!W10,'Rider Hollow'!W10,Seager!W10,Denning!W10,'Fox Hollow'!W10,'Giant Ledge'!W10,Peekamoose!W10,'Slide Mt'!W10,Wittenberg!W10,'Woodland Valley'!W10,'Kelly Hollow'!W10,'Millbrook to BLM FT'!W10,'Beaverkill Road to BLM FT'!W10,'Alder Lake'!W10,'Dry Brook Ridge to Lean-to '!W10,'Neversink Hardenburgh Trail'!W10,Overlook!W10,'Rochester Hollow'!W10,'Onteora Lake'!W10,'Mt Tremper'!W10,'Ashokan HP'!W10,Vernooy!W10,'Red Hill Dinch Road '!W10,Flynn!W10,'Frick Pond'!W10,'Long Pond'!W10)</f>
        <v>4978</v>
      </c>
      <c r="X9" s="15">
        <f>SUM('Biscuit Brook'!X10,'Hardenburgh- MH Trail'!X10,'McKenley Hollow'!X10,'Mongaup Pond'!X10,'Rider Hollow'!X10,Seager!X10,Denning!X10,'Fox Hollow'!X10,'Giant Ledge'!X10,Peekamoose!X10,'Slide Mt'!X10,Wittenberg!X10,'Woodland Valley'!X10,'Kelly Hollow'!X10,'Millbrook to BLM FT'!X10,'Beaverkill Road to BLM FT'!X10,'Alder Lake'!X10,'Dry Brook Ridge to Lean-to '!X10,'Neversink Hardenburgh Trail'!X10,Overlook!X10,'Rochester Hollow'!X10,'Onteora Lake'!X10,'Mt Tremper'!X10,'Ashokan HP'!X10,Vernooy!X10,'Red Hill Dinch Road '!X10,Flynn!X10,'Frick Pond'!X10,'Long Pond'!X10)</f>
        <v>4965</v>
      </c>
      <c r="Y9" s="15">
        <f>SUM('Biscuit Brook'!Y10,'Hardenburgh- MH Trail'!Y10,'McKenley Hollow'!Y10,'Mongaup Pond'!Y10,'Rider Hollow'!Y10,Seager!Y10,Denning!Y10,'Fox Hollow'!Y10,'Giant Ledge'!Y10,Peekamoose!Y10,'Slide Mt'!Y10,Wittenberg!Y10,'Woodland Valley'!Y10,'Lane Street'!Y10,'Kelly Hollow'!Y10,'Millbrook to BLM FT'!Y10,'Beaverkill Road to BLM FT'!Y10,'Alder Lake'!Y10,'Dry Brook Ridge to Lean-to '!Y10,'Neversink Hardenburgh Trail'!Y10,Overlook!Y10,'Rochester Hollow'!Y10,'Onteora Lake'!Y10,'Mt Tremper'!Y10,'Ashokan HP'!Y10,Vernooy!Y10,'Red Hill Dinch Road '!Y10,Flynn!Y10,'Frick Pond'!Y10,'Long Pond'!Y10)</f>
        <v>7120</v>
      </c>
      <c r="Z9" s="15">
        <f>SUM('Biscuit Brook'!Z10,'Hardenburgh- MH Trail'!Z10,'McKenley Hollow'!Z10,'Mongaup Pond'!Z10,'Rider Hollow'!Z10,Seager!Z10,Denning!Z10,'Fox Hollow'!Z10,'Giant Ledge'!Z10,Peekamoose!Z10,'Slide Mt'!Z10,Wittenberg!Z10,'Woodland Valley'!Z10,'Lane Street'!Z10,'Kelly Hollow'!Z10,'Millbrook to BLM FT'!Z10,'Beaverkill Road to BLM FT'!Z10,'Alder Lake'!Z10,'Dry Brook Ridge to Lean-to '!Z10,'Neversink Hardenburgh Trail'!Z10,Overlook!Z10,'Rochester Hollow'!Z10,'Onteora Lake'!Z10,'Mt Tremper'!Z10,'Ashokan HP'!Z10,Vernooy!Z10,'Red Hill Dinch Road '!Z10,Flynn!Z10,'Frick Pond'!Z10,'Long Pond'!Z10)</f>
        <v>6022</v>
      </c>
      <c r="AA9" s="15">
        <f>SUM('Biscuit Brook'!AA10,'Hardenburgh- MH Trail'!AA10,'McKenley Hollow'!AA10,'Mongaup Pond'!AA10,'Rider Hollow'!AA10,Seager!AA10,Denning!AA10,'Fox Hollow'!AA10,'Giant Ledge'!AA10,Peekamoose!AA10,'Slide Mt'!AA10,Wittenberg!AA10,'Woodland Valley'!AA10,'Lane Street'!AA10,'Kelly Hollow'!AA10,'Millbrook to BLM FT'!AA10,'Beaverkill Road to BLM FT'!AA10,'Alder Lake'!AA10,'Dry Brook Ridge to Lean-to '!AA10,'Neversink Hardenburgh Trail'!AA10,Overlook!AA10,'Rochester Hollow'!AA10,'Onteora Lake'!AA10,'Mt Tremper'!AA10,'Ashokan HP'!AA10,Vernooy!AA10,'Red Hill Dinch Road '!AA10,Flynn!AA10,'Frick Pond'!AA10,'Long Pond'!AA10)</f>
        <v>8235.5</v>
      </c>
      <c r="AB9" s="15">
        <f>SUM('Biscuit Brook'!AB10,'Hardenburgh- MH Trail'!AB10,'McKenley Hollow'!AB10,'Mongaup Pond'!AB10,'Rider Hollow'!AB10,Seager!AB10,Denning!AB10,'Fox Hollow'!AB10,'Giant Ledge'!AB10,Peekamoose!AB10,'Slide Mt'!AB10,Wittenberg!AB10,'Woodland Valley'!AB10,'Lane Street'!AB10,'Kelly Hollow'!AB10,'Millbrook to BLM FT'!AB10,'Beaverkill Road to BLM FT'!AB10,'Alder Lake'!AB10,'Dry Brook Ridge to Lean-to '!AB10,'Neversink Hardenburgh Trail'!AB10,Overlook!AB10,'Rochester Hollow'!AB10,'Onteora Lake'!AB10,'Mt Tremper'!AB10,'Ashokan HP'!AB10,Vernooy!AB10,'Red Hill Dinch Road '!AB10,Flynn!AB10,'Frick Pond'!AB10,'Long Pond'!AB10)</f>
        <v>7841</v>
      </c>
      <c r="AC9" s="15">
        <f>SUM('Biscuit Brook'!AC10,'Hardenburgh- MH Trail'!AC10,'McKenley Hollow'!AC10,'Mongaup Pond'!AC10,'Rider Hollow'!AC10,Seager!AC10,Denning!AC10,'Fox Hollow'!AC10,'Giant Ledge'!AC10,Peekamoose!AC10,'Slide Mt'!AC10,Wittenberg!AC10,'Woodland Valley'!AC10,'Lane Street'!AC10,'Kelly Hollow'!AD10,'Millbrook to BLM FT'!AC10,'Beaverkill Road to BLM FT'!AC10,'Alder Lake'!AC10,'Dry Brook Ridge to Lean-to '!AC10,'Neversink Hardenburgh Trail'!AC10,Overlook!AC10,'Rochester Hollow'!AC10,'Onteora Lake'!AC10,'Mt Tremper'!AC10,'Ashokan HP'!AC10,Vernooy!AC10,'Red Hill Dinch Road '!AC10,Flynn!AC10,'Frick Pond'!AC10,'Long Pond'!AC10)</f>
        <v>7989</v>
      </c>
      <c r="AD9" s="15">
        <f>SUM('Biscuit Brook'!AD10,'Hardenburgh- MH Trail'!AD10,'McKenley Hollow'!AD10,'Mongaup Pond'!AD10,'Rider Hollow'!AD10,Seager!AD10,Denning!AD10,'Fox Hollow'!AD10,'Giant Ledge'!AD10,Peekamoose!AD10,'Slide Mt'!AD10,Wittenberg!AD10,'Woodland Valley'!AD10,'Lane Street'!AD10,'Kelly Hollow'!AE10,'Millbrook to BLM FT'!AD10,'Beaverkill Road to BLM FT'!AD10,'Alder Lake'!AD10,'Dry Brook Ridge to Lean-to '!AD10,'Neversink Hardenburgh Trail'!AD10,Overlook!AD10,'Rochester Hollow'!AD10,'Onteora Lake'!AD10,'Mt Tremper'!AD10,'Ashokan HP'!AD10,Vernooy!AD10,'Red Hill Dinch Road '!AD10,Flynn!AD10,'Frick Pond'!AD10,'Long Pond'!AD10)</f>
        <v>8776</v>
      </c>
      <c r="AE9" s="15">
        <f>SUM('Biscuit Brook'!AE10,'Hardenburgh- MH Trail'!AE10,'McKenley Hollow'!AE10,'Mongaup Pond'!AE10,'Rider Hollow'!AE10,Seager!AE10,Denning!AE10,'Fox Hollow'!AE10,'Giant Ledge'!AE10,Peekamoose!AE10,'Slide Mt'!AE10,Wittenberg!AE10,'Woodland Valley'!AE10,'Lane Street'!AE10,'Kelly Hollow'!AF10,'Millbrook to BLM FT'!AE10,'Beaverkill Road to BLM FT'!AE10,'Alder Lake'!AE10,'Dry Brook Ridge to Lean-to '!AE10,'Neversink Hardenburgh Trail'!AE10,Overlook!AE10,'Rochester Hollow'!AE10,'Onteora Lake'!AE10,'Mt Tremper'!AE10,'Ashokan HP'!AE10,Vernooy!AE10,'Red Hill Dinch Road '!AE10,Flynn!AE10,'Frick Pond'!AE10,'Long Pond'!AE10)</f>
        <v>8160.0000000000009</v>
      </c>
      <c r="AF9" s="15">
        <f>SUM('Biscuit Brook'!AF10,'Hardenburgh- MH Trail'!AF10,'McKenley Hollow'!AF10,'Mongaup Pond'!AF10,'Rider Hollow'!AF10,Seager!AF10,Denning!AF10,'Fox Hollow'!AF10,'Giant Ledge'!AF10,Peekamoose!AF10,'Slide Mt'!AF10,Wittenberg!AF10,'Woodland Valley'!AF10,'Lane Street'!AF10,'Kelly Hollow'!AG10,'Millbrook to BLM FT'!AF10,'Beaverkill Road to BLM FT'!AF10,'Alder Lake'!AF10,'Dry Brook Ridge to Lean-to '!AF10,'Neversink Hardenburgh Trail'!AF10,Overlook!AF10,'Rochester Hollow'!AF10,'Onteora Lake'!AF10,'Mt Tremper'!AF10,'Ashokan HP'!AF10,Vernooy!AF10,'Red Hill Dinch Road '!AF10,Flynn!AF10,'Frick Pond'!AF10,'Long Pond'!AF10,'Cathedral Glen'!AF10)</f>
        <v>6746</v>
      </c>
      <c r="AG9" s="15">
        <f>SUM('Biscuit Brook'!AG10,'Hardenburgh- MH Trail'!AG10,'McKenley Hollow'!AG10,'Mongaup Pond'!AG10,'Rider Hollow'!AG10,Seager!AG10,Denning!AG10,'Fox Hollow'!AG10,'Giant Ledge'!AG10,Peekamoose!AG10,'Slide Mt'!AG10,Wittenberg!AG10,'Woodland Valley'!AG10,'Lane Street'!AG10,'Kelly Hollow'!AH10,'Millbrook to BLM FT'!AG10,'Beaverkill Road to BLM FT'!AG10,'Alder Lake'!AG10,'Dry Brook Ridge to Lean-to '!AG10,'Neversink Hardenburgh Trail'!AG10,Overlook!AG10,'Rochester Hollow'!AG10,'Onteora Lake'!AG10,'Mt Tremper'!AG10,'Ashokan HP'!AG10,Vernooy!AG10,'Red Hill Dinch Road '!AG10,Flynn!AG10,'Frick Pond'!AG10,'Long Pond'!AG10,'Cathedral Glen'!AG10)</f>
        <v>6437</v>
      </c>
      <c r="AH9" s="15">
        <f>SUM('Biscuit Brook'!AH10,'Hardenburgh- MH Trail'!AH10,'McKenley Hollow'!AH10,'Mongaup Pond'!AH10,'Rider Hollow'!AH10,Seager!AH10,Denning!AH10,'Fox Hollow'!AH10,'Giant Ledge'!AH10,Peekamoose!AH10,'Slide Mt'!AH10,Wittenberg!AH10,'Woodland Valley'!AH10,'Lane Street'!AH10,'Kelly Hollow'!AI10,'Millbrook to BLM FT'!AH10,'Beaverkill Road to BLM FT'!AH10,'Alder Lake'!AH10,'Dry Brook Ridge to Lean-to '!AH10,'Neversink Hardenburgh Trail'!AH10,Overlook!AH10,'Rochester Hollow'!AH10,'Onteora Lake'!AH10,'Mt Tremper'!AH10,'Ashokan HP'!AH10,Vernooy!AH10,'Red Hill Dinch Road '!AH10,Flynn!AH10,'Frick Pond'!AH10,'Long Pond'!AH10,'Cathedral Glen'!AH10)</f>
        <v>5385</v>
      </c>
      <c r="AI9" s="15">
        <f>SUM('Biscuit Brook'!AI10,'Hardenburgh- MH Trail'!AI10,'McKenley Hollow'!AI10,'Mongaup Pond'!AI10,'Rider Hollow'!AI10,Seager!AI10,Denning!AI10,'Fox Hollow'!AI10,'Giant Ledge'!AI10,Peekamoose!AI10,'Slide Mt'!AI10,Wittenberg!AI10,'Woodland Valley'!AI10,'Lane Street'!AI10,'Kelly Hollow'!AJ10,'Millbrook to BLM FT'!AI10,'Beaverkill Road to BLM FT'!AI10,'Alder Lake'!AI10,'Dry Brook Ridge to Lean-to '!AI10,'Neversink Hardenburgh Trail'!AI10,Overlook!AI10,'Rochester Hollow'!AI10,'Onteora Lake'!AI10,'Mt Tremper'!AI10,'Ashokan HP'!AI10,Vernooy!AI10,'Red Hill Dinch Road '!AI10,Flynn!AI10,'Frick Pond'!AI10,'Long Pond'!AI10,'Cathedral Glen'!AI10)</f>
        <v>3767</v>
      </c>
      <c r="AJ9" s="15">
        <f>SUM('Biscuit Brook'!AJ10,'Hardenburgh- MH Trail'!AJ10,'McKenley Hollow'!AJ10,'Mongaup Pond'!AJ10,'Rider Hollow'!AJ10,Seager!AJ10,Denning!AJ10,'Fox Hollow'!AJ10,'Giant Ledge'!AJ10,Peekamoose!AJ10,'Slide Mt'!AJ10,Wittenberg!AJ10,'Woodland Valley'!AJ10,'Lane Street'!AJ10,'Kelly Hollow'!AK10,'Millbrook to BLM FT'!AJ10,'Beaverkill Road to BLM FT'!AJ10,'Alder Lake'!AJ10,'Dry Brook Ridge to Lean-to '!AJ10,'Neversink Hardenburgh Trail'!AJ10,Overlook!AJ10,'Rochester Hollow'!AJ10,'Onteora Lake'!AJ10,'Mt Tremper'!AJ10,'Ashokan HP'!AJ10,Vernooy!AJ10,'Red Hill Dinch Road '!AJ10,Flynn!AJ10,'Frick Pond'!AJ10,'Long Pond'!AJ10,'Cathedral Glen'!AJ10)</f>
        <v>2406</v>
      </c>
      <c r="AK9" s="15">
        <f>SUM('Biscuit Brook'!AK10,'Hardenburgh- MH Trail'!AK10,'McKenley Hollow'!AK10,'Mongaup Pond'!AK10,'Rider Hollow'!AK10,Seager!AK10,Denning!AK10,'Fox Hollow'!AK10,'Giant Ledge'!AK10,Peekamoose!AK10,'Slide Mt'!AK10,Wittenberg!AK10,'Woodland Valley'!AK10,'Lane Street'!AK10,'Kelly Hollow'!AL10,'Millbrook to BLM FT'!AK10,'Beaverkill Road to BLM FT'!AK10,'Alder Lake'!AK10,'Dry Brook Ridge to Lean-to '!AK10,'Neversink Hardenburgh Trail'!AK10,Overlook!AK10,'Rochester Hollow'!AK10,'Onteora Lake'!AK10,'Mt Tremper'!AK10,'Ashokan HP'!AK10,Vernooy!AK10,'Red Hill Dinch Road '!AK10,Flynn!AK10,'Frick Pond'!AK10,'Long Pond'!AK10,'Cathedral Glen'!AK10)</f>
        <v>0</v>
      </c>
      <c r="AL9" s="15">
        <f>SUM('Biscuit Brook'!AL10,'Hardenburgh- MH Trail'!AL10,'McKenley Hollow'!AL10,'Mongaup Pond'!AL10,'Rider Hollow'!AL10,Seager!AL10,Denning!AL10,'Fox Hollow'!AL10,'Giant Ledge'!AL10,Peekamoose!AL10,'Slide Mt'!AL10,Wittenberg!AL10,'Woodland Valley'!AL10,'Lane Street'!AL10,'Kelly Hollow'!AM10,'Millbrook to BLM FT'!AL10,'Beaverkill Road to BLM FT'!AL10,'Alder Lake'!AL10,'Dry Brook Ridge to Lean-to '!AL10,'Neversink Hardenburgh Trail'!AL10,Overlook!AL10,'Rochester Hollow'!AL10,'Onteora Lake'!AL10,'Mt Tremper'!AL10,'Ashokan HP'!AL10,Vernooy!AL10,'Red Hill Dinch Road '!AL10,Flynn!AL10,'Frick Pond'!AL10,'Long Pond'!AL10,'Cathedral Glen'!AL10)</f>
        <v>0</v>
      </c>
      <c r="AM9" s="15">
        <f>SUM('Biscuit Brook'!AM10,'Hardenburgh- MH Trail'!AM10,'McKenley Hollow'!AM10,'Mongaup Pond'!AM10,'Rider Hollow'!AM10,Seager!AM10,Denning!AM10,'Fox Hollow'!AM10,'Giant Ledge'!AM10,Peekamoose!AM10,'Slide Mt'!AM10,Wittenberg!AM10,'Woodland Valley'!AM10,'Lane Street'!AM10,'Kelly Hollow'!AN10,'Millbrook to BLM FT'!AM10,'Beaverkill Road to BLM FT'!AM10,'Alder Lake'!AM10,'Dry Brook Ridge to Lean-to '!AM10,'Neversink Hardenburgh Trail'!AM10,Overlook!AM10,'Rochester Hollow'!AM10,'Onteora Lake'!AM10,'Mt Tremper'!AM10,'Ashokan HP'!AM10,Vernooy!AM10,'Red Hill Dinch Road '!AM10,Flynn!AM10,'Frick Pond'!AM10,'Long Pond'!AM10,'Cathedral Glen'!AM10)</f>
        <v>0</v>
      </c>
      <c r="AN9" s="15">
        <f>SUM('Biscuit Brook'!AN10,'Hardenburgh- MH Trail'!AN10,'McKenley Hollow'!AN10,'Mongaup Pond'!AN10,'Rider Hollow'!AN10,Seager!AN10,Denning!AN10,'Fox Hollow'!AN10,'Giant Ledge'!AN10,Peekamoose!AN10,'Slide Mt'!AN10,Wittenberg!AN10,'Woodland Valley'!AN10,'Lane Street'!AN10,'Kelly Hollow'!AO10,'Millbrook to BLM FT'!AN10,'Beaverkill Road to BLM FT'!AN10,'Alder Lake'!AN10,'Dry Brook Ridge to Lean-to '!AN10,'Neversink Hardenburgh Trail'!AN10,Overlook!AN10,'Rochester Hollow'!AN10,'Onteora Lake'!AN10,'Mt Tremper'!AN10,'Ashokan HP'!AN10,Vernooy!AN10,'Red Hill Dinch Road '!AN10,Flynn!AN10,'Frick Pond'!AN10,'Long Pond'!AN10,'Cathedral Glen'!AN10)</f>
        <v>0</v>
      </c>
      <c r="AO9" s="15">
        <f>SUM('Biscuit Brook'!AO10,'Hardenburgh- MH Trail'!AO10,'McKenley Hollow'!AO10,'Mongaup Pond'!AO10,'Rider Hollow'!AO10,Seager!AO10,Denning!AO10,'Fox Hollow'!AO10,'Giant Ledge'!AO10,Peekamoose!AO10,'Slide Mt'!AO10,Wittenberg!AO10,'Woodland Valley'!AO10,'Lane Street'!AO10,'Kelly Hollow'!AP10,'Millbrook to BLM FT'!AO10,'Beaverkill Road to BLM FT'!AO10,'Alder Lake'!AO10,'Dry Brook Ridge to Lean-to '!AO10,'Neversink Hardenburgh Trail'!AO10,Overlook!AO10,'Rochester Hollow'!AO10,'Onteora Lake'!AO10,'Mt Tremper'!AO10,'Ashokan HP'!AO10,Vernooy!AO10,'Red Hill Dinch Road '!AO10,Flynn!AO10,'Frick Pond'!AO10,'Long Pond'!AO10,'Cathedral Glen'!AO10)</f>
        <v>0</v>
      </c>
      <c r="AP9" s="15">
        <f>SUM('Biscuit Brook'!AP10,'Hardenburgh- MH Trail'!AP10,'McKenley Hollow'!AP10,'Mongaup Pond'!AP10,'Rider Hollow'!AP10,Seager!AP10,Denning!AP10,'Fox Hollow'!AP10,'Giant Ledge'!AP10,Peekamoose!AP10,'Slide Mt'!AP10,Wittenberg!AP10,'Woodland Valley'!AP10,'Lane Street'!AP10,'Kelly Hollow'!AQ10,'Millbrook to BLM FT'!AP10,'Beaverkill Road to BLM FT'!AP10,'Alder Lake'!AP10,'Dry Brook Ridge to Lean-to '!AP10,'Neversink Hardenburgh Trail'!AP10,Overlook!AP10,'Rochester Hollow'!AP10,'Onteora Lake'!AP10,'Mt Tremper'!AP10,'Ashokan HP'!AP10,Vernooy!AP10,'Red Hill Dinch Road '!AP10,Flynn!AP10,'Frick Pond'!AP10,'Long Pond'!AP10,'Cathedral Glen'!AP10)</f>
        <v>0</v>
      </c>
      <c r="AQ9" s="15">
        <f>SUM('Biscuit Brook'!AQ10,'Hardenburgh- MH Trail'!AQ10,'McKenley Hollow'!AQ10,'Mongaup Pond'!AQ10,'Rider Hollow'!AQ10,Seager!AQ10,Denning!AQ10,'Fox Hollow'!AQ10,'Giant Ledge'!AQ10,Peekamoose!AQ10,'Slide Mt'!AQ10,Wittenberg!AQ10,'Woodland Valley'!AQ10,'Lane Street'!AQ10,'Kelly Hollow'!AR10,'Millbrook to BLM FT'!AQ10,'Beaverkill Road to BLM FT'!AQ10,'Alder Lake'!AQ10,'Dry Brook Ridge to Lean-to '!AQ10,'Neversink Hardenburgh Trail'!AQ10,Overlook!AQ10,'Rochester Hollow'!AQ10,'Onteora Lake'!AQ10,'Mt Tremper'!AQ10,'Ashokan HP'!AQ10,Vernooy!AQ10,'Red Hill Dinch Road '!AQ10,Flynn!AQ10,'Frick Pond'!AQ10,'Long Pond'!AQ10,'Cathedral Glen'!AQ10)</f>
        <v>0</v>
      </c>
      <c r="AR9" s="15">
        <f>SUM('Biscuit Brook'!AR10,'Hardenburgh- MH Trail'!AR10,'McKenley Hollow'!AR10,'Mongaup Pond'!AR10,'Rider Hollow'!AR10,Seager!AR10,Denning!AR10,'Fox Hollow'!AR10,'Giant Ledge'!AR10,Peekamoose!AR10,'Slide Mt'!AR10,Wittenberg!AR10,'Woodland Valley'!AR10,'Lane Street'!AR10,'Kelly Hollow'!AS10,'Millbrook to BLM FT'!AR10,'Beaverkill Road to BLM FT'!AR10,'Alder Lake'!AR10,'Dry Brook Ridge to Lean-to '!AR10,'Neversink Hardenburgh Trail'!AR10,Overlook!AR10,'Rochester Hollow'!AR10,'Onteora Lake'!AR10,'Mt Tremper'!AR10,'Ashokan HP'!AR10,Vernooy!AR10,'Red Hill Dinch Road '!AR10,Flynn!AR10,'Frick Pond'!AR10,'Long Pond'!AR10,'Cathedral Glen'!AR10)</f>
        <v>0</v>
      </c>
      <c r="AS9" s="15">
        <f>SUM('Biscuit Brook'!AS10,'Hardenburgh- MH Trail'!AS10,'McKenley Hollow'!AS10,'Mongaup Pond'!AS10,'Rider Hollow'!AS10,Seager!AS10,Denning!AS10,'Fox Hollow'!AS10,'Giant Ledge'!AS10,Peekamoose!AS10,'Slide Mt'!AS10,Wittenberg!AS10,'Woodland Valley'!AS10,'Lane Street'!AS10,'Kelly Hollow'!AT10,'Millbrook to BLM FT'!AS10,'Beaverkill Road to BLM FT'!AS10,'Alder Lake'!AS10,'Dry Brook Ridge to Lean-to '!AS10,'Neversink Hardenburgh Trail'!AS10,Overlook!AS10,'Rochester Hollow'!AS10,'Onteora Lake'!AS10,'Mt Tremper'!AS10,'Ashokan HP'!AS10,Vernooy!AS10,'Red Hill Dinch Road '!AS10,Flynn!AS10,'Frick Pond'!AS10,'Long Pond'!AS10,'Cathedral Glen'!AS10)</f>
        <v>0</v>
      </c>
      <c r="AT9" s="15">
        <f>SUM('Biscuit Brook'!AT10,'Hardenburgh- MH Trail'!AT10,'McKenley Hollow'!AT10,'Mongaup Pond'!AT10,'Rider Hollow'!AT10,Seager!AT10,Denning!AT10,'Fox Hollow'!AT10,'Giant Ledge'!AT10,Peekamoose!AT10,'Slide Mt'!AT10,Wittenberg!AT10,'Woodland Valley'!AT10,'Lane Street'!AT10,'Kelly Hollow'!AU10,'Millbrook to BLM FT'!AT10,'Beaverkill Road to BLM FT'!AT10,'Alder Lake'!AT10,'Dry Brook Ridge to Lean-to '!AT10,'Neversink Hardenburgh Trail'!AT10,Overlook!AT10,'Rochester Hollow'!AT10,'Onteora Lake'!AT10,'Mt Tremper'!AT10,'Ashokan HP'!AT10,Vernooy!AT10,'Red Hill Dinch Road '!AT10,Flynn!AT10,'Frick Pond'!AT10,'Long Pond'!AT10,'Cathedral Glen'!AT10)</f>
        <v>0</v>
      </c>
      <c r="AU9" s="15">
        <f>SUM('Biscuit Brook'!AU10,'Hardenburgh- MH Trail'!AU10,'McKenley Hollow'!AU10,'Mongaup Pond'!AU10,'Rider Hollow'!AU10,Seager!AU10,Denning!AU10,'Fox Hollow'!AU10,'Giant Ledge'!AU10,Peekamoose!AU10,'Slide Mt'!AU10,Wittenberg!AU10,'Woodland Valley'!AU10,'Lane Street'!AU10,'Kelly Hollow'!AV10,'Millbrook to BLM FT'!AU10,'Beaverkill Road to BLM FT'!AU10,'Alder Lake'!AU10,'Dry Brook Ridge to Lean-to '!AU10,'Neversink Hardenburgh Trail'!AU10,Overlook!AU10,'Rochester Hollow'!AU10,'Onteora Lake'!AU10,'Mt Tremper'!AU10,'Ashokan HP'!AU10,Vernooy!AU10,'Red Hill Dinch Road '!AU10,Flynn!AU10,'Frick Pond'!AU10,'Long Pond'!AU10,'Cathedral Glen'!AU10)</f>
        <v>0</v>
      </c>
      <c r="AV9" s="15">
        <f>SUM('Biscuit Brook'!AV10,'Hardenburgh- MH Trail'!AV10,'McKenley Hollow'!AV10,'Mongaup Pond'!AV10,'Rider Hollow'!AV10,Seager!AV10,Denning!AV10,'Fox Hollow'!AV10,'Giant Ledge'!AV10,Peekamoose!AV10,'Slide Mt'!AV10,Wittenberg!AV10,'Woodland Valley'!AV10,'Lane Street'!AV10,'Kelly Hollow'!AW10,'Millbrook to BLM FT'!AV10,'Beaverkill Road to BLM FT'!AV10,'Alder Lake'!AV10,'Dry Brook Ridge to Lean-to '!AV10,'Neversink Hardenburgh Trail'!AV10,Overlook!AV10,'Rochester Hollow'!AV10,'Onteora Lake'!AV10,'Mt Tremper'!AV10,'Ashokan HP'!AV10,Vernooy!AV10,'Red Hill Dinch Road '!AV10,Flynn!AV10,'Frick Pond'!AV10,'Long Pond'!AV10,'Cathedral Glen'!AV10)</f>
        <v>0</v>
      </c>
      <c r="AW9" s="15">
        <f>SUM('Biscuit Brook'!AW10,'Hardenburgh- MH Trail'!AW10,'McKenley Hollow'!AW10,'Mongaup Pond'!AW10,'Rider Hollow'!AW10,Seager!AW10,Denning!AW10,'Fox Hollow'!AW10,'Giant Ledge'!AW10,Peekamoose!AW10,'Slide Mt'!AW10,Wittenberg!AW10,'Woodland Valley'!AW10,'Lane Street'!AW10,'Kelly Hollow'!AX10,'Millbrook to BLM FT'!AW10,'Beaverkill Road to BLM FT'!AW10,'Alder Lake'!AW10,'Dry Brook Ridge to Lean-to '!AW10,'Neversink Hardenburgh Trail'!AW10,Overlook!AW10,'Rochester Hollow'!AW10,'Onteora Lake'!AW10,'Mt Tremper'!AW10,'Ashokan HP'!AW10,Vernooy!AW10,'Red Hill Dinch Road '!AW10,Flynn!AW10,'Frick Pond'!AW10,'Long Pond'!AW10,'Cathedral Glen'!AW10)</f>
        <v>0</v>
      </c>
      <c r="AX9" s="15">
        <f>SUM('Biscuit Brook'!AX10,'Hardenburgh- MH Trail'!AX10,'McKenley Hollow'!AX10,'Mongaup Pond'!AX10,'Rider Hollow'!AX10,Seager!AX10,Denning!AX10,'Fox Hollow'!AX10,'Giant Ledge'!AX10,Peekamoose!AX10,'Slide Mt'!AX10,Wittenberg!AX10,'Woodland Valley'!AX10,'Lane Street'!AX10,'Kelly Hollow'!AY10,'Millbrook to BLM FT'!AX10,'Beaverkill Road to BLM FT'!AX10,'Alder Lake'!AX10,'Dry Brook Ridge to Lean-to '!AX10,'Neversink Hardenburgh Trail'!AX10,Overlook!AX10,'Rochester Hollow'!AX10,'Onteora Lake'!AX10,'Mt Tremper'!AX10,'Ashokan HP'!AX10,Vernooy!AX10,'Red Hill Dinch Road '!AX10,Flynn!AX10,'Frick Pond'!AX10,'Long Pond'!AX10,'Cathedral Glen'!AX10)</f>
        <v>0</v>
      </c>
      <c r="AY9" s="15">
        <f>SUM('Biscuit Brook'!AY10,'Hardenburgh- MH Trail'!AY10,'McKenley Hollow'!AY10,'Mongaup Pond'!AY10,'Rider Hollow'!AY10,Seager!AY10,Denning!AY10,'Fox Hollow'!AY10,'Giant Ledge'!AY10,Peekamoose!AY10,'Slide Mt'!AY10,Wittenberg!AY10,'Woodland Valley'!AY10,'Lane Street'!AY10,'Kelly Hollow'!AZ10,'Millbrook to BLM FT'!AY10,'Beaverkill Road to BLM FT'!AY10,'Alder Lake'!AY10,'Dry Brook Ridge to Lean-to '!AY10,'Neversink Hardenburgh Trail'!AY10,Overlook!AY10,'Rochester Hollow'!AY10,'Onteora Lake'!AY10,'Mt Tremper'!AY10,'Ashokan HP'!AY10,Vernooy!AY10,'Red Hill Dinch Road '!AY10,Flynn!AY10,'Frick Pond'!AY10,'Long Pond'!AY10,'Cathedral Glen'!AY10)</f>
        <v>0</v>
      </c>
      <c r="AZ9" s="15" t="e">
        <f>SUM('Biscuit Brook'!AZ10,'Hardenburgh- MH Trail'!AZ10,'McKenley Hollow'!AZ10,'Mongaup Pond'!AZ10,'Rider Hollow'!AZ10,Seager!AZ10,Denning!AZ10,'Fox Hollow'!AZ10,'Giant Ledge'!AZ10,Peekamoose!AZ10,'Slide Mt'!AZ10,Wittenberg!AZ10,'Woodland Valley'!AZ10,'Lane Street'!AZ10,'Kelly Hollow'!BA10,'Millbrook to BLM FT'!AZ10,'Beaverkill Road to BLM FT'!AZ10,'Alder Lake'!AZ10,'Dry Brook Ridge to Lean-to '!AZ10,'Neversink Hardenburgh Trail'!AZ10,Overlook!AZ10,'Rochester Hollow'!AZ10,'Onteora Lake'!BA10,'Mt Tremper'!AZ10,'Ashokan HP'!AZ10,Vernooy!AZ10,'Red Hill Dinch Road '!AZ10,Flynn!AZ10,'Frick Pond'!AZ10,'Long Pond'!AZ10)</f>
        <v>#N/A</v>
      </c>
      <c r="BA9" s="96" t="e">
        <v>#N/A</v>
      </c>
      <c r="BB9" s="96" t="e">
        <v>#N/A</v>
      </c>
      <c r="BC9" s="96" t="e">
        <v>#N/A</v>
      </c>
      <c r="BD9" s="96" t="e">
        <v>#N/A</v>
      </c>
      <c r="BE9" s="96" t="e">
        <v>#N/A</v>
      </c>
      <c r="BF9" s="96" t="e">
        <v>#N/A</v>
      </c>
      <c r="BG9" s="96" t="e">
        <v>#N/A</v>
      </c>
      <c r="BH9" s="96" t="e">
        <v>#N/A</v>
      </c>
      <c r="BI9" s="96" t="e">
        <v>#N/A</v>
      </c>
      <c r="BJ9" s="96">
        <f t="shared" si="36"/>
        <v>3828</v>
      </c>
      <c r="BK9" s="96">
        <f t="shared" si="37"/>
        <v>3830.8</v>
      </c>
      <c r="BL9" s="96">
        <f t="shared" si="38"/>
        <v>4025.7</v>
      </c>
      <c r="BM9" s="96">
        <f t="shared" si="39"/>
        <v>4060</v>
      </c>
      <c r="BN9" s="96">
        <f t="shared" si="40"/>
        <v>4109.7</v>
      </c>
      <c r="BO9" s="96">
        <f t="shared" si="41"/>
        <v>4095.3</v>
      </c>
      <c r="BP9" s="96">
        <f t="shared" si="42"/>
        <v>4012.2</v>
      </c>
      <c r="BQ9" s="96">
        <f t="shared" si="43"/>
        <v>4039.6</v>
      </c>
      <c r="BR9" s="96">
        <f t="shared" si="44"/>
        <v>4087.2222222222222</v>
      </c>
      <c r="BS9" s="96">
        <f t="shared" si="45"/>
        <v>4048.375</v>
      </c>
      <c r="BT9" s="96">
        <f t="shared" si="46"/>
        <v>4229.125</v>
      </c>
      <c r="BU9" s="96">
        <f t="shared" si="47"/>
        <v>4260.2857142857147</v>
      </c>
      <c r="BV9" s="96">
        <f t="shared" si="48"/>
        <v>4261.4285714285716</v>
      </c>
      <c r="BW9" s="96">
        <f t="shared" si="49"/>
        <v>4426.1428571428569</v>
      </c>
      <c r="BX9" s="96">
        <f t="shared" si="50"/>
        <v>4836.4285714285716</v>
      </c>
      <c r="BY9" s="96">
        <f t="shared" si="51"/>
        <v>5161.5714285714284</v>
      </c>
      <c r="BZ9" s="96">
        <f t="shared" si="52"/>
        <v>5869.9285714285716</v>
      </c>
      <c r="CA9" s="96">
        <f t="shared" si="53"/>
        <v>6314.9285714285716</v>
      </c>
      <c r="CB9" s="96">
        <f t="shared" si="54"/>
        <v>6524.1875</v>
      </c>
      <c r="CC9" s="96">
        <f t="shared" si="55"/>
        <v>6774.3888888888887</v>
      </c>
      <c r="CD9" s="96">
        <f t="shared" si="56"/>
        <v>7120.7222222222226</v>
      </c>
      <c r="CE9" s="96">
        <f t="shared" si="57"/>
        <v>7083.25</v>
      </c>
      <c r="CF9" s="96">
        <f t="shared" si="58"/>
        <v>7229.15</v>
      </c>
      <c r="CG9" s="96">
        <f t="shared" si="59"/>
        <v>7271.15</v>
      </c>
      <c r="CH9" s="96">
        <f t="shared" si="60"/>
        <v>6935.85</v>
      </c>
      <c r="CI9" s="96">
        <f t="shared" si="61"/>
        <v>6574.25</v>
      </c>
      <c r="CJ9" s="96">
        <f t="shared" si="62"/>
        <v>6389.666666666667</v>
      </c>
      <c r="CK9" s="96">
        <f t="shared" si="63"/>
        <v>6208.25</v>
      </c>
      <c r="CL9" s="96">
        <f t="shared" si="64"/>
        <v>5953.8571428571431</v>
      </c>
      <c r="CM9" s="96">
        <f t="shared" si="65"/>
        <v>5483.5</v>
      </c>
      <c r="CN9" s="96">
        <f t="shared" si="66"/>
        <v>4948.2</v>
      </c>
      <c r="CO9" s="96">
        <f t="shared" si="67"/>
        <v>4498.75</v>
      </c>
      <c r="CP9" s="96">
        <f t="shared" si="68"/>
        <v>3852.6666666666665</v>
      </c>
      <c r="CQ9" s="96">
        <f t="shared" si="69"/>
        <v>3086.5</v>
      </c>
      <c r="CR9" s="96">
        <f t="shared" si="70"/>
        <v>2406</v>
      </c>
      <c r="CS9" s="96" t="e">
        <f t="shared" si="71"/>
        <v>#DIV/0!</v>
      </c>
      <c r="CT9" s="96" t="e">
        <f t="shared" si="72"/>
        <v>#DIV/0!</v>
      </c>
      <c r="CU9" s="96" t="e">
        <f t="shared" si="73"/>
        <v>#DIV/0!</v>
      </c>
      <c r="CV9" s="96" t="e">
        <f t="shared" si="74"/>
        <v>#DIV/0!</v>
      </c>
      <c r="CW9" s="96" t="e">
        <f t="shared" si="75"/>
        <v>#DIV/0!</v>
      </c>
      <c r="CX9" s="96" t="e">
        <f t="shared" si="76"/>
        <v>#DIV/0!</v>
      </c>
      <c r="CY9" s="96" t="e">
        <f t="shared" si="77"/>
        <v>#DIV/0!</v>
      </c>
    </row>
    <row r="10" spans="1:103" s="10" customFormat="1" ht="20" customHeight="1" x14ac:dyDescent="0.2">
      <c r="A10" s="9" t="s">
        <v>6</v>
      </c>
      <c r="B10" s="16">
        <f>SUM('Biscuit Brook'!B11,'Hardenburgh- MH Trail'!B11,'McKenley Hollow'!B11,'Mongaup Pond'!B11,'Rider Hollow'!B11,Seager!B11,Denning!B11,'Fox Hollow'!B11,'Giant Ledge'!B11,Peekamoose!B11,'Slide Mt'!B11,Wittenberg!B11,'Woodland Valley'!B11,'Kelly Hollow'!B11,'Millbrook to BLM FT'!B11,'Beaverkill Road to BLM FT'!B11,'Alder Lake'!B11,'Dry Brook Ridge to Lean-to '!B11,'Neversink Hardenburgh Trail'!B11,Overlook!B11,'Rochester Hollow'!B11,'Onteora Lake'!B11,'Mt Tremper'!B11,'Ashokan HP'!B11,Vernooy!B11,'Red Hill Dinch Road '!B11,Flynn!B11,'Frick Pond'!B11,'Long Pond'!B11)</f>
        <v>4611</v>
      </c>
      <c r="C10" s="16">
        <f>SUM('Biscuit Brook'!C11,'Hardenburgh- MH Trail'!C11,'McKenley Hollow'!C11,'Mongaup Pond'!C11,'Rider Hollow'!C11,Seager!C11,Denning!C11,'Fox Hollow'!C11,'Giant Ledge'!C11,Peekamoose!C11,'Slide Mt'!C11,Wittenberg!C11,'Woodland Valley'!C11,'Kelly Hollow'!C11,'Millbrook to BLM FT'!C11,'Beaverkill Road to BLM FT'!C11,'Alder Lake'!C11,'Dry Brook Ridge to Lean-to '!C11,'Neversink Hardenburgh Trail'!C11,Overlook!C11,'Rochester Hollow'!C11,'Onteora Lake'!C11,'Mt Tremper'!C11,'Ashokan HP'!C11,Vernooy!C11,'Red Hill Dinch Road '!C11,Flynn!C11,'Frick Pond'!C11,'Long Pond'!C11)</f>
        <v>5053</v>
      </c>
      <c r="D10" s="16">
        <f>SUM('Biscuit Brook'!D11,'Hardenburgh- MH Trail'!D11,'McKenley Hollow'!D11,'Mongaup Pond'!D11,'Rider Hollow'!D11,Seager!D11,Denning!D11,'Fox Hollow'!D11,'Giant Ledge'!D11,Peekamoose!D11,'Slide Mt'!D11,Wittenberg!D11,'Woodland Valley'!D11,'Kelly Hollow'!D11,'Millbrook to BLM FT'!D11,'Beaverkill Road to BLM FT'!D11,'Alder Lake'!D11,'Dry Brook Ridge to Lean-to '!D11,'Neversink Hardenburgh Trail'!D11,Overlook!D11,'Rochester Hollow'!D11,'Onteora Lake'!D11,'Mt Tremper'!D11,'Ashokan HP'!D11,Vernooy!D11,'Red Hill Dinch Road '!D11,Flynn!D11,'Frick Pond'!D11,'Long Pond'!D11)</f>
        <v>6043</v>
      </c>
      <c r="E10" s="16">
        <f>SUM('Biscuit Brook'!E11,'Hardenburgh- MH Trail'!E11,'McKenley Hollow'!E11,'Mongaup Pond'!E11,'Rider Hollow'!E11,Seager!E11,Denning!E11,'Fox Hollow'!E11,'Giant Ledge'!E11,Peekamoose!E11,'Slide Mt'!E11,Wittenberg!E11,'Woodland Valley'!E11,'Kelly Hollow'!E11,'Millbrook to BLM FT'!E11,'Beaverkill Road to BLM FT'!E11,'Alder Lake'!E11,'Dry Brook Ridge to Lean-to '!E11,'Neversink Hardenburgh Trail'!E11,Overlook!E11,'Rochester Hollow'!E11,'Onteora Lake'!E11,'Mt Tremper'!E11,'Ashokan HP'!E11,Vernooy!E11,'Red Hill Dinch Road '!E11,Flynn!E11,'Frick Pond'!E11,'Long Pond'!E11)</f>
        <v>5680</v>
      </c>
      <c r="F10" s="16">
        <f>SUM('Biscuit Brook'!F11,'Hardenburgh- MH Trail'!F11,'McKenley Hollow'!F11,'Mongaup Pond'!F11,'Rider Hollow'!F11,Seager!F11,Denning!F11,'Fox Hollow'!F11,'Giant Ledge'!F11,Peekamoose!F11,'Slide Mt'!F11,Wittenberg!F11,'Woodland Valley'!F11,'Kelly Hollow'!F11,'Millbrook to BLM FT'!F11,'Beaverkill Road to BLM FT'!F11,'Alder Lake'!F11,'Dry Brook Ridge to Lean-to '!F11,'Neversink Hardenburgh Trail'!F11,Overlook!F11,'Rochester Hollow'!F11,'Onteora Lake'!F11,'Mt Tremper'!F11,'Ashokan HP'!F11,Vernooy!F11,'Red Hill Dinch Road '!F11,Flynn!F11,'Frick Pond'!F11,'Long Pond'!F11)</f>
        <v>6199</v>
      </c>
      <c r="G10" s="16">
        <f>SUM('Biscuit Brook'!G11,'Hardenburgh- MH Trail'!G11,'McKenley Hollow'!G11,'Mongaup Pond'!G11,'Rider Hollow'!G11,Seager!G11,Denning!G11,'Fox Hollow'!G11,'Giant Ledge'!G11,Peekamoose!G11,'Slide Mt'!G11,Wittenberg!G11,'Woodland Valley'!G11,'Kelly Hollow'!G11,'Millbrook to BLM FT'!G11,'Beaverkill Road to BLM FT'!G11,'Alder Lake'!G11,'Dry Brook Ridge to Lean-to '!G11,'Neversink Hardenburgh Trail'!G11,Overlook!G11,'Rochester Hollow'!G11,'Onteora Lake'!G11,'Mt Tremper'!G11,'Ashokan HP'!G11,Vernooy!G11,'Red Hill Dinch Road '!G11,Flynn!G11,'Frick Pond'!G11,'Long Pond'!G11)</f>
        <v>6210</v>
      </c>
      <c r="H10" s="16">
        <f>SUM('Biscuit Brook'!H11,'Hardenburgh- MH Trail'!H11,'McKenley Hollow'!H11,'Mongaup Pond'!H11,'Rider Hollow'!H11,Seager!H11,Denning!H11,'Fox Hollow'!H11,'Giant Ledge'!H11,Peekamoose!H11,'Slide Mt'!H11,Wittenberg!H11,'Woodland Valley'!H11,'Kelly Hollow'!H11,'Millbrook to BLM FT'!H11,'Beaverkill Road to BLM FT'!H11,'Alder Lake'!H11,'Dry Brook Ridge to Lean-to '!H11,'Neversink Hardenburgh Trail'!H11,Overlook!H11,'Rochester Hollow'!H11,'Onteora Lake'!H11,'Mt Tremper'!H11,'Ashokan HP'!H11,Vernooy!H11,'Red Hill Dinch Road '!H11,Flynn!H11,'Frick Pond'!H11,'Long Pond'!H11)</f>
        <v>6808</v>
      </c>
      <c r="I10" s="16">
        <f>SUM('Biscuit Brook'!I11,'Hardenburgh- MH Trail'!I11,'McKenley Hollow'!I11,'Mongaup Pond'!I11,'Rider Hollow'!I11,Seager!I11,Denning!I11,'Fox Hollow'!I11,'Giant Ledge'!I11,Peekamoose!I11,'Slide Mt'!I11,Wittenberg!I11,'Woodland Valley'!I11,'Kelly Hollow'!I11,'Millbrook to BLM FT'!I11,'Beaverkill Road to BLM FT'!I11,'Alder Lake'!I11,'Dry Brook Ridge to Lean-to '!I11,'Neversink Hardenburgh Trail'!I11,Overlook!I11,'Rochester Hollow'!I11,'Onteora Lake'!I11,'Mt Tremper'!I11,'Ashokan HP'!I11,Vernooy!I11,'Red Hill Dinch Road '!I11,Flynn!I11,'Frick Pond'!I11,'Long Pond'!I11)</f>
        <v>6819</v>
      </c>
      <c r="J10" s="16">
        <f>SUM('Biscuit Brook'!J11,'Hardenburgh- MH Trail'!J11,'McKenley Hollow'!J11,'Mongaup Pond'!J11,'Rider Hollow'!J11,Seager!J11,Denning!J11,'Fox Hollow'!J11,'Giant Ledge'!J11,Peekamoose!J11,'Slide Mt'!J11,Wittenberg!J11,'Woodland Valley'!J11,'Kelly Hollow'!J11,'Millbrook to BLM FT'!J11,'Beaverkill Road to BLM FT'!J11,'Alder Lake'!J11,'Dry Brook Ridge to Lean-to '!J11,'Neversink Hardenburgh Trail'!J11,Overlook!J11,'Rochester Hollow'!J11,'Onteora Lake'!J11,'Mt Tremper'!J11,'Ashokan HP'!J11,Vernooy!J11,'Red Hill Dinch Road '!J11,Flynn!J11,'Frick Pond'!J11,'Long Pond'!J11)</f>
        <v>5820</v>
      </c>
      <c r="K10" s="16">
        <f>SUM('Biscuit Brook'!K11,'Hardenburgh- MH Trail'!K11,'McKenley Hollow'!K11,'Mongaup Pond'!K11,'Rider Hollow'!K11,Seager!K11,Denning!K11,'Fox Hollow'!K11,'Giant Ledge'!K11,Peekamoose!K11,'Slide Mt'!K11,Wittenberg!K11,'Woodland Valley'!K11,'Kelly Hollow'!K11,'Millbrook to BLM FT'!K11,'Beaverkill Road to BLM FT'!K11,'Alder Lake'!K11,'Dry Brook Ridge to Lean-to '!K11,'Neversink Hardenburgh Trail'!K11,Overlook!K11,'Rochester Hollow'!K11,'Onteora Lake'!K11,'Mt Tremper'!K11,'Ashokan HP'!K11,Vernooy!K11,'Red Hill Dinch Road '!K11,Flynn!K11,'Frick Pond'!K11,'Long Pond'!K11)</f>
        <v>6089</v>
      </c>
      <c r="L10" s="16">
        <f>SUM('Biscuit Brook'!L11,'Hardenburgh- MH Trail'!L11,'McKenley Hollow'!L11,'Mongaup Pond'!L11,'Rider Hollow'!L11,Seager!L11,Denning!L11,'Fox Hollow'!L11,'Giant Ledge'!L11,Peekamoose!L11,'Slide Mt'!L11,Wittenberg!L11,'Woodland Valley'!L11,'Kelly Hollow'!L11,'Millbrook to BLM FT'!L11,'Beaverkill Road to BLM FT'!L11,'Alder Lake'!L11,'Dry Brook Ridge to Lean-to '!L11,'Neversink Hardenburgh Trail'!L11,Overlook!L11,'Rochester Hollow'!L11,'Onteora Lake'!L11,'Mt Tremper'!L11,'Ashokan HP'!L11,Vernooy!L11,'Red Hill Dinch Road '!L11,Flynn!L11,'Frick Pond'!L11,'Long Pond'!L11)</f>
        <v>7265</v>
      </c>
      <c r="M10" s="16">
        <f>SUM('Biscuit Brook'!M11,'Hardenburgh- MH Trail'!M11,'McKenley Hollow'!M11,'Mongaup Pond'!M11,'Rider Hollow'!M11,Seager!M11,Denning!M11,'Fox Hollow'!M11,'Giant Ledge'!M11,Peekamoose!M11,'Slide Mt'!M11,Wittenberg!M11,'Woodland Valley'!M11,'Kelly Hollow'!M11,'Millbrook to BLM FT'!M11,'Beaverkill Road to BLM FT'!M11,'Alder Lake'!M11,'Dry Brook Ridge to Lean-to '!M11,'Neversink Hardenburgh Trail'!M11,Overlook!M11,'Rochester Hollow'!M11,'Onteora Lake'!M11,'Mt Tremper'!M11,'Ashokan HP'!M11,Vernooy!M11,'Red Hill Dinch Road '!M11,Flynn!M11,'Frick Pond'!M11,'Long Pond'!M11)</f>
        <v>7208</v>
      </c>
      <c r="N10" s="16">
        <f>SUM('Biscuit Brook'!N11,'Hardenburgh- MH Trail'!N11,'McKenley Hollow'!N11,'Mongaup Pond'!N11,'Rider Hollow'!N11,Seager!N11,Denning!N11,'Fox Hollow'!N11,'Giant Ledge'!N11,Peekamoose!N11,'Slide Mt'!N11,Wittenberg!N11,'Woodland Valley'!N11,'Kelly Hollow'!N11,'Millbrook to BLM FT'!N11,'Beaverkill Road to BLM FT'!N11,'Alder Lake'!N11,'Dry Brook Ridge to Lean-to '!N11,'Neversink Hardenburgh Trail'!N11,Overlook!N11,'Rochester Hollow'!N11,'Onteora Lake'!N11,'Mt Tremper'!N11,'Ashokan HP'!N11,Vernooy!N11,'Red Hill Dinch Road '!N11,Flynn!N11,'Frick Pond'!N11,'Long Pond'!N11)</f>
        <v>6321</v>
      </c>
      <c r="O10" s="16">
        <f>SUM('Biscuit Brook'!O11,'Hardenburgh- MH Trail'!O11,'McKenley Hollow'!O11,'Mongaup Pond'!O11,'Rider Hollow'!O11,Seager!O11,Denning!O11,'Fox Hollow'!O11,'Giant Ledge'!O11,Peekamoose!O11,'Slide Mt'!O11,Wittenberg!O11,'Woodland Valley'!O11,'Kelly Hollow'!O11,'Millbrook to BLM FT'!O11,'Beaverkill Road to BLM FT'!O11,'Alder Lake'!O11,'Dry Brook Ridge to Lean-to '!O11,'Neversink Hardenburgh Trail'!O11,Overlook!O11,'Rochester Hollow'!O11,'Onteora Lake'!O11,'Mt Tremper'!O11,'Ashokan HP'!O11,Vernooy!O11,'Red Hill Dinch Road '!O11,Flynn!O11,'Frick Pond'!O11,'Long Pond'!O11)</f>
        <v>6394</v>
      </c>
      <c r="P10" s="16">
        <f>SUM('Biscuit Brook'!P11,'Hardenburgh- MH Trail'!P11,'McKenley Hollow'!P11,'Mongaup Pond'!P11,'Rider Hollow'!P11,Seager!P11,Denning!P11,'Fox Hollow'!P11,'Giant Ledge'!P11,Peekamoose!P11,'Slide Mt'!P11,Wittenberg!P11,'Woodland Valley'!P11,'Kelly Hollow'!P11,'Millbrook to BLM FT'!P11,'Beaverkill Road to BLM FT'!P11,'Alder Lake'!P11,'Dry Brook Ridge to Lean-to '!P11,'Neversink Hardenburgh Trail'!P11,Overlook!P11,'Rochester Hollow'!P11,'Onteora Lake'!P11,'Mt Tremper'!P11,'Ashokan HP'!P11,Vernooy!P11,'Red Hill Dinch Road '!P11,Flynn!P11,'Frick Pond'!P11,'Long Pond'!P11)</f>
        <v>6364</v>
      </c>
      <c r="Q10" s="16">
        <f>SUM('Biscuit Brook'!Q11,'Hardenburgh- MH Trail'!Q11,'McKenley Hollow'!Q11,'Mongaup Pond'!Q11,'Rider Hollow'!Q11,Seager!Q11,Denning!Q11,'Fox Hollow'!Q11,'Giant Ledge'!Q11,Peekamoose!Q11,'Slide Mt'!Q11,Wittenberg!Q11,'Woodland Valley'!Q11,'Kelly Hollow'!Q11,'Millbrook to BLM FT'!Q11,'Beaverkill Road to BLM FT'!Q11,'Alder Lake'!Q11,'Dry Brook Ridge to Lean-to '!Q11,'Neversink Hardenburgh Trail'!Q11,Overlook!Q11,'Rochester Hollow'!Q11,'Onteora Lake'!Q11,'Mt Tremper'!Q11,'Ashokan HP'!Q11,Vernooy!Q11,'Red Hill Dinch Road '!Q11,Flynn!Q11,'Frick Pond'!Q11,'Long Pond'!Q11)</f>
        <v>6073</v>
      </c>
      <c r="R10" s="16">
        <f>SUM('Biscuit Brook'!R11,'Hardenburgh- MH Trail'!R11,'McKenley Hollow'!R11,'Mongaup Pond'!R11,'Rider Hollow'!R11,Seager!R11,Denning!R11,'Fox Hollow'!R11,'Giant Ledge'!R11,Peekamoose!R11,'Slide Mt'!R11,Wittenberg!R11,'Woodland Valley'!R11,'Kelly Hollow'!R11,'Millbrook to BLM FT'!R11,'Beaverkill Road to BLM FT'!R11,'Alder Lake'!R11,'Dry Brook Ridge to Lean-to '!R11,'Neversink Hardenburgh Trail'!R11,Overlook!R11,'Rochester Hollow'!R11,'Onteora Lake'!R11,'Mt Tremper'!R11,'Ashokan HP'!R11,Vernooy!R11,'Red Hill Dinch Road '!R11,Flynn!R11,'Frick Pond'!R11,'Long Pond'!R11)</f>
        <v>6841</v>
      </c>
      <c r="S10" s="16"/>
      <c r="T10" s="16"/>
      <c r="U10" s="17">
        <f>SUM('Biscuit Brook'!U11,'Hardenburgh- MH Trail'!U11,'McKenley Hollow'!U11,'Mongaup Pond'!U11,'Rider Hollow'!U11,Seager!U11,Denning!U11,'Fox Hollow'!U11,'Giant Ledge'!U11,Peekamoose!U11,'Slide Mt'!U11,Wittenberg!U11,'Woodland Valley'!U11,'Kelly Hollow'!U11,'Millbrook to BLM FT'!U11,'Beaverkill Road to BLM FT'!U11,'Alder Lake'!U11,'Dry Brook Ridge to Lean-to '!U11,'Neversink Hardenburgh Trail'!U11,Overlook!U11,'Rochester Hollow'!U11,'Onteora Lake'!U11,'Mt Tremper'!U11,'Ashokan HP'!U11,Vernooy!U11,'Red Hill Dinch Road '!U11,Flynn!U11,'Frick Pond'!U11,'Long Pond'!U11)</f>
        <v>7180</v>
      </c>
      <c r="V10" s="17"/>
      <c r="W10" s="17">
        <f>SUM('Biscuit Brook'!W11,'Hardenburgh- MH Trail'!W11,'McKenley Hollow'!W11,'Mongaup Pond'!W11,'Rider Hollow'!W11,Seager!W11,Denning!W11,'Fox Hollow'!W11,'Giant Ledge'!W11,Peekamoose!W11,'Slide Mt'!W11,Wittenberg!W11,'Woodland Valley'!W11,'Kelly Hollow'!W11,'Millbrook to BLM FT'!W11,'Beaverkill Road to BLM FT'!W11,'Alder Lake'!W11,'Dry Brook Ridge to Lean-to '!W11,'Neversink Hardenburgh Trail'!W11,Overlook!W11,'Rochester Hollow'!W11,'Onteora Lake'!W11,'Mt Tremper'!W11,'Ashokan HP'!W11,Vernooy!W11,'Red Hill Dinch Road '!W11,Flynn!W11,'Frick Pond'!W11,'Long Pond'!W11)</f>
        <v>6434</v>
      </c>
      <c r="X10" s="17">
        <f>SUM('Biscuit Brook'!X11,'Hardenburgh- MH Trail'!X11,'McKenley Hollow'!X11,'Mongaup Pond'!X11,'Rider Hollow'!X11,Seager!X11,Denning!X11,'Fox Hollow'!X11,'Giant Ledge'!X11,Peekamoose!X11,'Slide Mt'!X11,Wittenberg!X11,'Woodland Valley'!X11,'Kelly Hollow'!X11,'Millbrook to BLM FT'!X11,'Beaverkill Road to BLM FT'!X11,'Alder Lake'!X11,'Dry Brook Ridge to Lean-to '!X11,'Neversink Hardenburgh Trail'!X11,Overlook!X11,'Rochester Hollow'!X11,'Onteora Lake'!X11,'Mt Tremper'!X11,'Ashokan HP'!X11,Vernooy!X11,'Red Hill Dinch Road '!X11,Flynn!X11,'Frick Pond'!X11,'Long Pond'!X11)</f>
        <v>6862</v>
      </c>
      <c r="Y10" s="17">
        <f>SUM('Biscuit Brook'!Y11,'Hardenburgh- MH Trail'!Y11,'McKenley Hollow'!Y11,'Mongaup Pond'!Y11,'Rider Hollow'!Y11,Seager!Y11,Denning!Y11,'Fox Hollow'!Y11,'Giant Ledge'!Y11,Peekamoose!Y11,'Slide Mt'!Y11,Wittenberg!Y11,'Woodland Valley'!Y11,'Lane Street'!Y11,'Kelly Hollow'!Y11,'Millbrook to BLM FT'!Y11,'Beaverkill Road to BLM FT'!Y11,'Alder Lake'!Y11,'Dry Brook Ridge to Lean-to '!Y11,'Neversink Hardenburgh Trail'!Y11,Overlook!Y11,'Rochester Hollow'!Y11,'Onteora Lake'!Y11,'Mt Tremper'!Y11,'Ashokan HP'!Y11,Vernooy!Y11,'Red Hill Dinch Road '!Y11,Flynn!Y11,'Frick Pond'!Y11,'Long Pond'!Y11)</f>
        <v>9073</v>
      </c>
      <c r="Z10" s="17">
        <f>SUM('Biscuit Brook'!Z11,'Hardenburgh- MH Trail'!Z11,'McKenley Hollow'!Z11,'Mongaup Pond'!Z11,'Rider Hollow'!Z11,Seager!Z11,Denning!Z11,'Fox Hollow'!Z11,'Giant Ledge'!Z11,Peekamoose!Z11,'Slide Mt'!Z11,Wittenberg!Z11,'Woodland Valley'!Z11,'Lane Street'!Z11,'Kelly Hollow'!Z11,'Millbrook to BLM FT'!Z11,'Beaverkill Road to BLM FT'!Z11,'Alder Lake'!Z11,'Dry Brook Ridge to Lean-to '!Z11,'Neversink Hardenburgh Trail'!Z11,Overlook!Z11,'Rochester Hollow'!Z11,'Onteora Lake'!Z11,'Mt Tremper'!Z11,'Ashokan HP'!Z11,Vernooy!Z11,'Red Hill Dinch Road '!Z11,Flynn!Z11,'Frick Pond'!Z11,'Long Pond'!Z11)</f>
        <v>8795</v>
      </c>
      <c r="AA10" s="17">
        <f>SUM('Biscuit Brook'!AA11,'Hardenburgh- MH Trail'!AA11,'McKenley Hollow'!AA11,'Mongaup Pond'!AA11,'Rider Hollow'!AA11,Seager!AA11,Denning!AA11,'Fox Hollow'!AA11,'Giant Ledge'!AA11,Peekamoose!AA11,'Slide Mt'!AA11,Wittenberg!AA11,'Woodland Valley'!AA11,'Lane Street'!AA11,'Kelly Hollow'!AA11,'Millbrook to BLM FT'!AA11,'Beaverkill Road to BLM FT'!AA11,'Alder Lake'!AA11,'Dry Brook Ridge to Lean-to '!AA11,'Neversink Hardenburgh Trail'!AA11,Overlook!AA11,'Rochester Hollow'!AA11,'Onteora Lake'!AA11,'Mt Tremper'!AA11,'Ashokan HP'!AA11,Vernooy!AA11,'Red Hill Dinch Road '!AA11,Flynn!AA11,'Frick Pond'!AA11,'Long Pond'!AA11)</f>
        <v>10782.250000000002</v>
      </c>
      <c r="AB10" s="17">
        <f>SUM('Biscuit Brook'!AB11,'Hardenburgh- MH Trail'!AB11,'McKenley Hollow'!AB11,'Mongaup Pond'!AB11,'Rider Hollow'!AB11,Seager!AB11,Denning!AB11,'Fox Hollow'!AB11,'Giant Ledge'!AB11,Peekamoose!AB11,'Slide Mt'!AB11,Wittenberg!AB11,'Woodland Valley'!AB11,'Lane Street'!AB11,'Kelly Hollow'!AB11,'Millbrook to BLM FT'!AB11,'Beaverkill Road to BLM FT'!AB11,'Alder Lake'!AB11,'Dry Brook Ridge to Lean-to '!AB11,'Neversink Hardenburgh Trail'!AB11,Overlook!AB11,'Rochester Hollow'!AB11,'Onteora Lake'!AB11,'Mt Tremper'!AB11,'Ashokan HP'!AB11,Vernooy!AB11,'Red Hill Dinch Road '!AB11,Flynn!AB11,'Frick Pond'!AB11,'Long Pond'!AB11)</f>
        <v>12931</v>
      </c>
      <c r="AC10" s="17">
        <f>SUM('Biscuit Brook'!AC11,'Hardenburgh- MH Trail'!AC11,'McKenley Hollow'!AC11,'Mongaup Pond'!AC11,'Rider Hollow'!AC11,Seager!AC11,Denning!AC11,'Fox Hollow'!AC11,'Giant Ledge'!AC11,Peekamoose!AC11,'Slide Mt'!AC11,Wittenberg!AC11,'Woodland Valley'!AC11,'Lane Street'!AC11,'Kelly Hollow'!AD11,'Millbrook to BLM FT'!AC11,'Beaverkill Road to BLM FT'!AC11,'Alder Lake'!AC11,'Dry Brook Ridge to Lean-to '!AC11,'Neversink Hardenburgh Trail'!AC11,Overlook!AC11,'Rochester Hollow'!AC11,'Onteora Lake'!AC11,'Mt Tremper'!AC11,'Ashokan HP'!AC11,Vernooy!AC11,'Red Hill Dinch Road '!AC11,Flynn!AC11,'Frick Pond'!AC11,'Long Pond'!AC11)</f>
        <v>10907</v>
      </c>
      <c r="AD10" s="17">
        <f>SUM('Biscuit Brook'!AD11,'Hardenburgh- MH Trail'!AD11,'McKenley Hollow'!AD11,'Mongaup Pond'!AD11,'Rider Hollow'!AD11,Seager!AD11,Denning!AD11,'Fox Hollow'!AD11,'Giant Ledge'!AD11,Peekamoose!AD11,'Slide Mt'!AD11,Wittenberg!AD11,'Woodland Valley'!AD11,'Lane Street'!AD11,'Kelly Hollow'!AE11,'Millbrook to BLM FT'!AD11,'Beaverkill Road to BLM FT'!AD11,'Alder Lake'!AD11,'Dry Brook Ridge to Lean-to '!AD11,'Neversink Hardenburgh Trail'!AD11,Overlook!AD11,'Rochester Hollow'!AD11,'Onteora Lake'!AD11,'Mt Tremper'!AD11,'Ashokan HP'!AD11,Vernooy!AD11,'Red Hill Dinch Road '!AD11,Flynn!AD11,'Frick Pond'!AD11,'Long Pond'!AD11)</f>
        <v>10540</v>
      </c>
      <c r="AE10" s="17">
        <f>SUM('Biscuit Brook'!AE11,'Hardenburgh- MH Trail'!AE11,'McKenley Hollow'!AE11,'Mongaup Pond'!AE11,'Rider Hollow'!AE11,Seager!AE11,Denning!AE11,'Fox Hollow'!AE11,'Giant Ledge'!AE11,Peekamoose!AE11,'Slide Mt'!AE11,Wittenberg!AE11,'Woodland Valley'!AE11,'Lane Street'!AE11,'Kelly Hollow'!AF11,'Millbrook to BLM FT'!AE11,'Beaverkill Road to BLM FT'!AE11,'Alder Lake'!AE11,'Dry Brook Ridge to Lean-to '!AE11,'Neversink Hardenburgh Trail'!AE11,Overlook!AE11,'Rochester Hollow'!AE11,'Onteora Lake'!AE11,'Mt Tremper'!AE11,'Ashokan HP'!AE11,Vernooy!AE11,'Red Hill Dinch Road '!AE11,Flynn!AE11,'Frick Pond'!AE11,'Long Pond'!AE11)</f>
        <v>9781</v>
      </c>
      <c r="AF10" s="17">
        <f>SUM('Biscuit Brook'!AF11,'Hardenburgh- MH Trail'!AF11,'McKenley Hollow'!AF11,'Mongaup Pond'!AF11,'Rider Hollow'!AF11,Seager!AF11,Denning!AF11,'Fox Hollow'!AF11,'Giant Ledge'!AF11,Peekamoose!AF11,'Slide Mt'!AF11,Wittenberg!AF11,'Woodland Valley'!AF11,'Lane Street'!AF11,'Kelly Hollow'!AG11,'Millbrook to BLM FT'!AF11,'Beaverkill Road to BLM FT'!AF11,'Alder Lake'!AF11,'Dry Brook Ridge to Lean-to '!AF11,'Neversink Hardenburgh Trail'!AF11,Overlook!AF11,'Rochester Hollow'!AF11,'Onteora Lake'!AF11,'Mt Tremper'!AF11,'Ashokan HP'!AF11,Vernooy!AF11,'Red Hill Dinch Road '!AF11,Flynn!AF11,'Frick Pond'!AF11,'Long Pond'!AF11,'Cathedral Glen'!AF11)</f>
        <v>7864.3333333333339</v>
      </c>
      <c r="AG10" s="17">
        <f>SUM('Biscuit Brook'!AG11,'Hardenburgh- MH Trail'!AG11,'McKenley Hollow'!AG11,'Mongaup Pond'!AG11,'Rider Hollow'!AG11,Seager!AG11,Denning!AG11,'Fox Hollow'!AG11,'Giant Ledge'!AG11,Peekamoose!AG11,'Slide Mt'!AG11,Wittenberg!AG11,'Woodland Valley'!AG11,'Lane Street'!AG11,'Kelly Hollow'!AH11,'Millbrook to BLM FT'!AG11,'Beaverkill Road to BLM FT'!AG11,'Alder Lake'!AG11,'Dry Brook Ridge to Lean-to '!AG11,'Neversink Hardenburgh Trail'!AG11,Overlook!AG11,'Rochester Hollow'!AG11,'Onteora Lake'!AG11,'Mt Tremper'!AG11,'Ashokan HP'!AG11,Vernooy!AG11,'Red Hill Dinch Road '!AG11,Flynn!AG11,'Frick Pond'!AG11,'Long Pond'!AG11,'Cathedral Glen'!AG11)</f>
        <v>8355</v>
      </c>
      <c r="AH10" s="17">
        <f>SUM('Biscuit Brook'!AH11,'Hardenburgh- MH Trail'!AH11,'McKenley Hollow'!AH11,'Mongaup Pond'!AH11,'Rider Hollow'!AH11,Seager!AH11,Denning!AH11,'Fox Hollow'!AH11,'Giant Ledge'!AH11,Peekamoose!AH11,'Slide Mt'!AH11,Wittenberg!AH11,'Woodland Valley'!AH11,'Lane Street'!AH11,'Kelly Hollow'!AI11,'Millbrook to BLM FT'!AH11,'Beaverkill Road to BLM FT'!AH11,'Alder Lake'!AH11,'Dry Brook Ridge to Lean-to '!AH11,'Neversink Hardenburgh Trail'!AH11,Overlook!AH11,'Rochester Hollow'!AH11,'Onteora Lake'!AH11,'Mt Tremper'!AH11,'Ashokan HP'!AH11,Vernooy!AH11,'Red Hill Dinch Road '!AH11,Flynn!AH11,'Frick Pond'!AH11,'Long Pond'!AH11,'Cathedral Glen'!AH11)</f>
        <v>6757</v>
      </c>
      <c r="AI10" s="17">
        <f>SUM('Biscuit Brook'!AI11,'Hardenburgh- MH Trail'!AI11,'McKenley Hollow'!AI11,'Mongaup Pond'!AI11,'Rider Hollow'!AI11,Seager!AI11,Denning!AI11,'Fox Hollow'!AI11,'Giant Ledge'!AI11,Peekamoose!AI11,'Slide Mt'!AI11,Wittenberg!AI11,'Woodland Valley'!AI11,'Lane Street'!AI11,'Kelly Hollow'!AJ11,'Millbrook to BLM FT'!AI11,'Beaverkill Road to BLM FT'!AI11,'Alder Lake'!AI11,'Dry Brook Ridge to Lean-to '!AI11,'Neversink Hardenburgh Trail'!AI11,Overlook!AI11,'Rochester Hollow'!AI11,'Onteora Lake'!AI11,'Mt Tremper'!AI11,'Ashokan HP'!AI11,Vernooy!AI11,'Red Hill Dinch Road '!AI11,Flynn!AI11,'Frick Pond'!AI11,'Long Pond'!AI11,'Cathedral Glen'!AI11)</f>
        <v>4888</v>
      </c>
      <c r="AJ10" s="17">
        <f>SUM('Biscuit Brook'!AJ11,'Hardenburgh- MH Trail'!AJ11,'McKenley Hollow'!AJ11,'Mongaup Pond'!AJ11,'Rider Hollow'!AJ11,Seager!AJ11,Denning!AJ11,'Fox Hollow'!AJ11,'Giant Ledge'!AJ11,Peekamoose!AJ11,'Slide Mt'!AJ11,Wittenberg!AJ11,'Woodland Valley'!AJ11,'Lane Street'!AJ11,'Kelly Hollow'!AK11,'Millbrook to BLM FT'!AJ11,'Beaverkill Road to BLM FT'!AJ11,'Alder Lake'!AJ11,'Dry Brook Ridge to Lean-to '!AJ11,'Neversink Hardenburgh Trail'!AJ11,Overlook!AJ11,'Rochester Hollow'!AJ11,'Onteora Lake'!AJ11,'Mt Tremper'!AJ11,'Ashokan HP'!AJ11,Vernooy!AJ11,'Red Hill Dinch Road '!AJ11,Flynn!AJ11,'Frick Pond'!AJ11,'Long Pond'!AJ11,'Cathedral Glen'!AJ11)</f>
        <v>2625</v>
      </c>
      <c r="AK10" s="17">
        <f>SUM('Biscuit Brook'!AK11,'Hardenburgh- MH Trail'!AK11,'McKenley Hollow'!AK11,'Mongaup Pond'!AK11,'Rider Hollow'!AK11,Seager!AK11,Denning!AK11,'Fox Hollow'!AK11,'Giant Ledge'!AK11,Peekamoose!AK11,'Slide Mt'!AK11,Wittenberg!AK11,'Woodland Valley'!AK11,'Lane Street'!AK11,'Kelly Hollow'!AL11,'Millbrook to BLM FT'!AK11,'Beaverkill Road to BLM FT'!AK11,'Alder Lake'!AK11,'Dry Brook Ridge to Lean-to '!AK11,'Neversink Hardenburgh Trail'!AK11,Overlook!AK11,'Rochester Hollow'!AK11,'Onteora Lake'!AK11,'Mt Tremper'!AK11,'Ashokan HP'!AK11,Vernooy!AK11,'Red Hill Dinch Road '!AK11,Flynn!AK11,'Frick Pond'!AK11,'Long Pond'!AK11,'Cathedral Glen'!AK11)</f>
        <v>0</v>
      </c>
      <c r="AL10" s="17">
        <f>SUM('Biscuit Brook'!AL11,'Hardenburgh- MH Trail'!AL11,'McKenley Hollow'!AL11,'Mongaup Pond'!AL11,'Rider Hollow'!AL11,Seager!AL11,Denning!AL11,'Fox Hollow'!AL11,'Giant Ledge'!AL11,Peekamoose!AL11,'Slide Mt'!AL11,Wittenberg!AL11,'Woodland Valley'!AL11,'Lane Street'!AL11,'Kelly Hollow'!AM11,'Millbrook to BLM FT'!AL11,'Beaverkill Road to BLM FT'!AL11,'Alder Lake'!AL11,'Dry Brook Ridge to Lean-to '!AL11,'Neversink Hardenburgh Trail'!AL11,Overlook!AL11,'Rochester Hollow'!AL11,'Onteora Lake'!AL11,'Mt Tremper'!AL11,'Ashokan HP'!AL11,Vernooy!AL11,'Red Hill Dinch Road '!AL11,Flynn!AL11,'Frick Pond'!AL11,'Long Pond'!AL11,'Cathedral Glen'!AL11)</f>
        <v>0</v>
      </c>
      <c r="AM10" s="17">
        <f>SUM('Biscuit Brook'!AM11,'Hardenburgh- MH Trail'!AM11,'McKenley Hollow'!AM11,'Mongaup Pond'!AM11,'Rider Hollow'!AM11,Seager!AM11,Denning!AM11,'Fox Hollow'!AM11,'Giant Ledge'!AM11,Peekamoose!AM11,'Slide Mt'!AM11,Wittenberg!AM11,'Woodland Valley'!AM11,'Lane Street'!AM11,'Kelly Hollow'!AN11,'Millbrook to BLM FT'!AM11,'Beaverkill Road to BLM FT'!AM11,'Alder Lake'!AM11,'Dry Brook Ridge to Lean-to '!AM11,'Neversink Hardenburgh Trail'!AM11,Overlook!AM11,'Rochester Hollow'!AM11,'Onteora Lake'!AM11,'Mt Tremper'!AM11,'Ashokan HP'!AM11,Vernooy!AM11,'Red Hill Dinch Road '!AM11,Flynn!AM11,'Frick Pond'!AM11,'Long Pond'!AM11,'Cathedral Glen'!AM11)</f>
        <v>0</v>
      </c>
      <c r="AN10" s="17">
        <f>SUM('Biscuit Brook'!AN11,'Hardenburgh- MH Trail'!AN11,'McKenley Hollow'!AN11,'Mongaup Pond'!AN11,'Rider Hollow'!AN11,Seager!AN11,Denning!AN11,'Fox Hollow'!AN11,'Giant Ledge'!AN11,Peekamoose!AN11,'Slide Mt'!AN11,Wittenberg!AN11,'Woodland Valley'!AN11,'Lane Street'!AN11,'Kelly Hollow'!AO11,'Millbrook to BLM FT'!AN11,'Beaverkill Road to BLM FT'!AN11,'Alder Lake'!AN11,'Dry Brook Ridge to Lean-to '!AN11,'Neversink Hardenburgh Trail'!AN11,Overlook!AN11,'Rochester Hollow'!AN11,'Onteora Lake'!AN11,'Mt Tremper'!AN11,'Ashokan HP'!AN11,Vernooy!AN11,'Red Hill Dinch Road '!AN11,Flynn!AN11,'Frick Pond'!AN11,'Long Pond'!AN11,'Cathedral Glen'!AN11)</f>
        <v>0</v>
      </c>
      <c r="AO10" s="17">
        <f>SUM('Biscuit Brook'!AO11,'Hardenburgh- MH Trail'!AO11,'McKenley Hollow'!AO11,'Mongaup Pond'!AO11,'Rider Hollow'!AO11,Seager!AO11,Denning!AO11,'Fox Hollow'!AO11,'Giant Ledge'!AO11,Peekamoose!AO11,'Slide Mt'!AO11,Wittenberg!AO11,'Woodland Valley'!AO11,'Lane Street'!AO11,'Kelly Hollow'!AP11,'Millbrook to BLM FT'!AO11,'Beaverkill Road to BLM FT'!AO11,'Alder Lake'!AO11,'Dry Brook Ridge to Lean-to '!AO11,'Neversink Hardenburgh Trail'!AO11,Overlook!AO11,'Rochester Hollow'!AO11,'Onteora Lake'!AO11,'Mt Tremper'!AO11,'Ashokan HP'!AO11,Vernooy!AO11,'Red Hill Dinch Road '!AO11,Flynn!AO11,'Frick Pond'!AO11,'Long Pond'!AO11,'Cathedral Glen'!AO11)</f>
        <v>0</v>
      </c>
      <c r="AP10" s="17">
        <f>SUM('Biscuit Brook'!AP11,'Hardenburgh- MH Trail'!AP11,'McKenley Hollow'!AP11,'Mongaup Pond'!AP11,'Rider Hollow'!AP11,Seager!AP11,Denning!AP11,'Fox Hollow'!AP11,'Giant Ledge'!AP11,Peekamoose!AP11,'Slide Mt'!AP11,Wittenberg!AP11,'Woodland Valley'!AP11,'Lane Street'!AP11,'Kelly Hollow'!AQ11,'Millbrook to BLM FT'!AP11,'Beaverkill Road to BLM FT'!AP11,'Alder Lake'!AP11,'Dry Brook Ridge to Lean-to '!AP11,'Neversink Hardenburgh Trail'!AP11,Overlook!AP11,'Rochester Hollow'!AP11,'Onteora Lake'!AP11,'Mt Tremper'!AP11,'Ashokan HP'!AP11,Vernooy!AP11,'Red Hill Dinch Road '!AP11,Flynn!AP11,'Frick Pond'!AP11,'Long Pond'!AP11,'Cathedral Glen'!AP11)</f>
        <v>0</v>
      </c>
      <c r="AQ10" s="17">
        <f>SUM('Biscuit Brook'!AQ11,'Hardenburgh- MH Trail'!AQ11,'McKenley Hollow'!AQ11,'Mongaup Pond'!AQ11,'Rider Hollow'!AQ11,Seager!AQ11,Denning!AQ11,'Fox Hollow'!AQ11,'Giant Ledge'!AQ11,Peekamoose!AQ11,'Slide Mt'!AQ11,Wittenberg!AQ11,'Woodland Valley'!AQ11,'Lane Street'!AQ11,'Kelly Hollow'!AR11,'Millbrook to BLM FT'!AQ11,'Beaverkill Road to BLM FT'!AQ11,'Alder Lake'!AQ11,'Dry Brook Ridge to Lean-to '!AQ11,'Neversink Hardenburgh Trail'!AQ11,Overlook!AQ11,'Rochester Hollow'!AQ11,'Onteora Lake'!AQ11,'Mt Tremper'!AQ11,'Ashokan HP'!AQ11,Vernooy!AQ11,'Red Hill Dinch Road '!AQ11,Flynn!AQ11,'Frick Pond'!AQ11,'Long Pond'!AQ11,'Cathedral Glen'!AQ11)</f>
        <v>0</v>
      </c>
      <c r="AR10" s="17">
        <f>SUM('Biscuit Brook'!AR11,'Hardenburgh- MH Trail'!AR11,'McKenley Hollow'!AR11,'Mongaup Pond'!AR11,'Rider Hollow'!AR11,Seager!AR11,Denning!AR11,'Fox Hollow'!AR11,'Giant Ledge'!AR11,Peekamoose!AR11,'Slide Mt'!AR11,Wittenberg!AR11,'Woodland Valley'!AR11,'Lane Street'!AR11,'Kelly Hollow'!AS11,'Millbrook to BLM FT'!AR11,'Beaverkill Road to BLM FT'!AR11,'Alder Lake'!AR11,'Dry Brook Ridge to Lean-to '!AR11,'Neversink Hardenburgh Trail'!AR11,Overlook!AR11,'Rochester Hollow'!AR11,'Onteora Lake'!AR11,'Mt Tremper'!AR11,'Ashokan HP'!AR11,Vernooy!AR11,'Red Hill Dinch Road '!AR11,Flynn!AR11,'Frick Pond'!AR11,'Long Pond'!AR11,'Cathedral Glen'!AR11)</f>
        <v>0</v>
      </c>
      <c r="AS10" s="17">
        <f>SUM('Biscuit Brook'!AS11,'Hardenburgh- MH Trail'!AS11,'McKenley Hollow'!AS11,'Mongaup Pond'!AS11,'Rider Hollow'!AS11,Seager!AS11,Denning!AS11,'Fox Hollow'!AS11,'Giant Ledge'!AS11,Peekamoose!AS11,'Slide Mt'!AS11,Wittenberg!AS11,'Woodland Valley'!AS11,'Lane Street'!AS11,'Kelly Hollow'!AT11,'Millbrook to BLM FT'!AS11,'Beaverkill Road to BLM FT'!AS11,'Alder Lake'!AS11,'Dry Brook Ridge to Lean-to '!AS11,'Neversink Hardenburgh Trail'!AS11,Overlook!AS11,'Rochester Hollow'!AS11,'Onteora Lake'!AS11,'Mt Tremper'!AS11,'Ashokan HP'!AS11,Vernooy!AS11,'Red Hill Dinch Road '!AS11,Flynn!AS11,'Frick Pond'!AS11,'Long Pond'!AS11,'Cathedral Glen'!AS11)</f>
        <v>0</v>
      </c>
      <c r="AT10" s="17">
        <f>SUM('Biscuit Brook'!AT11,'Hardenburgh- MH Trail'!AT11,'McKenley Hollow'!AT11,'Mongaup Pond'!AT11,'Rider Hollow'!AT11,Seager!AT11,Denning!AT11,'Fox Hollow'!AT11,'Giant Ledge'!AT11,Peekamoose!AT11,'Slide Mt'!AT11,Wittenberg!AT11,'Woodland Valley'!AT11,'Lane Street'!AT11,'Kelly Hollow'!AU11,'Millbrook to BLM FT'!AT11,'Beaverkill Road to BLM FT'!AT11,'Alder Lake'!AT11,'Dry Brook Ridge to Lean-to '!AT11,'Neversink Hardenburgh Trail'!AT11,Overlook!AT11,'Rochester Hollow'!AT11,'Onteora Lake'!AT11,'Mt Tremper'!AT11,'Ashokan HP'!AT11,Vernooy!AT11,'Red Hill Dinch Road '!AT11,Flynn!AT11,'Frick Pond'!AT11,'Long Pond'!AT11,'Cathedral Glen'!AT11)</f>
        <v>0</v>
      </c>
      <c r="AU10" s="17">
        <f>SUM('Biscuit Brook'!AU11,'Hardenburgh- MH Trail'!AU11,'McKenley Hollow'!AU11,'Mongaup Pond'!AU11,'Rider Hollow'!AU11,Seager!AU11,Denning!AU11,'Fox Hollow'!AU11,'Giant Ledge'!AU11,Peekamoose!AU11,'Slide Mt'!AU11,Wittenberg!AU11,'Woodland Valley'!AU11,'Lane Street'!AU11,'Kelly Hollow'!AV11,'Millbrook to BLM FT'!AU11,'Beaverkill Road to BLM FT'!AU11,'Alder Lake'!AU11,'Dry Brook Ridge to Lean-to '!AU11,'Neversink Hardenburgh Trail'!AU11,Overlook!AU11,'Rochester Hollow'!AU11,'Onteora Lake'!AU11,'Mt Tremper'!AU11,'Ashokan HP'!AU11,Vernooy!AU11,'Red Hill Dinch Road '!AU11,Flynn!AU11,'Frick Pond'!AU11,'Long Pond'!AU11,'Cathedral Glen'!AU11)</f>
        <v>0</v>
      </c>
      <c r="AV10" s="17">
        <f>SUM('Biscuit Brook'!AV11,'Hardenburgh- MH Trail'!AV11,'McKenley Hollow'!AV11,'Mongaup Pond'!AV11,'Rider Hollow'!AV11,Seager!AV11,Denning!AV11,'Fox Hollow'!AV11,'Giant Ledge'!AV11,Peekamoose!AV11,'Slide Mt'!AV11,Wittenberg!AV11,'Woodland Valley'!AV11,'Lane Street'!AV11,'Kelly Hollow'!AW11,'Millbrook to BLM FT'!AV11,'Beaverkill Road to BLM FT'!AV11,'Alder Lake'!AV11,'Dry Brook Ridge to Lean-to '!AV11,'Neversink Hardenburgh Trail'!AV11,Overlook!AV11,'Rochester Hollow'!AV11,'Onteora Lake'!AV11,'Mt Tremper'!AV11,'Ashokan HP'!AV11,Vernooy!AV11,'Red Hill Dinch Road '!AV11,Flynn!AV11,'Frick Pond'!AV11,'Long Pond'!AV11,'Cathedral Glen'!AV11)</f>
        <v>0</v>
      </c>
      <c r="AW10" s="17">
        <f>SUM('Biscuit Brook'!AW11,'Hardenburgh- MH Trail'!AW11,'McKenley Hollow'!AW11,'Mongaup Pond'!AW11,'Rider Hollow'!AW11,Seager!AW11,Denning!AW11,'Fox Hollow'!AW11,'Giant Ledge'!AW11,Peekamoose!AW11,'Slide Mt'!AW11,Wittenberg!AW11,'Woodland Valley'!AW11,'Lane Street'!AW11,'Kelly Hollow'!AX11,'Millbrook to BLM FT'!AW11,'Beaverkill Road to BLM FT'!AW11,'Alder Lake'!AW11,'Dry Brook Ridge to Lean-to '!AW11,'Neversink Hardenburgh Trail'!AW11,Overlook!AW11,'Rochester Hollow'!AW11,'Onteora Lake'!AW11,'Mt Tremper'!AW11,'Ashokan HP'!AW11,Vernooy!AW11,'Red Hill Dinch Road '!AW11,Flynn!AW11,'Frick Pond'!AW11,'Long Pond'!AW11,'Cathedral Glen'!AW11)</f>
        <v>0</v>
      </c>
      <c r="AX10" s="17">
        <f>SUM('Biscuit Brook'!AX11,'Hardenburgh- MH Trail'!AX11,'McKenley Hollow'!AX11,'Mongaup Pond'!AX11,'Rider Hollow'!AX11,Seager!AX11,Denning!AX11,'Fox Hollow'!AX11,'Giant Ledge'!AX11,Peekamoose!AX11,'Slide Mt'!AX11,Wittenberg!AX11,'Woodland Valley'!AX11,'Lane Street'!AX11,'Kelly Hollow'!AY11,'Millbrook to BLM FT'!AX11,'Beaverkill Road to BLM FT'!AX11,'Alder Lake'!AX11,'Dry Brook Ridge to Lean-to '!AX11,'Neversink Hardenburgh Trail'!AX11,Overlook!AX11,'Rochester Hollow'!AX11,'Onteora Lake'!AX11,'Mt Tremper'!AX11,'Ashokan HP'!AX11,Vernooy!AX11,'Red Hill Dinch Road '!AX11,Flynn!AX11,'Frick Pond'!AX11,'Long Pond'!AX11,'Cathedral Glen'!AX11)</f>
        <v>0</v>
      </c>
      <c r="AY10" s="17">
        <f>SUM('Biscuit Brook'!AY11,'Hardenburgh- MH Trail'!AY11,'McKenley Hollow'!AY11,'Mongaup Pond'!AY11,'Rider Hollow'!AY11,Seager!AY11,Denning!AY11,'Fox Hollow'!AY11,'Giant Ledge'!AY11,Peekamoose!AY11,'Slide Mt'!AY11,Wittenberg!AY11,'Woodland Valley'!AY11,'Lane Street'!AY11,'Kelly Hollow'!AZ11,'Millbrook to BLM FT'!AY11,'Beaverkill Road to BLM FT'!AY11,'Alder Lake'!AY11,'Dry Brook Ridge to Lean-to '!AY11,'Neversink Hardenburgh Trail'!AY11,Overlook!AY11,'Rochester Hollow'!AY11,'Onteora Lake'!AY11,'Mt Tremper'!AY11,'Ashokan HP'!AY11,Vernooy!AY11,'Red Hill Dinch Road '!AY11,Flynn!AY11,'Frick Pond'!AY11,'Long Pond'!AY11,'Cathedral Glen'!AY11)</f>
        <v>0</v>
      </c>
      <c r="AZ10" s="17" t="e">
        <f>SUM('Biscuit Brook'!AZ11,'Hardenburgh- MH Trail'!AZ11,'McKenley Hollow'!AZ11,'Mongaup Pond'!AZ11,'Rider Hollow'!AZ11,Seager!AZ11,Denning!AZ11,'Fox Hollow'!AZ11,'Giant Ledge'!AZ11,Peekamoose!AZ11,'Slide Mt'!AZ11,Wittenberg!AZ11,'Woodland Valley'!AZ11,'Lane Street'!AZ11,'Kelly Hollow'!BA11,'Millbrook to BLM FT'!AZ11,'Beaverkill Road to BLM FT'!AZ11,'Alder Lake'!AZ11,'Dry Brook Ridge to Lean-to '!AZ11,'Neversink Hardenburgh Trail'!AZ11,Overlook!AZ11,'Rochester Hollow'!AZ11,'Onteora Lake'!BA11,'Mt Tremper'!AZ11,'Ashokan HP'!AZ11,Vernooy!AZ11,'Red Hill Dinch Road '!AZ11,Flynn!AZ11,'Frick Pond'!AZ11,'Long Pond'!AZ11)</f>
        <v>#N/A</v>
      </c>
      <c r="BA10" s="96" t="e">
        <v>#N/A</v>
      </c>
      <c r="BB10" s="96" t="e">
        <v>#N/A</v>
      </c>
      <c r="BC10" s="96" t="e">
        <v>#N/A</v>
      </c>
      <c r="BD10" s="96" t="e">
        <v>#N/A</v>
      </c>
      <c r="BE10" s="96" t="e">
        <v>#N/A</v>
      </c>
      <c r="BF10" s="96" t="e">
        <v>#N/A</v>
      </c>
      <c r="BG10" s="96" t="e">
        <v>#N/A</v>
      </c>
      <c r="BH10" s="96" t="e">
        <v>#N/A</v>
      </c>
      <c r="BI10" s="96" t="e">
        <v>#N/A</v>
      </c>
      <c r="BJ10" s="96">
        <f t="shared" si="36"/>
        <v>5933.2</v>
      </c>
      <c r="BK10" s="96">
        <f t="shared" si="37"/>
        <v>6198.6</v>
      </c>
      <c r="BL10" s="96">
        <f t="shared" si="38"/>
        <v>6414.1</v>
      </c>
      <c r="BM10" s="96">
        <f t="shared" si="39"/>
        <v>6441.9</v>
      </c>
      <c r="BN10" s="96">
        <f t="shared" si="40"/>
        <v>6513.3</v>
      </c>
      <c r="BO10" s="96">
        <f t="shared" si="41"/>
        <v>6529.8</v>
      </c>
      <c r="BP10" s="96">
        <f t="shared" si="42"/>
        <v>6516.1</v>
      </c>
      <c r="BQ10" s="96">
        <f t="shared" si="43"/>
        <v>6519.4</v>
      </c>
      <c r="BR10" s="96">
        <f t="shared" si="44"/>
        <v>6486.1111111111113</v>
      </c>
      <c r="BS10" s="96">
        <f t="shared" si="45"/>
        <v>6569.375</v>
      </c>
      <c r="BT10" s="96">
        <f t="shared" si="46"/>
        <v>6705.75</v>
      </c>
      <c r="BU10" s="96">
        <f t="shared" si="47"/>
        <v>6625.8571428571431</v>
      </c>
      <c r="BV10" s="96">
        <f t="shared" si="48"/>
        <v>6515.2857142857147</v>
      </c>
      <c r="BW10" s="96">
        <f t="shared" si="49"/>
        <v>6592.5714285714284</v>
      </c>
      <c r="BX10" s="96">
        <f t="shared" si="50"/>
        <v>6975.2857142857147</v>
      </c>
      <c r="BY10" s="96">
        <f t="shared" si="51"/>
        <v>7322.5714285714284</v>
      </c>
      <c r="BZ10" s="96">
        <f t="shared" si="52"/>
        <v>7995.3214285714284</v>
      </c>
      <c r="CA10" s="96">
        <f t="shared" si="53"/>
        <v>8865.3214285714294</v>
      </c>
      <c r="CB10" s="96">
        <f t="shared" si="54"/>
        <v>9120.53125</v>
      </c>
      <c r="CC10" s="96">
        <f t="shared" si="55"/>
        <v>9278.25</v>
      </c>
      <c r="CD10" s="96">
        <f t="shared" si="56"/>
        <v>9567.25</v>
      </c>
      <c r="CE10" s="96">
        <f t="shared" si="57"/>
        <v>9396.9583333333321</v>
      </c>
      <c r="CF10" s="96">
        <f t="shared" si="58"/>
        <v>9589.0583333333325</v>
      </c>
      <c r="CG10" s="96">
        <f t="shared" si="59"/>
        <v>9578.5583333333325</v>
      </c>
      <c r="CH10" s="96">
        <f t="shared" si="60"/>
        <v>9160.0583333333325</v>
      </c>
      <c r="CI10" s="96">
        <f t="shared" si="61"/>
        <v>8543.0583333333343</v>
      </c>
      <c r="CJ10" s="96">
        <f t="shared" si="62"/>
        <v>8294.2592592592609</v>
      </c>
      <c r="CK10" s="96">
        <f t="shared" si="63"/>
        <v>7714.666666666667</v>
      </c>
      <c r="CL10" s="96">
        <f t="shared" si="64"/>
        <v>7258.6190476190477</v>
      </c>
      <c r="CM10" s="96">
        <f t="shared" si="65"/>
        <v>6711.7222222222226</v>
      </c>
      <c r="CN10" s="96">
        <f t="shared" si="66"/>
        <v>6097.8666666666668</v>
      </c>
      <c r="CO10" s="96">
        <f t="shared" si="67"/>
        <v>5656.25</v>
      </c>
      <c r="CP10" s="96">
        <f t="shared" si="68"/>
        <v>4756.666666666667</v>
      </c>
      <c r="CQ10" s="96">
        <f t="shared" si="69"/>
        <v>3756.5</v>
      </c>
      <c r="CR10" s="96">
        <f t="shared" si="70"/>
        <v>2625</v>
      </c>
      <c r="CS10" s="96" t="e">
        <f t="shared" si="71"/>
        <v>#DIV/0!</v>
      </c>
      <c r="CT10" s="96" t="e">
        <f t="shared" si="72"/>
        <v>#DIV/0!</v>
      </c>
      <c r="CU10" s="96" t="e">
        <f t="shared" si="73"/>
        <v>#DIV/0!</v>
      </c>
      <c r="CV10" s="96" t="e">
        <f t="shared" si="74"/>
        <v>#DIV/0!</v>
      </c>
      <c r="CW10" s="96" t="e">
        <f t="shared" si="75"/>
        <v>#DIV/0!</v>
      </c>
      <c r="CX10" s="96" t="e">
        <f t="shared" si="76"/>
        <v>#DIV/0!</v>
      </c>
      <c r="CY10" s="96" t="e">
        <f t="shared" si="77"/>
        <v>#DIV/0!</v>
      </c>
    </row>
    <row r="11" spans="1:103" ht="20" customHeight="1" x14ac:dyDescent="0.2">
      <c r="A11" s="7" t="s">
        <v>7</v>
      </c>
      <c r="B11" s="14">
        <f>SUM('Biscuit Brook'!B12,'Hardenburgh- MH Trail'!B12,'McKenley Hollow'!B12,'Mongaup Pond'!B12,'Rider Hollow'!B12,Seager!B12,Denning!B12,'Fox Hollow'!B12,'Giant Ledge'!B12,Peekamoose!B12,'Slide Mt'!B12,Wittenberg!B12,'Woodland Valley'!B12,'Kelly Hollow'!B12,'Millbrook to BLM FT'!B12,'Beaverkill Road to BLM FT'!B12,'Alder Lake'!B12,'Dry Brook Ridge to Lean-to '!B12,'Neversink Hardenburgh Trail'!B12,Overlook!B12,'Rochester Hollow'!B12,'Onteora Lake'!B12,'Mt Tremper'!B12,'Ashokan HP'!B12,Vernooy!B12,'Red Hill Dinch Road '!B12,Flynn!B12,'Frick Pond'!B12,'Long Pond'!B12)</f>
        <v>5360</v>
      </c>
      <c r="C11" s="14">
        <f>SUM('Biscuit Brook'!C12,'Hardenburgh- MH Trail'!C12,'McKenley Hollow'!C12,'Mongaup Pond'!C12,'Rider Hollow'!C12,Seager!C12,Denning!C12,'Fox Hollow'!C12,'Giant Ledge'!C12,Peekamoose!C12,'Slide Mt'!C12,Wittenberg!C12,'Woodland Valley'!C12,'Kelly Hollow'!C12,'Millbrook to BLM FT'!C12,'Beaverkill Road to BLM FT'!C12,'Alder Lake'!C12,'Dry Brook Ridge to Lean-to '!C12,'Neversink Hardenburgh Trail'!C12,Overlook!C12,'Rochester Hollow'!C12,'Onteora Lake'!C12,'Mt Tremper'!C12,'Ashokan HP'!C12,Vernooy!C12,'Red Hill Dinch Road '!C12,Flynn!C12,'Frick Pond'!C12,'Long Pond'!C12)</f>
        <v>5857</v>
      </c>
      <c r="D11" s="14">
        <f>SUM('Biscuit Brook'!D12,'Hardenburgh- MH Trail'!D12,'McKenley Hollow'!D12,'Mongaup Pond'!D12,'Rider Hollow'!D12,Seager!D12,Denning!D12,'Fox Hollow'!D12,'Giant Ledge'!D12,Peekamoose!D12,'Slide Mt'!D12,Wittenberg!D12,'Woodland Valley'!D12,'Kelly Hollow'!D12,'Millbrook to BLM FT'!D12,'Beaverkill Road to BLM FT'!D12,'Alder Lake'!D12,'Dry Brook Ridge to Lean-to '!D12,'Neversink Hardenburgh Trail'!D12,Overlook!D12,'Rochester Hollow'!D12,'Onteora Lake'!D12,'Mt Tremper'!D12,'Ashokan HP'!D12,Vernooy!D12,'Red Hill Dinch Road '!D12,Flynn!D12,'Frick Pond'!D12,'Long Pond'!D12)</f>
        <v>6279</v>
      </c>
      <c r="E11" s="14">
        <f>SUM('Biscuit Brook'!E12,'Hardenburgh- MH Trail'!E12,'McKenley Hollow'!E12,'Mongaup Pond'!E12,'Rider Hollow'!E12,Seager!E12,Denning!E12,'Fox Hollow'!E12,'Giant Ledge'!E12,Peekamoose!E12,'Slide Mt'!E12,Wittenberg!E12,'Woodland Valley'!E12,'Kelly Hollow'!E12,'Millbrook to BLM FT'!E12,'Beaverkill Road to BLM FT'!E12,'Alder Lake'!E12,'Dry Brook Ridge to Lean-to '!E12,'Neversink Hardenburgh Trail'!E12,Overlook!E12,'Rochester Hollow'!E12,'Onteora Lake'!E12,'Mt Tremper'!E12,'Ashokan HP'!E12,Vernooy!E12,'Red Hill Dinch Road '!E12,Flynn!E12,'Frick Pond'!E12,'Long Pond'!E12)</f>
        <v>7133</v>
      </c>
      <c r="F11" s="14">
        <f>SUM('Biscuit Brook'!F12,'Hardenburgh- MH Trail'!F12,'McKenley Hollow'!F12,'Mongaup Pond'!F12,'Rider Hollow'!F12,Seager!F12,Denning!F12,'Fox Hollow'!F12,'Giant Ledge'!F12,Peekamoose!F12,'Slide Mt'!F12,Wittenberg!F12,'Woodland Valley'!F12,'Kelly Hollow'!F12,'Millbrook to BLM FT'!F12,'Beaverkill Road to BLM FT'!F12,'Alder Lake'!F12,'Dry Brook Ridge to Lean-to '!F12,'Neversink Hardenburgh Trail'!F12,Overlook!F12,'Rochester Hollow'!F12,'Onteora Lake'!F12,'Mt Tremper'!F12,'Ashokan HP'!F12,Vernooy!F12,'Red Hill Dinch Road '!F12,Flynn!F12,'Frick Pond'!F12,'Long Pond'!F12)</f>
        <v>6875</v>
      </c>
      <c r="G11" s="14">
        <f>SUM('Biscuit Brook'!G12,'Hardenburgh- MH Trail'!G12,'McKenley Hollow'!G12,'Mongaup Pond'!G12,'Rider Hollow'!G12,Seager!G12,Denning!G12,'Fox Hollow'!G12,'Giant Ledge'!G12,Peekamoose!G12,'Slide Mt'!G12,Wittenberg!G12,'Woodland Valley'!G12,'Kelly Hollow'!G12,'Millbrook to BLM FT'!G12,'Beaverkill Road to BLM FT'!G12,'Alder Lake'!G12,'Dry Brook Ridge to Lean-to '!G12,'Neversink Hardenburgh Trail'!G12,Overlook!G12,'Rochester Hollow'!G12,'Onteora Lake'!G12,'Mt Tremper'!G12,'Ashokan HP'!G12,Vernooy!G12,'Red Hill Dinch Road '!G12,Flynn!G12,'Frick Pond'!G12,'Long Pond'!G12)</f>
        <v>6898</v>
      </c>
      <c r="H11" s="14">
        <f>SUM('Biscuit Brook'!H12,'Hardenburgh- MH Trail'!H12,'McKenley Hollow'!H12,'Mongaup Pond'!H12,'Rider Hollow'!H12,Seager!H12,Denning!H12,'Fox Hollow'!H12,'Giant Ledge'!H12,Peekamoose!H12,'Slide Mt'!H12,Wittenberg!H12,'Woodland Valley'!H12,'Kelly Hollow'!H12,'Millbrook to BLM FT'!H12,'Beaverkill Road to BLM FT'!H12,'Alder Lake'!H12,'Dry Brook Ridge to Lean-to '!H12,'Neversink Hardenburgh Trail'!H12,Overlook!H12,'Rochester Hollow'!H12,'Onteora Lake'!H12,'Mt Tremper'!H12,'Ashokan HP'!H12,Vernooy!H12,'Red Hill Dinch Road '!H12,Flynn!H12,'Frick Pond'!H12,'Long Pond'!H12)</f>
        <v>8073</v>
      </c>
      <c r="I11" s="14">
        <f>SUM('Biscuit Brook'!I12,'Hardenburgh- MH Trail'!I12,'McKenley Hollow'!I12,'Mongaup Pond'!I12,'Rider Hollow'!I12,Seager!I12,Denning!I12,'Fox Hollow'!I12,'Giant Ledge'!I12,Peekamoose!I12,'Slide Mt'!I12,Wittenberg!I12,'Woodland Valley'!I12,'Kelly Hollow'!I12,'Millbrook to BLM FT'!I12,'Beaverkill Road to BLM FT'!I12,'Alder Lake'!I12,'Dry Brook Ridge to Lean-to '!I12,'Neversink Hardenburgh Trail'!I12,Overlook!I12,'Rochester Hollow'!I12,'Onteora Lake'!I12,'Mt Tremper'!I12,'Ashokan HP'!I12,Vernooy!I12,'Red Hill Dinch Road '!I12,Flynn!I12,'Frick Pond'!I12,'Long Pond'!I12)</f>
        <v>7744</v>
      </c>
      <c r="J11" s="14">
        <f>SUM('Biscuit Brook'!J12,'Hardenburgh- MH Trail'!J12,'McKenley Hollow'!J12,'Mongaup Pond'!J12,'Rider Hollow'!J12,Seager!J12,Denning!J12,'Fox Hollow'!J12,'Giant Ledge'!J12,Peekamoose!J12,'Slide Mt'!J12,Wittenberg!J12,'Woodland Valley'!J12,'Kelly Hollow'!J12,'Millbrook to BLM FT'!J12,'Beaverkill Road to BLM FT'!J12,'Alder Lake'!J12,'Dry Brook Ridge to Lean-to '!J12,'Neversink Hardenburgh Trail'!J12,Overlook!J12,'Rochester Hollow'!J12,'Onteora Lake'!J12,'Mt Tremper'!J12,'Ashokan HP'!J12,Vernooy!J12,'Red Hill Dinch Road '!J12,Flynn!J12,'Frick Pond'!J12,'Long Pond'!J12)</f>
        <v>6059</v>
      </c>
      <c r="K11" s="14">
        <f>SUM('Biscuit Brook'!K12,'Hardenburgh- MH Trail'!K12,'McKenley Hollow'!K12,'Mongaup Pond'!K12,'Rider Hollow'!K12,Seager!K12,Denning!K12,'Fox Hollow'!K12,'Giant Ledge'!K12,Peekamoose!K12,'Slide Mt'!K12,Wittenberg!K12,'Woodland Valley'!K12,'Kelly Hollow'!K12,'Millbrook to BLM FT'!K12,'Beaverkill Road to BLM FT'!K12,'Alder Lake'!K12,'Dry Brook Ridge to Lean-to '!K12,'Neversink Hardenburgh Trail'!K12,Overlook!K12,'Rochester Hollow'!K12,'Onteora Lake'!K12,'Mt Tremper'!K12,'Ashokan HP'!K12,Vernooy!K12,'Red Hill Dinch Road '!K12,Flynn!K12,'Frick Pond'!K12,'Long Pond'!K12)</f>
        <v>5810</v>
      </c>
      <c r="L11" s="14">
        <f>SUM('Biscuit Brook'!L12,'Hardenburgh- MH Trail'!L12,'McKenley Hollow'!L12,'Mongaup Pond'!L12,'Rider Hollow'!L12,Seager!L12,Denning!L12,'Fox Hollow'!L12,'Giant Ledge'!L12,Peekamoose!L12,'Slide Mt'!L12,Wittenberg!L12,'Woodland Valley'!L12,'Kelly Hollow'!L12,'Millbrook to BLM FT'!L12,'Beaverkill Road to BLM FT'!L12,'Alder Lake'!L12,'Dry Brook Ridge to Lean-to '!L12,'Neversink Hardenburgh Trail'!L12,Overlook!L12,'Rochester Hollow'!L12,'Onteora Lake'!L12,'Mt Tremper'!L12,'Ashokan HP'!L12,Vernooy!L12,'Red Hill Dinch Road '!L12,Flynn!L12,'Frick Pond'!L12,'Long Pond'!L12)</f>
        <v>5675</v>
      </c>
      <c r="M11" s="14">
        <f>SUM('Biscuit Brook'!M12,'Hardenburgh- MH Trail'!M12,'McKenley Hollow'!M12,'Mongaup Pond'!M12,'Rider Hollow'!M12,Seager!M12,Denning!M12,'Fox Hollow'!M12,'Giant Ledge'!M12,Peekamoose!M12,'Slide Mt'!M12,Wittenberg!M12,'Woodland Valley'!M12,'Kelly Hollow'!M12,'Millbrook to BLM FT'!M12,'Beaverkill Road to BLM FT'!M12,'Alder Lake'!M12,'Dry Brook Ridge to Lean-to '!M12,'Neversink Hardenburgh Trail'!M12,Overlook!M12,'Rochester Hollow'!M12,'Onteora Lake'!M12,'Mt Tremper'!M12,'Ashokan HP'!M12,Vernooy!M12,'Red Hill Dinch Road '!M12,Flynn!M12,'Frick Pond'!M12,'Long Pond'!M12)</f>
        <v>6326</v>
      </c>
      <c r="N11" s="14">
        <f>SUM('Biscuit Brook'!N12,'Hardenburgh- MH Trail'!N12,'McKenley Hollow'!N12,'Mongaup Pond'!N12,'Rider Hollow'!N12,Seager!N12,Denning!N12,'Fox Hollow'!N12,'Giant Ledge'!N12,Peekamoose!N12,'Slide Mt'!N12,Wittenberg!N12,'Woodland Valley'!N12,'Kelly Hollow'!N12,'Millbrook to BLM FT'!N12,'Beaverkill Road to BLM FT'!N12,'Alder Lake'!N12,'Dry Brook Ridge to Lean-to '!N12,'Neversink Hardenburgh Trail'!N12,Overlook!N12,'Rochester Hollow'!N12,'Onteora Lake'!N12,'Mt Tremper'!N12,'Ashokan HP'!N12,Vernooy!N12,'Red Hill Dinch Road '!N12,Flynn!N12,'Frick Pond'!N12,'Long Pond'!N12)</f>
        <v>6812</v>
      </c>
      <c r="O11" s="14">
        <f>SUM('Biscuit Brook'!O12,'Hardenburgh- MH Trail'!O12,'McKenley Hollow'!O12,'Mongaup Pond'!O12,'Rider Hollow'!O12,Seager!O12,Denning!O12,'Fox Hollow'!O12,'Giant Ledge'!O12,Peekamoose!O12,'Slide Mt'!O12,Wittenberg!O12,'Woodland Valley'!O12,'Kelly Hollow'!O12,'Millbrook to BLM FT'!O12,'Beaverkill Road to BLM FT'!O12,'Alder Lake'!O12,'Dry Brook Ridge to Lean-to '!O12,'Neversink Hardenburgh Trail'!O12,Overlook!O12,'Rochester Hollow'!O12,'Onteora Lake'!O12,'Mt Tremper'!O12,'Ashokan HP'!O12,Vernooy!O12,'Red Hill Dinch Road '!O12,Flynn!O12,'Frick Pond'!O12,'Long Pond'!O12)</f>
        <v>5774</v>
      </c>
      <c r="P11" s="14">
        <f>SUM('Biscuit Brook'!P12,'Hardenburgh- MH Trail'!P12,'McKenley Hollow'!P12,'Mongaup Pond'!P12,'Rider Hollow'!P12,Seager!P12,Denning!P12,'Fox Hollow'!P12,'Giant Ledge'!P12,Peekamoose!P12,'Slide Mt'!P12,Wittenberg!P12,'Woodland Valley'!P12,'Kelly Hollow'!P12,'Millbrook to BLM FT'!P12,'Beaverkill Road to BLM FT'!P12,'Alder Lake'!P12,'Dry Brook Ridge to Lean-to '!P12,'Neversink Hardenburgh Trail'!P12,Overlook!P12,'Rochester Hollow'!P12,'Onteora Lake'!P12,'Mt Tremper'!P12,'Ashokan HP'!P12,Vernooy!P12,'Red Hill Dinch Road '!P12,Flynn!P12,'Frick Pond'!P12,'Long Pond'!P12)</f>
        <v>5595</v>
      </c>
      <c r="Q11" s="14">
        <f>SUM('Biscuit Brook'!Q12,'Hardenburgh- MH Trail'!Q12,'McKenley Hollow'!Q12,'Mongaup Pond'!Q12,'Rider Hollow'!Q12,Seager!Q12,Denning!Q12,'Fox Hollow'!Q12,'Giant Ledge'!Q12,Peekamoose!Q12,'Slide Mt'!Q12,Wittenberg!Q12,'Woodland Valley'!Q12,'Kelly Hollow'!Q12,'Millbrook to BLM FT'!Q12,'Beaverkill Road to BLM FT'!Q12,'Alder Lake'!Q12,'Dry Brook Ridge to Lean-to '!Q12,'Neversink Hardenburgh Trail'!Q12,Overlook!Q12,'Rochester Hollow'!Q12,'Onteora Lake'!Q12,'Mt Tremper'!Q12,'Ashokan HP'!Q12,Vernooy!Q12,'Red Hill Dinch Road '!Q12,Flynn!Q12,'Frick Pond'!Q12,'Long Pond'!Q12)</f>
        <v>6340</v>
      </c>
      <c r="R11" s="14">
        <f>SUM('Biscuit Brook'!R12,'Hardenburgh- MH Trail'!R12,'McKenley Hollow'!R12,'Mongaup Pond'!R12,'Rider Hollow'!R12,Seager!R12,Denning!R12,'Fox Hollow'!R12,'Giant Ledge'!R12,Peekamoose!R12,'Slide Mt'!R12,Wittenberg!R12,'Woodland Valley'!R12,'Kelly Hollow'!R12,'Millbrook to BLM FT'!R12,'Beaverkill Road to BLM FT'!R12,'Alder Lake'!R12,'Dry Brook Ridge to Lean-to '!R12,'Neversink Hardenburgh Trail'!R12,Overlook!R12,'Rochester Hollow'!R12,'Onteora Lake'!R12,'Mt Tremper'!R12,'Ashokan HP'!R12,Vernooy!R12,'Red Hill Dinch Road '!R12,Flynn!R12,'Frick Pond'!R12,'Long Pond'!R12)</f>
        <v>6968</v>
      </c>
      <c r="S11" s="14"/>
      <c r="T11" s="14"/>
      <c r="U11" s="15">
        <f>SUM('Biscuit Brook'!U12,'Hardenburgh- MH Trail'!U12,'McKenley Hollow'!U12,'Mongaup Pond'!U12,'Rider Hollow'!U12,Seager!U12,Denning!U12,'Fox Hollow'!U12,'Giant Ledge'!U12,Peekamoose!U12,'Slide Mt'!U12,Wittenberg!U12,'Woodland Valley'!U12,'Kelly Hollow'!U12,'Millbrook to BLM FT'!U12,'Beaverkill Road to BLM FT'!U12,'Alder Lake'!U12,'Dry Brook Ridge to Lean-to '!U12,'Neversink Hardenburgh Trail'!U12,Overlook!U12,'Rochester Hollow'!U12,'Onteora Lake'!U12,'Mt Tremper'!U12,'Ashokan HP'!U12,Vernooy!U12,'Red Hill Dinch Road '!U12,Flynn!U12,'Frick Pond'!U12,'Long Pond'!U12)</f>
        <v>7456</v>
      </c>
      <c r="V11" s="15"/>
      <c r="W11" s="15">
        <f>SUM('Biscuit Brook'!W12,'Hardenburgh- MH Trail'!W12,'McKenley Hollow'!W12,'Mongaup Pond'!W12,'Rider Hollow'!W12,Seager!W12,Denning!W12,'Fox Hollow'!W12,'Giant Ledge'!W12,Peekamoose!W12,'Slide Mt'!W12,Wittenberg!W12,'Woodland Valley'!W12,'Kelly Hollow'!W12,'Millbrook to BLM FT'!W12,'Beaverkill Road to BLM FT'!W12,'Alder Lake'!W12,'Dry Brook Ridge to Lean-to '!W12,'Neversink Hardenburgh Trail'!W12,Overlook!W12,'Rochester Hollow'!W12,'Onteora Lake'!W12,'Mt Tremper'!W12,'Ashokan HP'!W12,Vernooy!W12,'Red Hill Dinch Road '!W12,Flynn!W12,'Frick Pond'!W12,'Long Pond'!W12)</f>
        <v>7194</v>
      </c>
      <c r="X11" s="15">
        <f>SUM('Biscuit Brook'!X12,'Hardenburgh- MH Trail'!X12,'McKenley Hollow'!X12,'Mongaup Pond'!X12,'Rider Hollow'!X12,Seager!X12,Denning!X12,'Fox Hollow'!X12,'Giant Ledge'!X12,Peekamoose!X12,'Slide Mt'!X12,Wittenberg!X12,'Woodland Valley'!X12,'Kelly Hollow'!X12,'Millbrook to BLM FT'!X12,'Beaverkill Road to BLM FT'!X12,'Alder Lake'!X12,'Dry Brook Ridge to Lean-to '!X12,'Neversink Hardenburgh Trail'!X12,Overlook!X12,'Rochester Hollow'!X12,'Onteora Lake'!X12,'Mt Tremper'!X12,'Ashokan HP'!X12,Vernooy!X12,'Red Hill Dinch Road '!X12,Flynn!X12,'Frick Pond'!X12,'Long Pond'!X12)</f>
        <v>8201</v>
      </c>
      <c r="Y11" s="15">
        <f>SUM('Biscuit Brook'!Y12,'Hardenburgh- MH Trail'!Y12,'McKenley Hollow'!Y12,'Mongaup Pond'!Y12,'Rider Hollow'!Y12,Seager!Y12,Denning!Y12,'Fox Hollow'!Y12,'Giant Ledge'!Y12,Peekamoose!Y12,'Slide Mt'!Y12,Wittenberg!Y12,'Woodland Valley'!Y12,'Lane Street'!Y12,'Kelly Hollow'!Y12,'Millbrook to BLM FT'!Y12,'Beaverkill Road to BLM FT'!Y12,'Alder Lake'!Y12,'Dry Brook Ridge to Lean-to '!Y12,'Neversink Hardenburgh Trail'!Y12,Overlook!Y12,'Rochester Hollow'!Y12,'Onteora Lake'!Y12,'Mt Tremper'!Y12,'Ashokan HP'!Y12,Vernooy!Y12,'Red Hill Dinch Road '!Y12,Flynn!Y12,'Frick Pond'!Y12,'Long Pond'!Y12)</f>
        <v>10417</v>
      </c>
      <c r="Z11" s="15">
        <f>SUM('Biscuit Brook'!Z12,'Hardenburgh- MH Trail'!Z12,'McKenley Hollow'!Z12,'Mongaup Pond'!Z12,'Rider Hollow'!Z12,Seager!Z12,Denning!Z12,'Fox Hollow'!Z12,'Giant Ledge'!Z12,Peekamoose!Z12,'Slide Mt'!Z12,Wittenberg!Z12,'Woodland Valley'!Z12,'Lane Street'!Z12,'Kelly Hollow'!Z12,'Millbrook to BLM FT'!Z12,'Beaverkill Road to BLM FT'!Z12,'Alder Lake'!Z12,'Dry Brook Ridge to Lean-to '!Z12,'Neversink Hardenburgh Trail'!Z12,Overlook!Z12,'Rochester Hollow'!Z12,'Onteora Lake'!Z12,'Mt Tremper'!Z12,'Ashokan HP'!Z12,Vernooy!Z12,'Red Hill Dinch Road '!Z12,Flynn!Z12,'Frick Pond'!Z12,'Long Pond'!Z12)</f>
        <v>10180</v>
      </c>
      <c r="AA11" s="15">
        <f>SUM('Biscuit Brook'!AA12,'Hardenburgh- MH Trail'!AA12,'McKenley Hollow'!AA12,'Mongaup Pond'!AA12,'Rider Hollow'!AA12,Seager!AA12,Denning!AA12,'Fox Hollow'!AA12,'Giant Ledge'!AA12,Peekamoose!AA12,'Slide Mt'!AA12,Wittenberg!AA12,'Woodland Valley'!AA12,'Lane Street'!AA12,'Kelly Hollow'!AA12,'Millbrook to BLM FT'!AA12,'Beaverkill Road to BLM FT'!AA12,'Alder Lake'!AA12,'Dry Brook Ridge to Lean-to '!AA12,'Neversink Hardenburgh Trail'!AA12,Overlook!AA12,'Rochester Hollow'!AA12,'Onteora Lake'!AA12,'Mt Tremper'!AA12,'Ashokan HP'!AA12,Vernooy!AA12,'Red Hill Dinch Road '!AA12,Flynn!AA12,'Frick Pond'!AA12,'Long Pond'!AA12)</f>
        <v>10614.8</v>
      </c>
      <c r="AB11" s="15">
        <f>SUM('Biscuit Brook'!AB12,'Hardenburgh- MH Trail'!AB12,'McKenley Hollow'!AB12,'Mongaup Pond'!AB12,'Rider Hollow'!AB12,Seager!AB12,Denning!AB12,'Fox Hollow'!AB12,'Giant Ledge'!AB12,Peekamoose!AB12,'Slide Mt'!AB12,Wittenberg!AB12,'Woodland Valley'!AB12,'Lane Street'!AB12,'Kelly Hollow'!AB12,'Millbrook to BLM FT'!AB12,'Beaverkill Road to BLM FT'!AB12,'Alder Lake'!AB12,'Dry Brook Ridge to Lean-to '!AB12,'Neversink Hardenburgh Trail'!AB12,Overlook!AB12,'Rochester Hollow'!AB12,'Onteora Lake'!AB12,'Mt Tremper'!AB12,'Ashokan HP'!AB12,Vernooy!AB12,'Red Hill Dinch Road '!AB12,Flynn!AB12,'Frick Pond'!AB12,'Long Pond'!AB12)</f>
        <v>11436</v>
      </c>
      <c r="AC11" s="15">
        <f>SUM('Biscuit Brook'!AC12,'Hardenburgh- MH Trail'!AC12,'McKenley Hollow'!AC12,'Mongaup Pond'!AC12,'Rider Hollow'!AC12,Seager!AC12,Denning!AC12,'Fox Hollow'!AC12,'Giant Ledge'!AC12,Peekamoose!AC12,'Slide Mt'!AC12,Wittenberg!AC12,'Woodland Valley'!AC12,'Lane Street'!AC12,'Kelly Hollow'!AD12,'Millbrook to BLM FT'!AC12,'Beaverkill Road to BLM FT'!AC12,'Alder Lake'!AC12,'Dry Brook Ridge to Lean-to '!AC12,'Neversink Hardenburgh Trail'!AC12,Overlook!AC12,'Rochester Hollow'!AC12,'Onteora Lake'!AC12,'Mt Tremper'!AC12,'Ashokan HP'!AC12,Vernooy!AC12,'Red Hill Dinch Road '!AC12,Flynn!AC12,'Frick Pond'!AC12,'Long Pond'!AC12)</f>
        <v>9661</v>
      </c>
      <c r="AD11" s="15">
        <f>SUM('Biscuit Brook'!AD12,'Hardenburgh- MH Trail'!AD12,'McKenley Hollow'!AD12,'Mongaup Pond'!AD12,'Rider Hollow'!AD12,Seager!AD12,Denning!AD12,'Fox Hollow'!AD12,'Giant Ledge'!AD12,Peekamoose!AD12,'Slide Mt'!AD12,Wittenberg!AD12,'Woodland Valley'!AD12,'Lane Street'!AD12,'Kelly Hollow'!AE12,'Millbrook to BLM FT'!AD12,'Beaverkill Road to BLM FT'!AD12,'Alder Lake'!AD12,'Dry Brook Ridge to Lean-to '!AD12,'Neversink Hardenburgh Trail'!AD12,Overlook!AD12,'Rochester Hollow'!AD12,'Onteora Lake'!AD12,'Mt Tremper'!AD12,'Ashokan HP'!AD12,Vernooy!AD12,'Red Hill Dinch Road '!AD12,Flynn!AD12,'Frick Pond'!AD12,'Long Pond'!AD12)</f>
        <v>12405</v>
      </c>
      <c r="AE11" s="15">
        <f>SUM('Biscuit Brook'!AE12,'Hardenburgh- MH Trail'!AE12,'McKenley Hollow'!AE12,'Mongaup Pond'!AE12,'Rider Hollow'!AE12,Seager!AE12,Denning!AE12,'Fox Hollow'!AE12,'Giant Ledge'!AE12,Peekamoose!AE12,'Slide Mt'!AE12,Wittenberg!AE12,'Woodland Valley'!AE12,'Lane Street'!AE12,'Kelly Hollow'!AF12,'Millbrook to BLM FT'!AE12,'Beaverkill Road to BLM FT'!AE12,'Alder Lake'!AE12,'Dry Brook Ridge to Lean-to '!AE12,'Neversink Hardenburgh Trail'!AE12,Overlook!AE12,'Rochester Hollow'!AE12,'Onteora Lake'!AE12,'Mt Tremper'!AE12,'Ashokan HP'!AE12,Vernooy!AE12,'Red Hill Dinch Road '!AE12,Flynn!AE12,'Frick Pond'!AE12,'Long Pond'!AE12)</f>
        <v>10916.333333333334</v>
      </c>
      <c r="AF11" s="15">
        <f>SUM('Biscuit Brook'!AF12,'Hardenburgh- MH Trail'!AF12,'McKenley Hollow'!AF12,'Mongaup Pond'!AF12,'Rider Hollow'!AF12,Seager!AF12,Denning!AF12,'Fox Hollow'!AF12,'Giant Ledge'!AF12,Peekamoose!AF12,'Slide Mt'!AF12,Wittenberg!AF12,'Woodland Valley'!AF12,'Lane Street'!AF12,'Kelly Hollow'!AG12,'Millbrook to BLM FT'!AF12,'Beaverkill Road to BLM FT'!AF12,'Alder Lake'!AF12,'Dry Brook Ridge to Lean-to '!AF12,'Neversink Hardenburgh Trail'!AF12,Overlook!AF12,'Rochester Hollow'!AF12,'Onteora Lake'!AF12,'Mt Tremper'!AF12,'Ashokan HP'!AF12,Vernooy!AF12,'Red Hill Dinch Road '!AF12,Flynn!AF12,'Frick Pond'!AF12,'Long Pond'!AF12,'Cathedral Glen'!AF12)</f>
        <v>6615</v>
      </c>
      <c r="AG11" s="15">
        <f>SUM('Biscuit Brook'!AG12,'Hardenburgh- MH Trail'!AG12,'McKenley Hollow'!AG12,'Mongaup Pond'!AG12,'Rider Hollow'!AG12,Seager!AG12,Denning!AG12,'Fox Hollow'!AG12,'Giant Ledge'!AG12,Peekamoose!AG12,'Slide Mt'!AG12,Wittenberg!AG12,'Woodland Valley'!AG12,'Lane Street'!AG12,'Kelly Hollow'!AH12,'Millbrook to BLM FT'!AG12,'Beaverkill Road to BLM FT'!AG12,'Alder Lake'!AG12,'Dry Brook Ridge to Lean-to '!AG12,'Neversink Hardenburgh Trail'!AG12,Overlook!AG12,'Rochester Hollow'!AG12,'Onteora Lake'!AG12,'Mt Tremper'!AG12,'Ashokan HP'!AG12,Vernooy!AG12,'Red Hill Dinch Road '!AG12,Flynn!AG12,'Frick Pond'!AG12,'Long Pond'!AG12,'Cathedral Glen'!AG12)</f>
        <v>7435</v>
      </c>
      <c r="AH11" s="15">
        <f>SUM('Biscuit Brook'!AH12,'Hardenburgh- MH Trail'!AH12,'McKenley Hollow'!AH12,'Mongaup Pond'!AH12,'Rider Hollow'!AH12,Seager!AH12,Denning!AH12,'Fox Hollow'!AH12,'Giant Ledge'!AH12,Peekamoose!AH12,'Slide Mt'!AH12,Wittenberg!AH12,'Woodland Valley'!AH12,'Lane Street'!AH12,'Kelly Hollow'!AI12,'Millbrook to BLM FT'!AH12,'Beaverkill Road to BLM FT'!AH12,'Alder Lake'!AH12,'Dry Brook Ridge to Lean-to '!AH12,'Neversink Hardenburgh Trail'!AH12,Overlook!AH12,'Rochester Hollow'!AH12,'Onteora Lake'!AH12,'Mt Tremper'!AH12,'Ashokan HP'!AH12,Vernooy!AH12,'Red Hill Dinch Road '!AH12,Flynn!AH12,'Frick Pond'!AH12,'Long Pond'!AH12,'Cathedral Glen'!AH12)</f>
        <v>6785</v>
      </c>
      <c r="AI11" s="15">
        <f>SUM('Biscuit Brook'!AI12,'Hardenburgh- MH Trail'!AI12,'McKenley Hollow'!AI12,'Mongaup Pond'!AI12,'Rider Hollow'!AI12,Seager!AI12,Denning!AI12,'Fox Hollow'!AI12,'Giant Ledge'!AI12,Peekamoose!AI12,'Slide Mt'!AI12,Wittenberg!AI12,'Woodland Valley'!AI12,'Lane Street'!AI12,'Kelly Hollow'!AJ12,'Millbrook to BLM FT'!AI12,'Beaverkill Road to BLM FT'!AI12,'Alder Lake'!AI12,'Dry Brook Ridge to Lean-to '!AI12,'Neversink Hardenburgh Trail'!AI12,Overlook!AI12,'Rochester Hollow'!AI12,'Onteora Lake'!AI12,'Mt Tremper'!AI12,'Ashokan HP'!AI12,Vernooy!AI12,'Red Hill Dinch Road '!AI12,Flynn!AI12,'Frick Pond'!AI12,'Long Pond'!AI12,'Cathedral Glen'!AI12)</f>
        <v>5435</v>
      </c>
      <c r="AJ11" s="15">
        <f>SUM('Biscuit Brook'!AJ12,'Hardenburgh- MH Trail'!AJ12,'McKenley Hollow'!AJ12,'Mongaup Pond'!AJ12,'Rider Hollow'!AJ12,Seager!AJ12,Denning!AJ12,'Fox Hollow'!AJ12,'Giant Ledge'!AJ12,Peekamoose!AJ12,'Slide Mt'!AJ12,Wittenberg!AJ12,'Woodland Valley'!AJ12,'Lane Street'!AJ12,'Kelly Hollow'!AK12,'Millbrook to BLM FT'!AJ12,'Beaverkill Road to BLM FT'!AJ12,'Alder Lake'!AJ12,'Dry Brook Ridge to Lean-to '!AJ12,'Neversink Hardenburgh Trail'!AJ12,Overlook!AJ12,'Rochester Hollow'!AJ12,'Onteora Lake'!AJ12,'Mt Tremper'!AJ12,'Ashokan HP'!AJ12,Vernooy!AJ12,'Red Hill Dinch Road '!AJ12,Flynn!AJ12,'Frick Pond'!AJ12,'Long Pond'!AJ12,'Cathedral Glen'!AJ12)</f>
        <v>1976</v>
      </c>
      <c r="AK11" s="15">
        <f>SUM('Biscuit Brook'!AK12,'Hardenburgh- MH Trail'!AK12,'McKenley Hollow'!AK12,'Mongaup Pond'!AK12,'Rider Hollow'!AK12,Seager!AK12,Denning!AK12,'Fox Hollow'!AK12,'Giant Ledge'!AK12,Peekamoose!AK12,'Slide Mt'!AK12,Wittenberg!AK12,'Woodland Valley'!AK12,'Lane Street'!AK12,'Kelly Hollow'!AL12,'Millbrook to BLM FT'!AK12,'Beaverkill Road to BLM FT'!AK12,'Alder Lake'!AK12,'Dry Brook Ridge to Lean-to '!AK12,'Neversink Hardenburgh Trail'!AK12,Overlook!AK12,'Rochester Hollow'!AK12,'Onteora Lake'!AK12,'Mt Tremper'!AK12,'Ashokan HP'!AK12,Vernooy!AK12,'Red Hill Dinch Road '!AK12,Flynn!AK12,'Frick Pond'!AK12,'Long Pond'!AK12,'Cathedral Glen'!AK12)</f>
        <v>0</v>
      </c>
      <c r="AL11" s="15">
        <f>SUM('Biscuit Brook'!AL12,'Hardenburgh- MH Trail'!AL12,'McKenley Hollow'!AL12,'Mongaup Pond'!AL12,'Rider Hollow'!AL12,Seager!AL12,Denning!AL12,'Fox Hollow'!AL12,'Giant Ledge'!AL12,Peekamoose!AL12,'Slide Mt'!AL12,Wittenberg!AL12,'Woodland Valley'!AL12,'Lane Street'!AL12,'Kelly Hollow'!AM12,'Millbrook to BLM FT'!AL12,'Beaverkill Road to BLM FT'!AL12,'Alder Lake'!AL12,'Dry Brook Ridge to Lean-to '!AL12,'Neversink Hardenburgh Trail'!AL12,Overlook!AL12,'Rochester Hollow'!AL12,'Onteora Lake'!AL12,'Mt Tremper'!AL12,'Ashokan HP'!AL12,Vernooy!AL12,'Red Hill Dinch Road '!AL12,Flynn!AL12,'Frick Pond'!AL12,'Long Pond'!AL12,'Cathedral Glen'!AL12)</f>
        <v>0</v>
      </c>
      <c r="AM11" s="15">
        <f>SUM('Biscuit Brook'!AM12,'Hardenburgh- MH Trail'!AM12,'McKenley Hollow'!AM12,'Mongaup Pond'!AM12,'Rider Hollow'!AM12,Seager!AM12,Denning!AM12,'Fox Hollow'!AM12,'Giant Ledge'!AM12,Peekamoose!AM12,'Slide Mt'!AM12,Wittenberg!AM12,'Woodland Valley'!AM12,'Lane Street'!AM12,'Kelly Hollow'!AN12,'Millbrook to BLM FT'!AM12,'Beaverkill Road to BLM FT'!AM12,'Alder Lake'!AM12,'Dry Brook Ridge to Lean-to '!AM12,'Neversink Hardenburgh Trail'!AM12,Overlook!AM12,'Rochester Hollow'!AM12,'Onteora Lake'!AM12,'Mt Tremper'!AM12,'Ashokan HP'!AM12,Vernooy!AM12,'Red Hill Dinch Road '!AM12,Flynn!AM12,'Frick Pond'!AM12,'Long Pond'!AM12,'Cathedral Glen'!AM12)</f>
        <v>0</v>
      </c>
      <c r="AN11" s="15">
        <f>SUM('Biscuit Brook'!AN12,'Hardenburgh- MH Trail'!AN12,'McKenley Hollow'!AN12,'Mongaup Pond'!AN12,'Rider Hollow'!AN12,Seager!AN12,Denning!AN12,'Fox Hollow'!AN12,'Giant Ledge'!AN12,Peekamoose!AN12,'Slide Mt'!AN12,Wittenberg!AN12,'Woodland Valley'!AN12,'Lane Street'!AN12,'Kelly Hollow'!AO12,'Millbrook to BLM FT'!AN12,'Beaverkill Road to BLM FT'!AN12,'Alder Lake'!AN12,'Dry Brook Ridge to Lean-to '!AN12,'Neversink Hardenburgh Trail'!AN12,Overlook!AN12,'Rochester Hollow'!AN12,'Onteora Lake'!AN12,'Mt Tremper'!AN12,'Ashokan HP'!AN12,Vernooy!AN12,'Red Hill Dinch Road '!AN12,Flynn!AN12,'Frick Pond'!AN12,'Long Pond'!AN12,'Cathedral Glen'!AN12)</f>
        <v>0</v>
      </c>
      <c r="AO11" s="15">
        <f>SUM('Biscuit Brook'!AO12,'Hardenburgh- MH Trail'!AO12,'McKenley Hollow'!AO12,'Mongaup Pond'!AO12,'Rider Hollow'!AO12,Seager!AO12,Denning!AO12,'Fox Hollow'!AO12,'Giant Ledge'!AO12,Peekamoose!AO12,'Slide Mt'!AO12,Wittenberg!AO12,'Woodland Valley'!AO12,'Lane Street'!AO12,'Kelly Hollow'!AP12,'Millbrook to BLM FT'!AO12,'Beaverkill Road to BLM FT'!AO12,'Alder Lake'!AO12,'Dry Brook Ridge to Lean-to '!AO12,'Neversink Hardenburgh Trail'!AO12,Overlook!AO12,'Rochester Hollow'!AO12,'Onteora Lake'!AO12,'Mt Tremper'!AO12,'Ashokan HP'!AO12,Vernooy!AO12,'Red Hill Dinch Road '!AO12,Flynn!AO12,'Frick Pond'!AO12,'Long Pond'!AO12,'Cathedral Glen'!AO12)</f>
        <v>0</v>
      </c>
      <c r="AP11" s="15">
        <f>SUM('Biscuit Brook'!AP12,'Hardenburgh- MH Trail'!AP12,'McKenley Hollow'!AP12,'Mongaup Pond'!AP12,'Rider Hollow'!AP12,Seager!AP12,Denning!AP12,'Fox Hollow'!AP12,'Giant Ledge'!AP12,Peekamoose!AP12,'Slide Mt'!AP12,Wittenberg!AP12,'Woodland Valley'!AP12,'Lane Street'!AP12,'Kelly Hollow'!AQ12,'Millbrook to BLM FT'!AP12,'Beaverkill Road to BLM FT'!AP12,'Alder Lake'!AP12,'Dry Brook Ridge to Lean-to '!AP12,'Neversink Hardenburgh Trail'!AP12,Overlook!AP12,'Rochester Hollow'!AP12,'Onteora Lake'!AP12,'Mt Tremper'!AP12,'Ashokan HP'!AP12,Vernooy!AP12,'Red Hill Dinch Road '!AP12,Flynn!AP12,'Frick Pond'!AP12,'Long Pond'!AP12,'Cathedral Glen'!AP12)</f>
        <v>0</v>
      </c>
      <c r="AQ11" s="15">
        <f>SUM('Biscuit Brook'!AQ12,'Hardenburgh- MH Trail'!AQ12,'McKenley Hollow'!AQ12,'Mongaup Pond'!AQ12,'Rider Hollow'!AQ12,Seager!AQ12,Denning!AQ12,'Fox Hollow'!AQ12,'Giant Ledge'!AQ12,Peekamoose!AQ12,'Slide Mt'!AQ12,Wittenberg!AQ12,'Woodland Valley'!AQ12,'Lane Street'!AQ12,'Kelly Hollow'!AR12,'Millbrook to BLM FT'!AQ12,'Beaverkill Road to BLM FT'!AQ12,'Alder Lake'!AQ12,'Dry Brook Ridge to Lean-to '!AQ12,'Neversink Hardenburgh Trail'!AQ12,Overlook!AQ12,'Rochester Hollow'!AQ12,'Onteora Lake'!AQ12,'Mt Tremper'!AQ12,'Ashokan HP'!AQ12,Vernooy!AQ12,'Red Hill Dinch Road '!AQ12,Flynn!AQ12,'Frick Pond'!AQ12,'Long Pond'!AQ12,'Cathedral Glen'!AQ12)</f>
        <v>0</v>
      </c>
      <c r="AR11" s="15">
        <f>SUM('Biscuit Brook'!AR12,'Hardenburgh- MH Trail'!AR12,'McKenley Hollow'!AR12,'Mongaup Pond'!AR12,'Rider Hollow'!AR12,Seager!AR12,Denning!AR12,'Fox Hollow'!AR12,'Giant Ledge'!AR12,Peekamoose!AR12,'Slide Mt'!AR12,Wittenberg!AR12,'Woodland Valley'!AR12,'Lane Street'!AR12,'Kelly Hollow'!AS12,'Millbrook to BLM FT'!AR12,'Beaverkill Road to BLM FT'!AR12,'Alder Lake'!AR12,'Dry Brook Ridge to Lean-to '!AR12,'Neversink Hardenburgh Trail'!AR12,Overlook!AR12,'Rochester Hollow'!AR12,'Onteora Lake'!AR12,'Mt Tremper'!AR12,'Ashokan HP'!AR12,Vernooy!AR12,'Red Hill Dinch Road '!AR12,Flynn!AR12,'Frick Pond'!AR12,'Long Pond'!AR12,'Cathedral Glen'!AR12)</f>
        <v>0</v>
      </c>
      <c r="AS11" s="15">
        <f>SUM('Biscuit Brook'!AS12,'Hardenburgh- MH Trail'!AS12,'McKenley Hollow'!AS12,'Mongaup Pond'!AS12,'Rider Hollow'!AS12,Seager!AS12,Denning!AS12,'Fox Hollow'!AS12,'Giant Ledge'!AS12,Peekamoose!AS12,'Slide Mt'!AS12,Wittenberg!AS12,'Woodland Valley'!AS12,'Lane Street'!AS12,'Kelly Hollow'!AT12,'Millbrook to BLM FT'!AS12,'Beaverkill Road to BLM FT'!AS12,'Alder Lake'!AS12,'Dry Brook Ridge to Lean-to '!AS12,'Neversink Hardenburgh Trail'!AS12,Overlook!AS12,'Rochester Hollow'!AS12,'Onteora Lake'!AS12,'Mt Tremper'!AS12,'Ashokan HP'!AS12,Vernooy!AS12,'Red Hill Dinch Road '!AS12,Flynn!AS12,'Frick Pond'!AS12,'Long Pond'!AS12,'Cathedral Glen'!AS12)</f>
        <v>0</v>
      </c>
      <c r="AT11" s="15">
        <f>SUM('Biscuit Brook'!AT12,'Hardenburgh- MH Trail'!AT12,'McKenley Hollow'!AT12,'Mongaup Pond'!AT12,'Rider Hollow'!AT12,Seager!AT12,Denning!AT12,'Fox Hollow'!AT12,'Giant Ledge'!AT12,Peekamoose!AT12,'Slide Mt'!AT12,Wittenberg!AT12,'Woodland Valley'!AT12,'Lane Street'!AT12,'Kelly Hollow'!AU12,'Millbrook to BLM FT'!AT12,'Beaverkill Road to BLM FT'!AT12,'Alder Lake'!AT12,'Dry Brook Ridge to Lean-to '!AT12,'Neversink Hardenburgh Trail'!AT12,Overlook!AT12,'Rochester Hollow'!AT12,'Onteora Lake'!AT12,'Mt Tremper'!AT12,'Ashokan HP'!AT12,Vernooy!AT12,'Red Hill Dinch Road '!AT12,Flynn!AT12,'Frick Pond'!AT12,'Long Pond'!AT12,'Cathedral Glen'!AT12)</f>
        <v>0</v>
      </c>
      <c r="AU11" s="15">
        <f>SUM('Biscuit Brook'!AU12,'Hardenburgh- MH Trail'!AU12,'McKenley Hollow'!AU12,'Mongaup Pond'!AU12,'Rider Hollow'!AU12,Seager!AU12,Denning!AU12,'Fox Hollow'!AU12,'Giant Ledge'!AU12,Peekamoose!AU12,'Slide Mt'!AU12,Wittenberg!AU12,'Woodland Valley'!AU12,'Lane Street'!AU12,'Kelly Hollow'!AV12,'Millbrook to BLM FT'!AU12,'Beaverkill Road to BLM FT'!AU12,'Alder Lake'!AU12,'Dry Brook Ridge to Lean-to '!AU12,'Neversink Hardenburgh Trail'!AU12,Overlook!AU12,'Rochester Hollow'!AU12,'Onteora Lake'!AU12,'Mt Tremper'!AU12,'Ashokan HP'!AU12,Vernooy!AU12,'Red Hill Dinch Road '!AU12,Flynn!AU12,'Frick Pond'!AU12,'Long Pond'!AU12,'Cathedral Glen'!AU12)</f>
        <v>0</v>
      </c>
      <c r="AV11" s="15">
        <f>SUM('Biscuit Brook'!AV12,'Hardenburgh- MH Trail'!AV12,'McKenley Hollow'!AV12,'Mongaup Pond'!AV12,'Rider Hollow'!AV12,Seager!AV12,Denning!AV12,'Fox Hollow'!AV12,'Giant Ledge'!AV12,Peekamoose!AV12,'Slide Mt'!AV12,Wittenberg!AV12,'Woodland Valley'!AV12,'Lane Street'!AV12,'Kelly Hollow'!AW12,'Millbrook to BLM FT'!AV12,'Beaverkill Road to BLM FT'!AV12,'Alder Lake'!AV12,'Dry Brook Ridge to Lean-to '!AV12,'Neversink Hardenburgh Trail'!AV12,Overlook!AV12,'Rochester Hollow'!AV12,'Onteora Lake'!AV12,'Mt Tremper'!AV12,'Ashokan HP'!AV12,Vernooy!AV12,'Red Hill Dinch Road '!AV12,Flynn!AV12,'Frick Pond'!AV12,'Long Pond'!AV12,'Cathedral Glen'!AV12)</f>
        <v>0</v>
      </c>
      <c r="AW11" s="15">
        <f>SUM('Biscuit Brook'!AW12,'Hardenburgh- MH Trail'!AW12,'McKenley Hollow'!AW12,'Mongaup Pond'!AW12,'Rider Hollow'!AW12,Seager!AW12,Denning!AW12,'Fox Hollow'!AW12,'Giant Ledge'!AW12,Peekamoose!AW12,'Slide Mt'!AW12,Wittenberg!AW12,'Woodland Valley'!AW12,'Lane Street'!AW12,'Kelly Hollow'!AX12,'Millbrook to BLM FT'!AW12,'Beaverkill Road to BLM FT'!AW12,'Alder Lake'!AW12,'Dry Brook Ridge to Lean-to '!AW12,'Neversink Hardenburgh Trail'!AW12,Overlook!AW12,'Rochester Hollow'!AW12,'Onteora Lake'!AW12,'Mt Tremper'!AW12,'Ashokan HP'!AW12,Vernooy!AW12,'Red Hill Dinch Road '!AW12,Flynn!AW12,'Frick Pond'!AW12,'Long Pond'!AW12,'Cathedral Glen'!AW12)</f>
        <v>0</v>
      </c>
      <c r="AX11" s="15">
        <f>SUM('Biscuit Brook'!AX12,'Hardenburgh- MH Trail'!AX12,'McKenley Hollow'!AX12,'Mongaup Pond'!AX12,'Rider Hollow'!AX12,Seager!AX12,Denning!AX12,'Fox Hollow'!AX12,'Giant Ledge'!AX12,Peekamoose!AX12,'Slide Mt'!AX12,Wittenberg!AX12,'Woodland Valley'!AX12,'Lane Street'!AX12,'Kelly Hollow'!AY12,'Millbrook to BLM FT'!AX12,'Beaverkill Road to BLM FT'!AX12,'Alder Lake'!AX12,'Dry Brook Ridge to Lean-to '!AX12,'Neversink Hardenburgh Trail'!AX12,Overlook!AX12,'Rochester Hollow'!AX12,'Onteora Lake'!AX12,'Mt Tremper'!AX12,'Ashokan HP'!AX12,Vernooy!AX12,'Red Hill Dinch Road '!AX12,Flynn!AX12,'Frick Pond'!AX12,'Long Pond'!AX12,'Cathedral Glen'!AX12)</f>
        <v>0</v>
      </c>
      <c r="AY11" s="15">
        <f>SUM('Biscuit Brook'!AY12,'Hardenburgh- MH Trail'!AY12,'McKenley Hollow'!AY12,'Mongaup Pond'!AY12,'Rider Hollow'!AY12,Seager!AY12,Denning!AY12,'Fox Hollow'!AY12,'Giant Ledge'!AY12,Peekamoose!AY12,'Slide Mt'!AY12,Wittenberg!AY12,'Woodland Valley'!AY12,'Lane Street'!AY12,'Kelly Hollow'!AZ12,'Millbrook to BLM FT'!AY12,'Beaverkill Road to BLM FT'!AY12,'Alder Lake'!AY12,'Dry Brook Ridge to Lean-to '!AY12,'Neversink Hardenburgh Trail'!AY12,Overlook!AY12,'Rochester Hollow'!AY12,'Onteora Lake'!AY12,'Mt Tremper'!AY12,'Ashokan HP'!AY12,Vernooy!AY12,'Red Hill Dinch Road '!AY12,Flynn!AY12,'Frick Pond'!AY12,'Long Pond'!AY12,'Cathedral Glen'!AY12)</f>
        <v>0</v>
      </c>
      <c r="AZ11" s="15" t="e">
        <f>SUM('Biscuit Brook'!AZ12,'Hardenburgh- MH Trail'!AZ12,'McKenley Hollow'!AZ12,'Mongaup Pond'!AZ12,'Rider Hollow'!AZ12,Seager!AZ12,Denning!AZ12,'Fox Hollow'!AZ12,'Giant Ledge'!AZ12,Peekamoose!AZ12,'Slide Mt'!AZ12,Wittenberg!AZ12,'Woodland Valley'!AZ12,'Lane Street'!AZ12,'Kelly Hollow'!BA12,'Millbrook to BLM FT'!AZ12,'Beaverkill Road to BLM FT'!AZ12,'Alder Lake'!AZ12,'Dry Brook Ridge to Lean-to '!AZ12,'Neversink Hardenburgh Trail'!AZ12,Overlook!AZ12,'Rochester Hollow'!AZ12,'Onteora Lake'!BA12,'Mt Tremper'!AZ12,'Ashokan HP'!AZ12,Vernooy!AZ12,'Red Hill Dinch Road '!AZ12,Flynn!AZ12,'Frick Pond'!AZ12,'Long Pond'!AZ12)</f>
        <v>#N/A</v>
      </c>
      <c r="BA11" s="96" t="e">
        <v>#N/A</v>
      </c>
      <c r="BB11" s="96" t="e">
        <v>#N/A</v>
      </c>
      <c r="BC11" s="96" t="e">
        <v>#N/A</v>
      </c>
      <c r="BD11" s="96" t="e">
        <v>#N/A</v>
      </c>
      <c r="BE11" s="96" t="e">
        <v>#N/A</v>
      </c>
      <c r="BF11" s="96" t="e">
        <v>#N/A</v>
      </c>
      <c r="BG11" s="96" t="e">
        <v>#N/A</v>
      </c>
      <c r="BH11" s="96" t="e">
        <v>#N/A</v>
      </c>
      <c r="BI11" s="96" t="e">
        <v>#N/A</v>
      </c>
      <c r="BJ11" s="96">
        <f t="shared" si="36"/>
        <v>6608.8</v>
      </c>
      <c r="BK11" s="96">
        <f t="shared" si="37"/>
        <v>6640.3</v>
      </c>
      <c r="BL11" s="96">
        <f t="shared" si="38"/>
        <v>6687.2</v>
      </c>
      <c r="BM11" s="96">
        <f t="shared" si="39"/>
        <v>6740.5</v>
      </c>
      <c r="BN11" s="96">
        <f t="shared" si="40"/>
        <v>6604.6</v>
      </c>
      <c r="BO11" s="96">
        <f t="shared" si="41"/>
        <v>6476.6</v>
      </c>
      <c r="BP11" s="96">
        <f t="shared" si="42"/>
        <v>6420.8</v>
      </c>
      <c r="BQ11" s="96">
        <f t="shared" si="43"/>
        <v>6310.3</v>
      </c>
      <c r="BR11" s="96">
        <f t="shared" si="44"/>
        <v>6151</v>
      </c>
      <c r="BS11" s="96">
        <f t="shared" si="45"/>
        <v>6162.5</v>
      </c>
      <c r="BT11" s="96">
        <f t="shared" si="46"/>
        <v>6368.25</v>
      </c>
      <c r="BU11" s="96">
        <f t="shared" si="47"/>
        <v>6467.2857142857147</v>
      </c>
      <c r="BV11" s="96">
        <f t="shared" si="48"/>
        <v>6591.2857142857147</v>
      </c>
      <c r="BW11" s="96">
        <f t="shared" si="49"/>
        <v>6789.7142857142853</v>
      </c>
      <c r="BX11" s="96">
        <f t="shared" si="50"/>
        <v>7453</v>
      </c>
      <c r="BY11" s="96">
        <f t="shared" si="51"/>
        <v>8108</v>
      </c>
      <c r="BZ11" s="96">
        <f t="shared" si="52"/>
        <v>8718.6857142857152</v>
      </c>
      <c r="CA11" s="96">
        <f t="shared" si="53"/>
        <v>9356.971428571429</v>
      </c>
      <c r="CB11" s="96">
        <f t="shared" si="54"/>
        <v>9394.9750000000004</v>
      </c>
      <c r="CC11" s="96">
        <f t="shared" si="55"/>
        <v>9729.4222222222234</v>
      </c>
      <c r="CD11" s="96">
        <f t="shared" si="56"/>
        <v>10113.903703703703</v>
      </c>
      <c r="CE11" s="96">
        <f t="shared" si="57"/>
        <v>9764.0133333333324</v>
      </c>
      <c r="CF11" s="96">
        <f t="shared" si="58"/>
        <v>9788.1133333333328</v>
      </c>
      <c r="CG11" s="96">
        <f t="shared" si="59"/>
        <v>9646.5133333333324</v>
      </c>
      <c r="CH11" s="96">
        <f t="shared" si="60"/>
        <v>9148.3133333333335</v>
      </c>
      <c r="CI11" s="96">
        <f t="shared" si="61"/>
        <v>8327.9133333333339</v>
      </c>
      <c r="CJ11" s="96">
        <f t="shared" si="62"/>
        <v>8073.8148148148157</v>
      </c>
      <c r="CK11" s="96">
        <f t="shared" si="63"/>
        <v>7653.541666666667</v>
      </c>
      <c r="CL11" s="96">
        <f t="shared" si="64"/>
        <v>7366.7619047619055</v>
      </c>
      <c r="CM11" s="96">
        <f t="shared" si="65"/>
        <v>6527.0555555555557</v>
      </c>
      <c r="CN11" s="96">
        <f t="shared" si="66"/>
        <v>5649.2</v>
      </c>
      <c r="CO11" s="96">
        <f t="shared" si="67"/>
        <v>5407.75</v>
      </c>
      <c r="CP11" s="96">
        <f t="shared" si="68"/>
        <v>4732</v>
      </c>
      <c r="CQ11" s="96">
        <f t="shared" si="69"/>
        <v>3705.5</v>
      </c>
      <c r="CR11" s="96">
        <f t="shared" si="70"/>
        <v>1976</v>
      </c>
      <c r="CS11" s="96" t="e">
        <f t="shared" si="71"/>
        <v>#DIV/0!</v>
      </c>
      <c r="CT11" s="96" t="e">
        <f t="shared" si="72"/>
        <v>#DIV/0!</v>
      </c>
      <c r="CU11" s="96" t="e">
        <f t="shared" si="73"/>
        <v>#DIV/0!</v>
      </c>
      <c r="CV11" s="96" t="e">
        <f t="shared" si="74"/>
        <v>#DIV/0!</v>
      </c>
      <c r="CW11" s="96" t="e">
        <f t="shared" si="75"/>
        <v>#DIV/0!</v>
      </c>
      <c r="CX11" s="96" t="e">
        <f t="shared" si="76"/>
        <v>#DIV/0!</v>
      </c>
      <c r="CY11" s="96" t="e">
        <f t="shared" si="77"/>
        <v>#DIV/0!</v>
      </c>
    </row>
    <row r="12" spans="1:103" s="10" customFormat="1" ht="20" customHeight="1" x14ac:dyDescent="0.2">
      <c r="A12" s="9" t="s">
        <v>8</v>
      </c>
      <c r="B12" s="16">
        <f>SUM('Biscuit Brook'!B13,'Hardenburgh- MH Trail'!B13,'McKenley Hollow'!B13,'Mongaup Pond'!B13,'Rider Hollow'!B13,Seager!B13,Denning!B13,'Fox Hollow'!B13,'Giant Ledge'!B13,Peekamoose!B13,'Slide Mt'!B13,Wittenberg!B13,'Woodland Valley'!B13,'Kelly Hollow'!B13,'Millbrook to BLM FT'!B13,'Beaverkill Road to BLM FT'!B13,'Alder Lake'!B13,'Dry Brook Ridge to Lean-to '!B13,'Neversink Hardenburgh Trail'!B13,Overlook!B13,'Rochester Hollow'!B13,'Onteora Lake'!B13,'Mt Tremper'!B13,'Ashokan HP'!B13,Vernooy!B13,'Red Hill Dinch Road '!B13,Flynn!B13,'Frick Pond'!B13,'Long Pond'!B13)</f>
        <v>4330</v>
      </c>
      <c r="C12" s="16">
        <f>SUM('Biscuit Brook'!C13,'Hardenburgh- MH Trail'!C13,'McKenley Hollow'!C13,'Mongaup Pond'!C13,'Rider Hollow'!C13,Seager!C13,Denning!C13,'Fox Hollow'!C13,'Giant Ledge'!C13,Peekamoose!C13,'Slide Mt'!C13,Wittenberg!C13,'Woodland Valley'!C13,'Kelly Hollow'!C13,'Millbrook to BLM FT'!C13,'Beaverkill Road to BLM FT'!C13,'Alder Lake'!C13,'Dry Brook Ridge to Lean-to '!C13,'Neversink Hardenburgh Trail'!C13,Overlook!C13,'Rochester Hollow'!C13,'Onteora Lake'!C13,'Mt Tremper'!C13,'Ashokan HP'!C13,Vernooy!C13,'Red Hill Dinch Road '!C13,Flynn!C13,'Frick Pond'!C13,'Long Pond'!C13)</f>
        <v>3936</v>
      </c>
      <c r="D12" s="16">
        <f>SUM('Biscuit Brook'!D13,'Hardenburgh- MH Trail'!D13,'McKenley Hollow'!D13,'Mongaup Pond'!D13,'Rider Hollow'!D13,Seager!D13,Denning!D13,'Fox Hollow'!D13,'Giant Ledge'!D13,Peekamoose!D13,'Slide Mt'!D13,Wittenberg!D13,'Woodland Valley'!D13,'Kelly Hollow'!D13,'Millbrook to BLM FT'!D13,'Beaverkill Road to BLM FT'!D13,'Alder Lake'!D13,'Dry Brook Ridge to Lean-to '!D13,'Neversink Hardenburgh Trail'!D13,Overlook!D13,'Rochester Hollow'!D13,'Onteora Lake'!D13,'Mt Tremper'!D13,'Ashokan HP'!D13,Vernooy!D13,'Red Hill Dinch Road '!D13,Flynn!D13,'Frick Pond'!D13,'Long Pond'!D13)</f>
        <v>4238</v>
      </c>
      <c r="E12" s="16">
        <f>SUM('Biscuit Brook'!E13,'Hardenburgh- MH Trail'!E13,'McKenley Hollow'!E13,'Mongaup Pond'!E13,'Rider Hollow'!E13,Seager!E13,Denning!E13,'Fox Hollow'!E13,'Giant Ledge'!E13,Peekamoose!E13,'Slide Mt'!E13,Wittenberg!E13,'Woodland Valley'!E13,'Kelly Hollow'!E13,'Millbrook to BLM FT'!E13,'Beaverkill Road to BLM FT'!E13,'Alder Lake'!E13,'Dry Brook Ridge to Lean-to '!E13,'Neversink Hardenburgh Trail'!E13,Overlook!E13,'Rochester Hollow'!E13,'Onteora Lake'!E13,'Mt Tremper'!E13,'Ashokan HP'!E13,Vernooy!E13,'Red Hill Dinch Road '!E13,Flynn!E13,'Frick Pond'!E13,'Long Pond'!E13)</f>
        <v>6150</v>
      </c>
      <c r="F12" s="16">
        <f>SUM('Biscuit Brook'!F13,'Hardenburgh- MH Trail'!F13,'McKenley Hollow'!F13,'Mongaup Pond'!F13,'Rider Hollow'!F13,Seager!F13,Denning!F13,'Fox Hollow'!F13,'Giant Ledge'!F13,Peekamoose!F13,'Slide Mt'!F13,Wittenberg!F13,'Woodland Valley'!F13,'Kelly Hollow'!F13,'Millbrook to BLM FT'!F13,'Beaverkill Road to BLM FT'!F13,'Alder Lake'!F13,'Dry Brook Ridge to Lean-to '!F13,'Neversink Hardenburgh Trail'!F13,Overlook!F13,'Rochester Hollow'!F13,'Onteora Lake'!F13,'Mt Tremper'!F13,'Ashokan HP'!F13,Vernooy!F13,'Red Hill Dinch Road '!F13,Flynn!F13,'Frick Pond'!F13,'Long Pond'!F13)</f>
        <v>5217</v>
      </c>
      <c r="G12" s="16">
        <f>SUM('Biscuit Brook'!G13,'Hardenburgh- MH Trail'!G13,'McKenley Hollow'!G13,'Mongaup Pond'!G13,'Rider Hollow'!G13,Seager!G13,Denning!G13,'Fox Hollow'!G13,'Giant Ledge'!G13,Peekamoose!G13,'Slide Mt'!G13,Wittenberg!G13,'Woodland Valley'!G13,'Kelly Hollow'!G13,'Millbrook to BLM FT'!G13,'Beaverkill Road to BLM FT'!G13,'Alder Lake'!G13,'Dry Brook Ridge to Lean-to '!G13,'Neversink Hardenburgh Trail'!G13,Overlook!G13,'Rochester Hollow'!G13,'Onteora Lake'!G13,'Mt Tremper'!G13,'Ashokan HP'!G13,Vernooy!G13,'Red Hill Dinch Road '!G13,Flynn!G13,'Frick Pond'!G13,'Long Pond'!G13)</f>
        <v>3864</v>
      </c>
      <c r="H12" s="16">
        <f>SUM('Biscuit Brook'!H13,'Hardenburgh- MH Trail'!H13,'McKenley Hollow'!H13,'Mongaup Pond'!H13,'Rider Hollow'!H13,Seager!H13,Denning!H13,'Fox Hollow'!H13,'Giant Ledge'!H13,Peekamoose!H13,'Slide Mt'!H13,Wittenberg!H13,'Woodland Valley'!H13,'Kelly Hollow'!H13,'Millbrook to BLM FT'!H13,'Beaverkill Road to BLM FT'!H13,'Alder Lake'!H13,'Dry Brook Ridge to Lean-to '!H13,'Neversink Hardenburgh Trail'!H13,Overlook!H13,'Rochester Hollow'!H13,'Onteora Lake'!H13,'Mt Tremper'!H13,'Ashokan HP'!H13,Vernooy!H13,'Red Hill Dinch Road '!H13,Flynn!H13,'Frick Pond'!H13,'Long Pond'!H13)</f>
        <v>3775</v>
      </c>
      <c r="I12" s="16">
        <f>SUM('Biscuit Brook'!I13,'Hardenburgh- MH Trail'!I13,'McKenley Hollow'!I13,'Mongaup Pond'!I13,'Rider Hollow'!I13,Seager!I13,Denning!I13,'Fox Hollow'!I13,'Giant Ledge'!I13,Peekamoose!I13,'Slide Mt'!I13,Wittenberg!I13,'Woodland Valley'!I13,'Kelly Hollow'!I13,'Millbrook to BLM FT'!I13,'Beaverkill Road to BLM FT'!I13,'Alder Lake'!I13,'Dry Brook Ridge to Lean-to '!I13,'Neversink Hardenburgh Trail'!I13,Overlook!I13,'Rochester Hollow'!I13,'Onteora Lake'!I13,'Mt Tremper'!I13,'Ashokan HP'!I13,Vernooy!I13,'Red Hill Dinch Road '!I13,Flynn!I13,'Frick Pond'!I13,'Long Pond'!I13)</f>
        <v>5648</v>
      </c>
      <c r="J12" s="16">
        <f>SUM('Biscuit Brook'!J13,'Hardenburgh- MH Trail'!J13,'McKenley Hollow'!J13,'Mongaup Pond'!J13,'Rider Hollow'!J13,Seager!J13,Denning!J13,'Fox Hollow'!J13,'Giant Ledge'!J13,Peekamoose!J13,'Slide Mt'!J13,Wittenberg!J13,'Woodland Valley'!J13,'Kelly Hollow'!J13,'Millbrook to BLM FT'!J13,'Beaverkill Road to BLM FT'!J13,'Alder Lake'!J13,'Dry Brook Ridge to Lean-to '!J13,'Neversink Hardenburgh Trail'!J13,Overlook!J13,'Rochester Hollow'!J13,'Onteora Lake'!J13,'Mt Tremper'!J13,'Ashokan HP'!J13,Vernooy!J13,'Red Hill Dinch Road '!J13,Flynn!J13,'Frick Pond'!J13,'Long Pond'!J13)</f>
        <v>4941</v>
      </c>
      <c r="K12" s="16">
        <f>SUM('Biscuit Brook'!K13,'Hardenburgh- MH Trail'!K13,'McKenley Hollow'!K13,'Mongaup Pond'!K13,'Rider Hollow'!K13,Seager!K13,Denning!K13,'Fox Hollow'!K13,'Giant Ledge'!K13,Peekamoose!K13,'Slide Mt'!K13,Wittenberg!K13,'Woodland Valley'!K13,'Kelly Hollow'!K13,'Millbrook to BLM FT'!K13,'Beaverkill Road to BLM FT'!K13,'Alder Lake'!K13,'Dry Brook Ridge to Lean-to '!K13,'Neversink Hardenburgh Trail'!K13,Overlook!K13,'Rochester Hollow'!K13,'Onteora Lake'!K13,'Mt Tremper'!K13,'Ashokan HP'!K13,Vernooy!K13,'Red Hill Dinch Road '!K13,Flynn!K13,'Frick Pond'!K13,'Long Pond'!K13)</f>
        <v>4506</v>
      </c>
      <c r="L12" s="16">
        <f>SUM('Biscuit Brook'!L13,'Hardenburgh- MH Trail'!L13,'McKenley Hollow'!L13,'Mongaup Pond'!L13,'Rider Hollow'!L13,Seager!L13,Denning!L13,'Fox Hollow'!L13,'Giant Ledge'!L13,Peekamoose!L13,'Slide Mt'!L13,Wittenberg!L13,'Woodland Valley'!L13,'Kelly Hollow'!L13,'Millbrook to BLM FT'!L13,'Beaverkill Road to BLM FT'!L13,'Alder Lake'!L13,'Dry Brook Ridge to Lean-to '!L13,'Neversink Hardenburgh Trail'!L13,Overlook!L13,'Rochester Hollow'!L13,'Onteora Lake'!L13,'Mt Tremper'!L13,'Ashokan HP'!L13,Vernooy!L13,'Red Hill Dinch Road '!L13,Flynn!L13,'Frick Pond'!L13,'Long Pond'!L13)</f>
        <v>5422</v>
      </c>
      <c r="M12" s="16">
        <f>SUM('Biscuit Brook'!M13,'Hardenburgh- MH Trail'!M13,'McKenley Hollow'!M13,'Mongaup Pond'!M13,'Rider Hollow'!M13,Seager!M13,Denning!M13,'Fox Hollow'!M13,'Giant Ledge'!M13,Peekamoose!M13,'Slide Mt'!M13,Wittenberg!M13,'Woodland Valley'!M13,'Kelly Hollow'!M13,'Millbrook to BLM FT'!M13,'Beaverkill Road to BLM FT'!M13,'Alder Lake'!M13,'Dry Brook Ridge to Lean-to '!M13,'Neversink Hardenburgh Trail'!M13,Overlook!M13,'Rochester Hollow'!M13,'Onteora Lake'!M13,'Mt Tremper'!M13,'Ashokan HP'!M13,Vernooy!M13,'Red Hill Dinch Road '!M13,Flynn!M13,'Frick Pond'!M13,'Long Pond'!M13)</f>
        <v>4402</v>
      </c>
      <c r="N12" s="16">
        <f>SUM('Biscuit Brook'!N13,'Hardenburgh- MH Trail'!N13,'McKenley Hollow'!N13,'Mongaup Pond'!N13,'Rider Hollow'!N13,Seager!N13,Denning!N13,'Fox Hollow'!N13,'Giant Ledge'!N13,Peekamoose!N13,'Slide Mt'!N13,Wittenberg!N13,'Woodland Valley'!N13,'Kelly Hollow'!N13,'Millbrook to BLM FT'!N13,'Beaverkill Road to BLM FT'!N13,'Alder Lake'!N13,'Dry Brook Ridge to Lean-to '!N13,'Neversink Hardenburgh Trail'!N13,Overlook!N13,'Rochester Hollow'!N13,'Onteora Lake'!N13,'Mt Tremper'!N13,'Ashokan HP'!N13,Vernooy!N13,'Red Hill Dinch Road '!N13,Flynn!N13,'Frick Pond'!N13,'Long Pond'!N13)</f>
        <v>3415</v>
      </c>
      <c r="O12" s="16">
        <f>SUM('Biscuit Brook'!O13,'Hardenburgh- MH Trail'!O13,'McKenley Hollow'!O13,'Mongaup Pond'!O13,'Rider Hollow'!O13,Seager!O13,Denning!O13,'Fox Hollow'!O13,'Giant Ledge'!O13,Peekamoose!O13,'Slide Mt'!O13,Wittenberg!O13,'Woodland Valley'!O13,'Kelly Hollow'!O13,'Millbrook to BLM FT'!O13,'Beaverkill Road to BLM FT'!O13,'Alder Lake'!O13,'Dry Brook Ridge to Lean-to '!O13,'Neversink Hardenburgh Trail'!O13,Overlook!O13,'Rochester Hollow'!O13,'Onteora Lake'!O13,'Mt Tremper'!O13,'Ashokan HP'!O13,Vernooy!O13,'Red Hill Dinch Road '!O13,Flynn!O13,'Frick Pond'!O13,'Long Pond'!O13)</f>
        <v>5060</v>
      </c>
      <c r="P12" s="16">
        <f>SUM('Biscuit Brook'!P13,'Hardenburgh- MH Trail'!P13,'McKenley Hollow'!P13,'Mongaup Pond'!P13,'Rider Hollow'!P13,Seager!P13,Denning!P13,'Fox Hollow'!P13,'Giant Ledge'!P13,Peekamoose!P13,'Slide Mt'!P13,Wittenberg!P13,'Woodland Valley'!P13,'Kelly Hollow'!P13,'Millbrook to BLM FT'!P13,'Beaverkill Road to BLM FT'!P13,'Alder Lake'!P13,'Dry Brook Ridge to Lean-to '!P13,'Neversink Hardenburgh Trail'!P13,Overlook!P13,'Rochester Hollow'!P13,'Onteora Lake'!P13,'Mt Tremper'!P13,'Ashokan HP'!P13,Vernooy!P13,'Red Hill Dinch Road '!P13,Flynn!P13,'Frick Pond'!P13,'Long Pond'!P13)</f>
        <v>5117</v>
      </c>
      <c r="Q12" s="16">
        <f>SUM('Biscuit Brook'!Q13,'Hardenburgh- MH Trail'!Q13,'McKenley Hollow'!Q13,'Mongaup Pond'!Q13,'Rider Hollow'!Q13,Seager!Q13,Denning!Q13,'Fox Hollow'!Q13,'Giant Ledge'!Q13,Peekamoose!Q13,'Slide Mt'!Q13,Wittenberg!Q13,'Woodland Valley'!Q13,'Kelly Hollow'!Q13,'Millbrook to BLM FT'!Q13,'Beaverkill Road to BLM FT'!Q13,'Alder Lake'!Q13,'Dry Brook Ridge to Lean-to '!Q13,'Neversink Hardenburgh Trail'!Q13,Overlook!Q13,'Rochester Hollow'!Q13,'Onteora Lake'!Q13,'Mt Tremper'!Q13,'Ashokan HP'!Q13,Vernooy!Q13,'Red Hill Dinch Road '!Q13,Flynn!Q13,'Frick Pond'!Q13,'Long Pond'!Q13)</f>
        <v>4653</v>
      </c>
      <c r="R12" s="16">
        <f>SUM('Biscuit Brook'!R13,'Hardenburgh- MH Trail'!R13,'McKenley Hollow'!R13,'Mongaup Pond'!R13,'Rider Hollow'!R13,Seager!R13,Denning!R13,'Fox Hollow'!R13,'Giant Ledge'!R13,Peekamoose!R13,'Slide Mt'!R13,Wittenberg!R13,'Woodland Valley'!R13,'Kelly Hollow'!R13,'Millbrook to BLM FT'!R13,'Beaverkill Road to BLM FT'!R13,'Alder Lake'!R13,'Dry Brook Ridge to Lean-to '!R13,'Neversink Hardenburgh Trail'!R13,Overlook!R13,'Rochester Hollow'!R13,'Onteora Lake'!R13,'Mt Tremper'!R13,'Ashokan HP'!R13,Vernooy!R13,'Red Hill Dinch Road '!R13,Flynn!R13,'Frick Pond'!R13,'Long Pond'!R13)</f>
        <v>6257</v>
      </c>
      <c r="S12" s="16"/>
      <c r="T12" s="16"/>
      <c r="U12" s="17">
        <f>SUM('Biscuit Brook'!U13,'Hardenburgh- MH Trail'!U13,'McKenley Hollow'!U13,'Mongaup Pond'!U13,'Rider Hollow'!U13,Seager!U13,Denning!U13,'Fox Hollow'!U13,'Giant Ledge'!U13,Peekamoose!U13,'Slide Mt'!U13,Wittenberg!U13,'Woodland Valley'!U13,'Kelly Hollow'!U13,'Millbrook to BLM FT'!U13,'Beaverkill Road to BLM FT'!U13,'Alder Lake'!U13,'Dry Brook Ridge to Lean-to '!U13,'Neversink Hardenburgh Trail'!U13,Overlook!U13,'Rochester Hollow'!U13,'Onteora Lake'!U13,'Mt Tremper'!U13,'Ashokan HP'!U13,Vernooy!U13,'Red Hill Dinch Road '!U13,Flynn!U13,'Frick Pond'!U13,'Long Pond'!U13)</f>
        <v>6576</v>
      </c>
      <c r="V12" s="17"/>
      <c r="W12" s="17">
        <f>SUM('Biscuit Brook'!W13,'Hardenburgh- MH Trail'!W13,'McKenley Hollow'!W13,'Mongaup Pond'!W13,'Rider Hollow'!W13,Seager!W13,Denning!W13,'Fox Hollow'!W13,'Giant Ledge'!W13,Peekamoose!W13,'Slide Mt'!W13,Wittenberg!W13,'Woodland Valley'!W13,'Kelly Hollow'!W13,'Millbrook to BLM FT'!W13,'Beaverkill Road to BLM FT'!W13,'Alder Lake'!W13,'Dry Brook Ridge to Lean-to '!W13,'Neversink Hardenburgh Trail'!W13,Overlook!W13,'Rochester Hollow'!W13,'Onteora Lake'!W13,'Mt Tremper'!W13,'Ashokan HP'!W13,Vernooy!W13,'Red Hill Dinch Road '!W13,Flynn!W13,'Frick Pond'!W13,'Long Pond'!W13)</f>
        <v>5673</v>
      </c>
      <c r="X12" s="17">
        <f>SUM('Biscuit Brook'!X13,'Hardenburgh- MH Trail'!X13,'McKenley Hollow'!X13,'Mongaup Pond'!X13,'Rider Hollow'!X13,Seager!X13,Denning!X13,'Fox Hollow'!X13,'Giant Ledge'!X13,Peekamoose!X13,'Slide Mt'!X13,Wittenberg!X13,'Woodland Valley'!X13,'Kelly Hollow'!X13,'Millbrook to BLM FT'!X13,'Beaverkill Road to BLM FT'!X13,'Alder Lake'!X13,'Dry Brook Ridge to Lean-to '!X13,'Neversink Hardenburgh Trail'!X13,Overlook!X13,'Rochester Hollow'!X13,'Onteora Lake'!X13,'Mt Tremper'!X13,'Ashokan HP'!X13,Vernooy!X13,'Red Hill Dinch Road '!X13,Flynn!X13,'Frick Pond'!X13,'Long Pond'!X13)</f>
        <v>5803</v>
      </c>
      <c r="Y12" s="17">
        <f>SUM('Biscuit Brook'!Y13,'Hardenburgh- MH Trail'!Y13,'McKenley Hollow'!Y13,'Mongaup Pond'!Y13,'Rider Hollow'!Y13,Seager!Y13,Denning!Y13,'Fox Hollow'!Y13,'Giant Ledge'!Y13,Peekamoose!Y13,'Slide Mt'!Y13,Wittenberg!Y13,'Woodland Valley'!Y13,'Lane Street'!Y13,'Kelly Hollow'!Y13,'Millbrook to BLM FT'!Y13,'Beaverkill Road to BLM FT'!Y13,'Alder Lake'!Y13,'Dry Brook Ridge to Lean-to '!Y13,'Neversink Hardenburgh Trail'!Y13,Overlook!Y13,'Rochester Hollow'!Y13,'Onteora Lake'!Y13,'Mt Tremper'!Y13,'Ashokan HP'!Y13,Vernooy!Y13,'Red Hill Dinch Road '!Y13,Flynn!Y13,'Frick Pond'!Y13,'Long Pond'!Y13)</f>
        <v>6647</v>
      </c>
      <c r="Z12" s="17">
        <f>SUM('Biscuit Brook'!Z13,'Hardenburgh- MH Trail'!Z13,'McKenley Hollow'!Z13,'Mongaup Pond'!Z13,'Rider Hollow'!Z13,Seager!Z13,Denning!Z13,'Fox Hollow'!Z13,'Giant Ledge'!Z13,Peekamoose!Z13,'Slide Mt'!Z13,Wittenberg!Z13,'Woodland Valley'!Z13,'Lane Street'!Z13,'Kelly Hollow'!Z13,'Millbrook to BLM FT'!Z13,'Beaverkill Road to BLM FT'!Z13,'Alder Lake'!Z13,'Dry Brook Ridge to Lean-to '!Z13,'Neversink Hardenburgh Trail'!Z13,Overlook!Z13,'Rochester Hollow'!Z13,'Onteora Lake'!Z13,'Mt Tremper'!Z13,'Ashokan HP'!Z13,Vernooy!Z13,'Red Hill Dinch Road '!Z13,Flynn!Z13,'Frick Pond'!Z13,'Long Pond'!Z13)</f>
        <v>8356</v>
      </c>
      <c r="AA12" s="17">
        <f>SUM('Biscuit Brook'!AA13,'Hardenburgh- MH Trail'!AA13,'McKenley Hollow'!AA13,'Mongaup Pond'!AA13,'Rider Hollow'!AA13,Seager!AA13,Denning!AA13,'Fox Hollow'!AA13,'Giant Ledge'!AA13,Peekamoose!AA13,'Slide Mt'!AA13,Wittenberg!AA13,'Woodland Valley'!AA13,'Lane Street'!AA13,'Kelly Hollow'!AA13,'Millbrook to BLM FT'!AA13,'Beaverkill Road to BLM FT'!AA13,'Alder Lake'!AA13,'Dry Brook Ridge to Lean-to '!AA13,'Neversink Hardenburgh Trail'!AA13,Overlook!AA13,'Rochester Hollow'!AA13,'Onteora Lake'!AA13,'Mt Tremper'!AA13,'Ashokan HP'!AA13,Vernooy!AA13,'Red Hill Dinch Road '!AA13,Flynn!AA13,'Frick Pond'!AA13,'Long Pond'!AA13)</f>
        <v>8082.7333333333336</v>
      </c>
      <c r="AB12" s="17">
        <f>SUM('Biscuit Brook'!AB13,'Hardenburgh- MH Trail'!AB13,'McKenley Hollow'!AB13,'Mongaup Pond'!AB13,'Rider Hollow'!AB13,Seager!AB13,Denning!AB13,'Fox Hollow'!AB13,'Giant Ledge'!AB13,Peekamoose!AB13,'Slide Mt'!AB13,Wittenberg!AB13,'Woodland Valley'!AB13,'Lane Street'!AB13,'Kelly Hollow'!AB13,'Millbrook to BLM FT'!AB13,'Beaverkill Road to BLM FT'!AB13,'Alder Lake'!AB13,'Dry Brook Ridge to Lean-to '!AB13,'Neversink Hardenburgh Trail'!AB13,Overlook!AB13,'Rochester Hollow'!AB13,'Onteora Lake'!AB13,'Mt Tremper'!AB13,'Ashokan HP'!AB13,Vernooy!AB13,'Red Hill Dinch Road '!AB13,Flynn!AB13,'Frick Pond'!AB13,'Long Pond'!AB13)</f>
        <v>9575</v>
      </c>
      <c r="AC12" s="17">
        <f>SUM('Biscuit Brook'!AC13,'Hardenburgh- MH Trail'!AC13,'McKenley Hollow'!AC13,'Mongaup Pond'!AC13,'Rider Hollow'!AC13,Seager!AC13,Denning!AC13,'Fox Hollow'!AC13,'Giant Ledge'!AC13,Peekamoose!AC13,'Slide Mt'!AC13,Wittenberg!AC13,'Woodland Valley'!AC13,'Lane Street'!AC13,'Kelly Hollow'!AD13,'Millbrook to BLM FT'!AC13,'Beaverkill Road to BLM FT'!AC13,'Alder Lake'!AC13,'Dry Brook Ridge to Lean-to '!AC13,'Neversink Hardenburgh Trail'!AC13,Overlook!AC13,'Rochester Hollow'!AC13,'Onteora Lake'!AC13,'Mt Tremper'!AC13,'Ashokan HP'!AC13,Vernooy!AC13,'Red Hill Dinch Road '!AC13,Flynn!AC13,'Frick Pond'!AC13,'Long Pond'!AC13)</f>
        <v>8788</v>
      </c>
      <c r="AD12" s="17">
        <f>SUM('Biscuit Brook'!AD13,'Hardenburgh- MH Trail'!AD13,'McKenley Hollow'!AD13,'Mongaup Pond'!AD13,'Rider Hollow'!AD13,Seager!AD13,Denning!AD13,'Fox Hollow'!AD13,'Giant Ledge'!AD13,Peekamoose!AD13,'Slide Mt'!AD13,Wittenberg!AD13,'Woodland Valley'!AD13,'Lane Street'!AD13,'Kelly Hollow'!AE13,'Millbrook to BLM FT'!AD13,'Beaverkill Road to BLM FT'!AD13,'Alder Lake'!AD13,'Dry Brook Ridge to Lean-to '!AD13,'Neversink Hardenburgh Trail'!AD13,Overlook!AD13,'Rochester Hollow'!AD13,'Onteora Lake'!AD13,'Mt Tremper'!AD13,'Ashokan HP'!AD13,Vernooy!AD13,'Red Hill Dinch Road '!AD13,Flynn!AD13,'Frick Pond'!AD13,'Long Pond'!AD13)</f>
        <v>10536</v>
      </c>
      <c r="AE12" s="17">
        <f>SUM('Biscuit Brook'!AE13,'Hardenburgh- MH Trail'!AE13,'McKenley Hollow'!AE13,'Mongaup Pond'!AE13,'Rider Hollow'!AE13,Seager!AE13,Denning!AE13,'Fox Hollow'!AE13,'Giant Ledge'!AE13,Peekamoose!AE13,'Slide Mt'!AE13,Wittenberg!AE13,'Woodland Valley'!AE13,'Lane Street'!AE13,'Kelly Hollow'!AF13,'Millbrook to BLM FT'!AE13,'Beaverkill Road to BLM FT'!AE13,'Alder Lake'!AE13,'Dry Brook Ridge to Lean-to '!AE13,'Neversink Hardenburgh Trail'!AE13,Overlook!AE13,'Rochester Hollow'!AE13,'Onteora Lake'!AE13,'Mt Tremper'!AE13,'Ashokan HP'!AE13,Vernooy!AE13,'Red Hill Dinch Road '!AE13,Flynn!AE13,'Frick Pond'!AE13,'Long Pond'!AE13)</f>
        <v>11035.333333333332</v>
      </c>
      <c r="AF12" s="17">
        <f>SUM('Biscuit Brook'!AF13,'Hardenburgh- MH Trail'!AF13,'McKenley Hollow'!AF13,'Mongaup Pond'!AF13,'Rider Hollow'!AF13,Seager!AF13,Denning!AF13,'Fox Hollow'!AF13,'Giant Ledge'!AF13,Peekamoose!AF13,'Slide Mt'!AF13,Wittenberg!AF13,'Woodland Valley'!AF13,'Lane Street'!AF13,'Kelly Hollow'!AG13,'Millbrook to BLM FT'!AF13,'Beaverkill Road to BLM FT'!AF13,'Alder Lake'!AF13,'Dry Brook Ridge to Lean-to '!AF13,'Neversink Hardenburgh Trail'!AF13,Overlook!AF13,'Rochester Hollow'!AF13,'Onteora Lake'!AF13,'Mt Tremper'!AF13,'Ashokan HP'!AF13,Vernooy!AF13,'Red Hill Dinch Road '!AF13,Flynn!AF13,'Frick Pond'!AF13,'Long Pond'!AF13,'Cathedral Glen'!AF13)</f>
        <v>6175.6666666666661</v>
      </c>
      <c r="AG12" s="17">
        <f>SUM('Biscuit Brook'!AG13,'Hardenburgh- MH Trail'!AG13,'McKenley Hollow'!AG13,'Mongaup Pond'!AG13,'Rider Hollow'!AG13,Seager!AG13,Denning!AG13,'Fox Hollow'!AG13,'Giant Ledge'!AG13,Peekamoose!AG13,'Slide Mt'!AG13,Wittenberg!AG13,'Woodland Valley'!AG13,'Lane Street'!AG13,'Kelly Hollow'!AH13,'Millbrook to BLM FT'!AG13,'Beaverkill Road to BLM FT'!AG13,'Alder Lake'!AG13,'Dry Brook Ridge to Lean-to '!AG13,'Neversink Hardenburgh Trail'!AG13,Overlook!AG13,'Rochester Hollow'!AG13,'Onteora Lake'!AG13,'Mt Tremper'!AG13,'Ashokan HP'!AG13,Vernooy!AG13,'Red Hill Dinch Road '!AG13,Flynn!AG13,'Frick Pond'!AG13,'Long Pond'!AG13,'Cathedral Glen'!AG13)</f>
        <v>5874</v>
      </c>
      <c r="AH12" s="17">
        <f>SUM('Biscuit Brook'!AH13,'Hardenburgh- MH Trail'!AH13,'McKenley Hollow'!AH13,'Mongaup Pond'!AH13,'Rider Hollow'!AH13,Seager!AH13,Denning!AH13,'Fox Hollow'!AH13,'Giant Ledge'!AH13,Peekamoose!AH13,'Slide Mt'!AH13,Wittenberg!AH13,'Woodland Valley'!AH13,'Lane Street'!AH13,'Kelly Hollow'!AI13,'Millbrook to BLM FT'!AH13,'Beaverkill Road to BLM FT'!AH13,'Alder Lake'!AH13,'Dry Brook Ridge to Lean-to '!AH13,'Neversink Hardenburgh Trail'!AH13,Overlook!AH13,'Rochester Hollow'!AH13,'Onteora Lake'!AH13,'Mt Tremper'!AH13,'Ashokan HP'!AH13,Vernooy!AH13,'Red Hill Dinch Road '!AH13,Flynn!AH13,'Frick Pond'!AH13,'Long Pond'!AH13,'Cathedral Glen'!AH13)</f>
        <v>4170</v>
      </c>
      <c r="AI12" s="17">
        <f>SUM('Biscuit Brook'!AI13,'Hardenburgh- MH Trail'!AI13,'McKenley Hollow'!AI13,'Mongaup Pond'!AI13,'Rider Hollow'!AI13,Seager!AI13,Denning!AI13,'Fox Hollow'!AI13,'Giant Ledge'!AI13,Peekamoose!AI13,'Slide Mt'!AI13,Wittenberg!AI13,'Woodland Valley'!AI13,'Lane Street'!AI13,'Kelly Hollow'!AJ13,'Millbrook to BLM FT'!AI13,'Beaverkill Road to BLM FT'!AI13,'Alder Lake'!AI13,'Dry Brook Ridge to Lean-to '!AI13,'Neversink Hardenburgh Trail'!AI13,Overlook!AI13,'Rochester Hollow'!AI13,'Onteora Lake'!AI13,'Mt Tremper'!AI13,'Ashokan HP'!AI13,Vernooy!AI13,'Red Hill Dinch Road '!AI13,Flynn!AI13,'Frick Pond'!AI13,'Long Pond'!AI13,'Cathedral Glen'!AI13)</f>
        <v>3832</v>
      </c>
      <c r="AJ12" s="17">
        <f>SUM('Biscuit Brook'!AJ13,'Hardenburgh- MH Trail'!AJ13,'McKenley Hollow'!AJ13,'Mongaup Pond'!AJ13,'Rider Hollow'!AJ13,Seager!AJ13,Denning!AJ13,'Fox Hollow'!AJ13,'Giant Ledge'!AJ13,Peekamoose!AJ13,'Slide Mt'!AJ13,Wittenberg!AJ13,'Woodland Valley'!AJ13,'Lane Street'!AJ13,'Kelly Hollow'!AK13,'Millbrook to BLM FT'!AJ13,'Beaverkill Road to BLM FT'!AJ13,'Alder Lake'!AJ13,'Dry Brook Ridge to Lean-to '!AJ13,'Neversink Hardenburgh Trail'!AJ13,Overlook!AJ13,'Rochester Hollow'!AJ13,'Onteora Lake'!AJ13,'Mt Tremper'!AJ13,'Ashokan HP'!AJ13,Vernooy!AJ13,'Red Hill Dinch Road '!AJ13,Flynn!AJ13,'Frick Pond'!AJ13,'Long Pond'!AJ13,'Cathedral Glen'!AJ13)</f>
        <v>648</v>
      </c>
      <c r="AK12" s="17">
        <f>SUM('Biscuit Brook'!AK13,'Hardenburgh- MH Trail'!AK13,'McKenley Hollow'!AK13,'Mongaup Pond'!AK13,'Rider Hollow'!AK13,Seager!AK13,Denning!AK13,'Fox Hollow'!AK13,'Giant Ledge'!AK13,Peekamoose!AK13,'Slide Mt'!AK13,Wittenberg!AK13,'Woodland Valley'!AK13,'Lane Street'!AK13,'Kelly Hollow'!AL13,'Millbrook to BLM FT'!AK13,'Beaverkill Road to BLM FT'!AK13,'Alder Lake'!AK13,'Dry Brook Ridge to Lean-to '!AK13,'Neversink Hardenburgh Trail'!AK13,Overlook!AK13,'Rochester Hollow'!AK13,'Onteora Lake'!AK13,'Mt Tremper'!AK13,'Ashokan HP'!AK13,Vernooy!AK13,'Red Hill Dinch Road '!AK13,Flynn!AK13,'Frick Pond'!AK13,'Long Pond'!AK13,'Cathedral Glen'!AK13)</f>
        <v>0</v>
      </c>
      <c r="AL12" s="17">
        <f>SUM('Biscuit Brook'!AL13,'Hardenburgh- MH Trail'!AL13,'McKenley Hollow'!AL13,'Mongaup Pond'!AL13,'Rider Hollow'!AL13,Seager!AL13,Denning!AL13,'Fox Hollow'!AL13,'Giant Ledge'!AL13,Peekamoose!AL13,'Slide Mt'!AL13,Wittenberg!AL13,'Woodland Valley'!AL13,'Lane Street'!AL13,'Kelly Hollow'!AM13,'Millbrook to BLM FT'!AL13,'Beaverkill Road to BLM FT'!AL13,'Alder Lake'!AL13,'Dry Brook Ridge to Lean-to '!AL13,'Neversink Hardenburgh Trail'!AL13,Overlook!AL13,'Rochester Hollow'!AL13,'Onteora Lake'!AL13,'Mt Tremper'!AL13,'Ashokan HP'!AL13,Vernooy!AL13,'Red Hill Dinch Road '!AL13,Flynn!AL13,'Frick Pond'!AL13,'Long Pond'!AL13,'Cathedral Glen'!AL13)</f>
        <v>0</v>
      </c>
      <c r="AM12" s="17">
        <f>SUM('Biscuit Brook'!AM13,'Hardenburgh- MH Trail'!AM13,'McKenley Hollow'!AM13,'Mongaup Pond'!AM13,'Rider Hollow'!AM13,Seager!AM13,Denning!AM13,'Fox Hollow'!AM13,'Giant Ledge'!AM13,Peekamoose!AM13,'Slide Mt'!AM13,Wittenberg!AM13,'Woodland Valley'!AM13,'Lane Street'!AM13,'Kelly Hollow'!AN13,'Millbrook to BLM FT'!AM13,'Beaverkill Road to BLM FT'!AM13,'Alder Lake'!AM13,'Dry Brook Ridge to Lean-to '!AM13,'Neversink Hardenburgh Trail'!AM13,Overlook!AM13,'Rochester Hollow'!AM13,'Onteora Lake'!AM13,'Mt Tremper'!AM13,'Ashokan HP'!AM13,Vernooy!AM13,'Red Hill Dinch Road '!AM13,Flynn!AM13,'Frick Pond'!AM13,'Long Pond'!AM13,'Cathedral Glen'!AM13)</f>
        <v>0</v>
      </c>
      <c r="AN12" s="17">
        <f>SUM('Biscuit Brook'!AN13,'Hardenburgh- MH Trail'!AN13,'McKenley Hollow'!AN13,'Mongaup Pond'!AN13,'Rider Hollow'!AN13,Seager!AN13,Denning!AN13,'Fox Hollow'!AN13,'Giant Ledge'!AN13,Peekamoose!AN13,'Slide Mt'!AN13,Wittenberg!AN13,'Woodland Valley'!AN13,'Lane Street'!AN13,'Kelly Hollow'!AO13,'Millbrook to BLM FT'!AN13,'Beaverkill Road to BLM FT'!AN13,'Alder Lake'!AN13,'Dry Brook Ridge to Lean-to '!AN13,'Neversink Hardenburgh Trail'!AN13,Overlook!AN13,'Rochester Hollow'!AN13,'Onteora Lake'!AN13,'Mt Tremper'!AN13,'Ashokan HP'!AN13,Vernooy!AN13,'Red Hill Dinch Road '!AN13,Flynn!AN13,'Frick Pond'!AN13,'Long Pond'!AN13,'Cathedral Glen'!AN13)</f>
        <v>0</v>
      </c>
      <c r="AO12" s="17">
        <f>SUM('Biscuit Brook'!AO13,'Hardenburgh- MH Trail'!AO13,'McKenley Hollow'!AO13,'Mongaup Pond'!AO13,'Rider Hollow'!AO13,Seager!AO13,Denning!AO13,'Fox Hollow'!AO13,'Giant Ledge'!AO13,Peekamoose!AO13,'Slide Mt'!AO13,Wittenberg!AO13,'Woodland Valley'!AO13,'Lane Street'!AO13,'Kelly Hollow'!AP13,'Millbrook to BLM FT'!AO13,'Beaverkill Road to BLM FT'!AO13,'Alder Lake'!AO13,'Dry Brook Ridge to Lean-to '!AO13,'Neversink Hardenburgh Trail'!AO13,Overlook!AO13,'Rochester Hollow'!AO13,'Onteora Lake'!AO13,'Mt Tremper'!AO13,'Ashokan HP'!AO13,Vernooy!AO13,'Red Hill Dinch Road '!AO13,Flynn!AO13,'Frick Pond'!AO13,'Long Pond'!AO13,'Cathedral Glen'!AO13)</f>
        <v>0</v>
      </c>
      <c r="AP12" s="17">
        <f>SUM('Biscuit Brook'!AP13,'Hardenburgh- MH Trail'!AP13,'McKenley Hollow'!AP13,'Mongaup Pond'!AP13,'Rider Hollow'!AP13,Seager!AP13,Denning!AP13,'Fox Hollow'!AP13,'Giant Ledge'!AP13,Peekamoose!AP13,'Slide Mt'!AP13,Wittenberg!AP13,'Woodland Valley'!AP13,'Lane Street'!AP13,'Kelly Hollow'!AQ13,'Millbrook to BLM FT'!AP13,'Beaverkill Road to BLM FT'!AP13,'Alder Lake'!AP13,'Dry Brook Ridge to Lean-to '!AP13,'Neversink Hardenburgh Trail'!AP13,Overlook!AP13,'Rochester Hollow'!AP13,'Onteora Lake'!AP13,'Mt Tremper'!AP13,'Ashokan HP'!AP13,Vernooy!AP13,'Red Hill Dinch Road '!AP13,Flynn!AP13,'Frick Pond'!AP13,'Long Pond'!AP13,'Cathedral Glen'!AP13)</f>
        <v>0</v>
      </c>
      <c r="AQ12" s="17">
        <f>SUM('Biscuit Brook'!AQ13,'Hardenburgh- MH Trail'!AQ13,'McKenley Hollow'!AQ13,'Mongaup Pond'!AQ13,'Rider Hollow'!AQ13,Seager!AQ13,Denning!AQ13,'Fox Hollow'!AQ13,'Giant Ledge'!AQ13,Peekamoose!AQ13,'Slide Mt'!AQ13,Wittenberg!AQ13,'Woodland Valley'!AQ13,'Lane Street'!AQ13,'Kelly Hollow'!AR13,'Millbrook to BLM FT'!AQ13,'Beaverkill Road to BLM FT'!AQ13,'Alder Lake'!AQ13,'Dry Brook Ridge to Lean-to '!AQ13,'Neversink Hardenburgh Trail'!AQ13,Overlook!AQ13,'Rochester Hollow'!AQ13,'Onteora Lake'!AQ13,'Mt Tremper'!AQ13,'Ashokan HP'!AQ13,Vernooy!AQ13,'Red Hill Dinch Road '!AQ13,Flynn!AQ13,'Frick Pond'!AQ13,'Long Pond'!AQ13,'Cathedral Glen'!AQ13)</f>
        <v>0</v>
      </c>
      <c r="AR12" s="17">
        <f>SUM('Biscuit Brook'!AR13,'Hardenburgh- MH Trail'!AR13,'McKenley Hollow'!AR13,'Mongaup Pond'!AR13,'Rider Hollow'!AR13,Seager!AR13,Denning!AR13,'Fox Hollow'!AR13,'Giant Ledge'!AR13,Peekamoose!AR13,'Slide Mt'!AR13,Wittenberg!AR13,'Woodland Valley'!AR13,'Lane Street'!AR13,'Kelly Hollow'!AS13,'Millbrook to BLM FT'!AR13,'Beaverkill Road to BLM FT'!AR13,'Alder Lake'!AR13,'Dry Brook Ridge to Lean-to '!AR13,'Neversink Hardenburgh Trail'!AR13,Overlook!AR13,'Rochester Hollow'!AR13,'Onteora Lake'!AR13,'Mt Tremper'!AR13,'Ashokan HP'!AR13,Vernooy!AR13,'Red Hill Dinch Road '!AR13,Flynn!AR13,'Frick Pond'!AR13,'Long Pond'!AR13,'Cathedral Glen'!AR13)</f>
        <v>0</v>
      </c>
      <c r="AS12" s="17">
        <f>SUM('Biscuit Brook'!AS13,'Hardenburgh- MH Trail'!AS13,'McKenley Hollow'!AS13,'Mongaup Pond'!AS13,'Rider Hollow'!AS13,Seager!AS13,Denning!AS13,'Fox Hollow'!AS13,'Giant Ledge'!AS13,Peekamoose!AS13,'Slide Mt'!AS13,Wittenberg!AS13,'Woodland Valley'!AS13,'Lane Street'!AS13,'Kelly Hollow'!AT13,'Millbrook to BLM FT'!AS13,'Beaverkill Road to BLM FT'!AS13,'Alder Lake'!AS13,'Dry Brook Ridge to Lean-to '!AS13,'Neversink Hardenburgh Trail'!AS13,Overlook!AS13,'Rochester Hollow'!AS13,'Onteora Lake'!AS13,'Mt Tremper'!AS13,'Ashokan HP'!AS13,Vernooy!AS13,'Red Hill Dinch Road '!AS13,Flynn!AS13,'Frick Pond'!AS13,'Long Pond'!AS13,'Cathedral Glen'!AS13)</f>
        <v>0</v>
      </c>
      <c r="AT12" s="17">
        <f>SUM('Biscuit Brook'!AT13,'Hardenburgh- MH Trail'!AT13,'McKenley Hollow'!AT13,'Mongaup Pond'!AT13,'Rider Hollow'!AT13,Seager!AT13,Denning!AT13,'Fox Hollow'!AT13,'Giant Ledge'!AT13,Peekamoose!AT13,'Slide Mt'!AT13,Wittenberg!AT13,'Woodland Valley'!AT13,'Lane Street'!AT13,'Kelly Hollow'!AU13,'Millbrook to BLM FT'!AT13,'Beaverkill Road to BLM FT'!AT13,'Alder Lake'!AT13,'Dry Brook Ridge to Lean-to '!AT13,'Neversink Hardenburgh Trail'!AT13,Overlook!AT13,'Rochester Hollow'!AT13,'Onteora Lake'!AT13,'Mt Tremper'!AT13,'Ashokan HP'!AT13,Vernooy!AT13,'Red Hill Dinch Road '!AT13,Flynn!AT13,'Frick Pond'!AT13,'Long Pond'!AT13,'Cathedral Glen'!AT13)</f>
        <v>0</v>
      </c>
      <c r="AU12" s="17">
        <f>SUM('Biscuit Brook'!AU13,'Hardenburgh- MH Trail'!AU13,'McKenley Hollow'!AU13,'Mongaup Pond'!AU13,'Rider Hollow'!AU13,Seager!AU13,Denning!AU13,'Fox Hollow'!AU13,'Giant Ledge'!AU13,Peekamoose!AU13,'Slide Mt'!AU13,Wittenberg!AU13,'Woodland Valley'!AU13,'Lane Street'!AU13,'Kelly Hollow'!AV13,'Millbrook to BLM FT'!AU13,'Beaverkill Road to BLM FT'!AU13,'Alder Lake'!AU13,'Dry Brook Ridge to Lean-to '!AU13,'Neversink Hardenburgh Trail'!AU13,Overlook!AU13,'Rochester Hollow'!AU13,'Onteora Lake'!AU13,'Mt Tremper'!AU13,'Ashokan HP'!AU13,Vernooy!AU13,'Red Hill Dinch Road '!AU13,Flynn!AU13,'Frick Pond'!AU13,'Long Pond'!AU13,'Cathedral Glen'!AU13)</f>
        <v>0</v>
      </c>
      <c r="AV12" s="17">
        <f>SUM('Biscuit Brook'!AV13,'Hardenburgh- MH Trail'!AV13,'McKenley Hollow'!AV13,'Mongaup Pond'!AV13,'Rider Hollow'!AV13,Seager!AV13,Denning!AV13,'Fox Hollow'!AV13,'Giant Ledge'!AV13,Peekamoose!AV13,'Slide Mt'!AV13,Wittenberg!AV13,'Woodland Valley'!AV13,'Lane Street'!AV13,'Kelly Hollow'!AW13,'Millbrook to BLM FT'!AV13,'Beaverkill Road to BLM FT'!AV13,'Alder Lake'!AV13,'Dry Brook Ridge to Lean-to '!AV13,'Neversink Hardenburgh Trail'!AV13,Overlook!AV13,'Rochester Hollow'!AV13,'Onteora Lake'!AV13,'Mt Tremper'!AV13,'Ashokan HP'!AV13,Vernooy!AV13,'Red Hill Dinch Road '!AV13,Flynn!AV13,'Frick Pond'!AV13,'Long Pond'!AV13,'Cathedral Glen'!AV13)</f>
        <v>0</v>
      </c>
      <c r="AW12" s="17">
        <f>SUM('Biscuit Brook'!AW13,'Hardenburgh- MH Trail'!AW13,'McKenley Hollow'!AW13,'Mongaup Pond'!AW13,'Rider Hollow'!AW13,Seager!AW13,Denning!AW13,'Fox Hollow'!AW13,'Giant Ledge'!AW13,Peekamoose!AW13,'Slide Mt'!AW13,Wittenberg!AW13,'Woodland Valley'!AW13,'Lane Street'!AW13,'Kelly Hollow'!AX13,'Millbrook to BLM FT'!AW13,'Beaverkill Road to BLM FT'!AW13,'Alder Lake'!AW13,'Dry Brook Ridge to Lean-to '!AW13,'Neversink Hardenburgh Trail'!AW13,Overlook!AW13,'Rochester Hollow'!AW13,'Onteora Lake'!AW13,'Mt Tremper'!AW13,'Ashokan HP'!AW13,Vernooy!AW13,'Red Hill Dinch Road '!AW13,Flynn!AW13,'Frick Pond'!AW13,'Long Pond'!AW13,'Cathedral Glen'!AW13)</f>
        <v>0</v>
      </c>
      <c r="AX12" s="17">
        <f>SUM('Biscuit Brook'!AX13,'Hardenburgh- MH Trail'!AX13,'McKenley Hollow'!AX13,'Mongaup Pond'!AX13,'Rider Hollow'!AX13,Seager!AX13,Denning!AX13,'Fox Hollow'!AX13,'Giant Ledge'!AX13,Peekamoose!AX13,'Slide Mt'!AX13,Wittenberg!AX13,'Woodland Valley'!AX13,'Lane Street'!AX13,'Kelly Hollow'!AY13,'Millbrook to BLM FT'!AX13,'Beaverkill Road to BLM FT'!AX13,'Alder Lake'!AX13,'Dry Brook Ridge to Lean-to '!AX13,'Neversink Hardenburgh Trail'!AX13,Overlook!AX13,'Rochester Hollow'!AX13,'Onteora Lake'!AX13,'Mt Tremper'!AX13,'Ashokan HP'!AX13,Vernooy!AX13,'Red Hill Dinch Road '!AX13,Flynn!AX13,'Frick Pond'!AX13,'Long Pond'!AX13,'Cathedral Glen'!AX13)</f>
        <v>0</v>
      </c>
      <c r="AY12" s="17">
        <f>SUM('Biscuit Brook'!AY13,'Hardenburgh- MH Trail'!AY13,'McKenley Hollow'!AY13,'Mongaup Pond'!AY13,'Rider Hollow'!AY13,Seager!AY13,Denning!AY13,'Fox Hollow'!AY13,'Giant Ledge'!AY13,Peekamoose!AY13,'Slide Mt'!AY13,Wittenberg!AY13,'Woodland Valley'!AY13,'Lane Street'!AY13,'Kelly Hollow'!AZ13,'Millbrook to BLM FT'!AY13,'Beaverkill Road to BLM FT'!AY13,'Alder Lake'!AY13,'Dry Brook Ridge to Lean-to '!AY13,'Neversink Hardenburgh Trail'!AY13,Overlook!AY13,'Rochester Hollow'!AY13,'Onteora Lake'!AY13,'Mt Tremper'!AY13,'Ashokan HP'!AY13,Vernooy!AY13,'Red Hill Dinch Road '!AY13,Flynn!AY13,'Frick Pond'!AY13,'Long Pond'!AY13,'Cathedral Glen'!AY13)</f>
        <v>0</v>
      </c>
      <c r="AZ12" s="17" t="e">
        <f>SUM('Biscuit Brook'!AZ13,'Hardenburgh- MH Trail'!AZ13,'McKenley Hollow'!AZ13,'Mongaup Pond'!AZ13,'Rider Hollow'!AZ13,Seager!AZ13,Denning!AZ13,'Fox Hollow'!AZ13,'Giant Ledge'!AZ13,Peekamoose!AZ13,'Slide Mt'!AZ13,Wittenberg!AZ13,'Woodland Valley'!AZ13,'Lane Street'!AZ13,'Kelly Hollow'!BA13,'Millbrook to BLM FT'!AZ13,'Beaverkill Road to BLM FT'!AZ13,'Alder Lake'!AZ13,'Dry Brook Ridge to Lean-to '!AZ13,'Neversink Hardenburgh Trail'!AZ13,Overlook!AZ13,'Rochester Hollow'!AZ13,'Onteora Lake'!BA13,'Mt Tremper'!AZ13,'Ashokan HP'!AZ13,Vernooy!AZ13,'Red Hill Dinch Road '!AZ13,Flynn!AZ13,'Frick Pond'!AZ13,'Long Pond'!AZ13)</f>
        <v>#N/A</v>
      </c>
      <c r="BA12" s="96" t="e">
        <v>#N/A</v>
      </c>
      <c r="BB12" s="96" t="e">
        <v>#N/A</v>
      </c>
      <c r="BC12" s="96" t="e">
        <v>#N/A</v>
      </c>
      <c r="BD12" s="96" t="e">
        <v>#N/A</v>
      </c>
      <c r="BE12" s="96" t="e">
        <v>#N/A</v>
      </c>
      <c r="BF12" s="96" t="e">
        <v>#N/A</v>
      </c>
      <c r="BG12" s="96" t="e">
        <v>#N/A</v>
      </c>
      <c r="BH12" s="96" t="e">
        <v>#N/A</v>
      </c>
      <c r="BI12" s="96" t="e">
        <v>#N/A</v>
      </c>
      <c r="BJ12" s="96">
        <f t="shared" si="36"/>
        <v>4660.5</v>
      </c>
      <c r="BK12" s="96">
        <f t="shared" si="37"/>
        <v>4769.7</v>
      </c>
      <c r="BL12" s="96">
        <f t="shared" si="38"/>
        <v>4816.3</v>
      </c>
      <c r="BM12" s="96">
        <f t="shared" si="39"/>
        <v>4734</v>
      </c>
      <c r="BN12" s="96">
        <f t="shared" si="40"/>
        <v>4625</v>
      </c>
      <c r="BO12" s="96">
        <f t="shared" si="41"/>
        <v>4615</v>
      </c>
      <c r="BP12" s="96">
        <f t="shared" si="42"/>
        <v>4693.8999999999996</v>
      </c>
      <c r="BQ12" s="96">
        <f t="shared" si="43"/>
        <v>4942.1000000000004</v>
      </c>
      <c r="BR12" s="96">
        <f t="shared" si="44"/>
        <v>4863.666666666667</v>
      </c>
      <c r="BS12" s="96">
        <f t="shared" si="45"/>
        <v>4854</v>
      </c>
      <c r="BT12" s="96">
        <f t="shared" si="46"/>
        <v>5112.75</v>
      </c>
      <c r="BU12" s="96">
        <f t="shared" si="47"/>
        <v>5068.5714285714284</v>
      </c>
      <c r="BV12" s="96">
        <f t="shared" si="48"/>
        <v>5250.1428571428569</v>
      </c>
      <c r="BW12" s="96">
        <f t="shared" si="49"/>
        <v>5591.2857142857147</v>
      </c>
      <c r="BX12" s="96">
        <f t="shared" si="50"/>
        <v>5818</v>
      </c>
      <c r="BY12" s="96">
        <f t="shared" si="51"/>
        <v>6280.7142857142853</v>
      </c>
      <c r="BZ12" s="96">
        <f t="shared" si="52"/>
        <v>6770.6761904761906</v>
      </c>
      <c r="CA12" s="96">
        <f t="shared" si="53"/>
        <v>7244.6761904761906</v>
      </c>
      <c r="CB12" s="96">
        <f t="shared" si="54"/>
        <v>7437.5916666666672</v>
      </c>
      <c r="CC12" s="96">
        <f t="shared" si="55"/>
        <v>7781.8592592592595</v>
      </c>
      <c r="CD12" s="96">
        <f t="shared" si="56"/>
        <v>8277.3407407407412</v>
      </c>
      <c r="CE12" s="96">
        <f t="shared" si="57"/>
        <v>8067.1733333333341</v>
      </c>
      <c r="CF12" s="96">
        <f t="shared" si="58"/>
        <v>8087.2733333333335</v>
      </c>
      <c r="CG12" s="96">
        <f t="shared" si="59"/>
        <v>7923.9733333333334</v>
      </c>
      <c r="CH12" s="96">
        <f t="shared" si="60"/>
        <v>7642.4733333333334</v>
      </c>
      <c r="CI12" s="96">
        <f t="shared" si="61"/>
        <v>6871.6733333333341</v>
      </c>
      <c r="CJ12" s="96">
        <f t="shared" si="62"/>
        <v>6737.1111111111104</v>
      </c>
      <c r="CK12" s="96">
        <f t="shared" si="63"/>
        <v>6382.375</v>
      </c>
      <c r="CL12" s="96">
        <f t="shared" si="64"/>
        <v>6038.7142857142853</v>
      </c>
      <c r="CM12" s="96">
        <f t="shared" si="65"/>
        <v>5289.166666666667</v>
      </c>
      <c r="CN12" s="96">
        <f t="shared" si="66"/>
        <v>4139.9333333333325</v>
      </c>
      <c r="CO12" s="96">
        <f t="shared" si="67"/>
        <v>3631</v>
      </c>
      <c r="CP12" s="96">
        <f t="shared" si="68"/>
        <v>2883.3333333333335</v>
      </c>
      <c r="CQ12" s="96">
        <f t="shared" si="69"/>
        <v>2240</v>
      </c>
      <c r="CR12" s="96">
        <f t="shared" si="70"/>
        <v>648</v>
      </c>
      <c r="CS12" s="96" t="e">
        <f t="shared" si="71"/>
        <v>#DIV/0!</v>
      </c>
      <c r="CT12" s="96" t="e">
        <f t="shared" si="72"/>
        <v>#DIV/0!</v>
      </c>
      <c r="CU12" s="96" t="e">
        <f t="shared" si="73"/>
        <v>#DIV/0!</v>
      </c>
      <c r="CV12" s="96" t="e">
        <f t="shared" si="74"/>
        <v>#DIV/0!</v>
      </c>
      <c r="CW12" s="96" t="e">
        <f t="shared" si="75"/>
        <v>#DIV/0!</v>
      </c>
      <c r="CX12" s="96" t="e">
        <f t="shared" si="76"/>
        <v>#DIV/0!</v>
      </c>
      <c r="CY12" s="96" t="e">
        <f t="shared" si="77"/>
        <v>#DIV/0!</v>
      </c>
    </row>
    <row r="13" spans="1:103" ht="20" customHeight="1" x14ac:dyDescent="0.2">
      <c r="A13" s="7" t="s">
        <v>9</v>
      </c>
      <c r="B13" s="14">
        <f>SUM('Biscuit Brook'!B14,'Hardenburgh- MH Trail'!B14,'McKenley Hollow'!B14,'Mongaup Pond'!B14,'Rider Hollow'!B14,Seager!B14,Denning!B14,'Fox Hollow'!B14,'Giant Ledge'!B14,Peekamoose!B14,'Slide Mt'!B14,Wittenberg!B14,'Woodland Valley'!B14,'Kelly Hollow'!B14,'Millbrook to BLM FT'!B14,'Beaverkill Road to BLM FT'!B14,'Alder Lake'!B14,'Dry Brook Ridge to Lean-to '!B14,'Neversink Hardenburgh Trail'!B14,Overlook!B14,'Rochester Hollow'!B14,'Onteora Lake'!B14,'Mt Tremper'!B14,'Ashokan HP'!B14,Vernooy!B14,'Red Hill Dinch Road '!B14,Flynn!B14,'Frick Pond'!B14,'Long Pond'!B14)</f>
        <v>5196</v>
      </c>
      <c r="C13" s="14">
        <f>SUM('Biscuit Brook'!C14,'Hardenburgh- MH Trail'!C14,'McKenley Hollow'!C14,'Mongaup Pond'!C14,'Rider Hollow'!C14,Seager!C14,Denning!C14,'Fox Hollow'!C14,'Giant Ledge'!C14,Peekamoose!C14,'Slide Mt'!C14,Wittenberg!C14,'Woodland Valley'!C14,'Kelly Hollow'!C14,'Millbrook to BLM FT'!C14,'Beaverkill Road to BLM FT'!C14,'Alder Lake'!C14,'Dry Brook Ridge to Lean-to '!C14,'Neversink Hardenburgh Trail'!C14,Overlook!C14,'Rochester Hollow'!C14,'Onteora Lake'!C14,'Mt Tremper'!C14,'Ashokan HP'!C14,Vernooy!C14,'Red Hill Dinch Road '!C14,Flynn!C14,'Frick Pond'!C14,'Long Pond'!C14)</f>
        <v>5650</v>
      </c>
      <c r="D13" s="14">
        <f>SUM('Biscuit Brook'!D14,'Hardenburgh- MH Trail'!D14,'McKenley Hollow'!D14,'Mongaup Pond'!D14,'Rider Hollow'!D14,Seager!D14,Denning!D14,'Fox Hollow'!D14,'Giant Ledge'!D14,Peekamoose!D14,'Slide Mt'!D14,Wittenberg!D14,'Woodland Valley'!D14,'Kelly Hollow'!D14,'Millbrook to BLM FT'!D14,'Beaverkill Road to BLM FT'!D14,'Alder Lake'!D14,'Dry Brook Ridge to Lean-to '!D14,'Neversink Hardenburgh Trail'!D14,Overlook!D14,'Rochester Hollow'!D14,'Onteora Lake'!D14,'Mt Tremper'!D14,'Ashokan HP'!D14,Vernooy!D14,'Red Hill Dinch Road '!D14,Flynn!D14,'Frick Pond'!D14,'Long Pond'!D14)</f>
        <v>6130</v>
      </c>
      <c r="E13" s="14">
        <f>SUM('Biscuit Brook'!E14,'Hardenburgh- MH Trail'!E14,'McKenley Hollow'!E14,'Mongaup Pond'!E14,'Rider Hollow'!E14,Seager!E14,Denning!E14,'Fox Hollow'!E14,'Giant Ledge'!E14,Peekamoose!E14,'Slide Mt'!E14,Wittenberg!E14,'Woodland Valley'!E14,'Kelly Hollow'!E14,'Millbrook to BLM FT'!E14,'Beaverkill Road to BLM FT'!E14,'Alder Lake'!E14,'Dry Brook Ridge to Lean-to '!E14,'Neversink Hardenburgh Trail'!E14,Overlook!E14,'Rochester Hollow'!E14,'Onteora Lake'!E14,'Mt Tremper'!E14,'Ashokan HP'!E14,Vernooy!E14,'Red Hill Dinch Road '!E14,Flynn!E14,'Frick Pond'!E14,'Long Pond'!E14)</f>
        <v>7939</v>
      </c>
      <c r="F13" s="14">
        <f>SUM('Biscuit Brook'!F14,'Hardenburgh- MH Trail'!F14,'McKenley Hollow'!F14,'Mongaup Pond'!F14,'Rider Hollow'!F14,Seager!F14,Denning!F14,'Fox Hollow'!F14,'Giant Ledge'!F14,Peekamoose!F14,'Slide Mt'!F14,Wittenberg!F14,'Woodland Valley'!F14,'Kelly Hollow'!F14,'Millbrook to BLM FT'!F14,'Beaverkill Road to BLM FT'!F14,'Alder Lake'!F14,'Dry Brook Ridge to Lean-to '!F14,'Neversink Hardenburgh Trail'!F14,Overlook!F14,'Rochester Hollow'!F14,'Onteora Lake'!F14,'Mt Tremper'!F14,'Ashokan HP'!F14,Vernooy!F14,'Red Hill Dinch Road '!F14,Flynn!F14,'Frick Pond'!F14,'Long Pond'!F14)</f>
        <v>4310</v>
      </c>
      <c r="G13" s="14">
        <f>SUM('Biscuit Brook'!G14,'Hardenburgh- MH Trail'!G14,'McKenley Hollow'!G14,'Mongaup Pond'!G14,'Rider Hollow'!G14,Seager!G14,Denning!G14,'Fox Hollow'!G14,'Giant Ledge'!G14,Peekamoose!G14,'Slide Mt'!G14,Wittenberg!G14,'Woodland Valley'!G14,'Kelly Hollow'!G14,'Millbrook to BLM FT'!G14,'Beaverkill Road to BLM FT'!G14,'Alder Lake'!G14,'Dry Brook Ridge to Lean-to '!G14,'Neversink Hardenburgh Trail'!G14,Overlook!G14,'Rochester Hollow'!G14,'Onteora Lake'!G14,'Mt Tremper'!G14,'Ashokan HP'!G14,Vernooy!G14,'Red Hill Dinch Road '!G14,Flynn!G14,'Frick Pond'!G14,'Long Pond'!G14)</f>
        <v>5650</v>
      </c>
      <c r="H13" s="14">
        <f>SUM('Biscuit Brook'!H14,'Hardenburgh- MH Trail'!H14,'McKenley Hollow'!H14,'Mongaup Pond'!H14,'Rider Hollow'!H14,Seager!H14,Denning!H14,'Fox Hollow'!H14,'Giant Ledge'!H14,Peekamoose!H14,'Slide Mt'!H14,Wittenberg!H14,'Woodland Valley'!H14,'Kelly Hollow'!H14,'Millbrook to BLM FT'!H14,'Beaverkill Road to BLM FT'!H14,'Alder Lake'!H14,'Dry Brook Ridge to Lean-to '!H14,'Neversink Hardenburgh Trail'!H14,Overlook!H14,'Rochester Hollow'!H14,'Onteora Lake'!H14,'Mt Tremper'!H14,'Ashokan HP'!H14,Vernooy!H14,'Red Hill Dinch Road '!H14,Flynn!H14,'Frick Pond'!H14,'Long Pond'!H14)</f>
        <v>7533</v>
      </c>
      <c r="I13" s="14">
        <f>SUM('Biscuit Brook'!I14,'Hardenburgh- MH Trail'!I14,'McKenley Hollow'!I14,'Mongaup Pond'!I14,'Rider Hollow'!I14,Seager!I14,Denning!I14,'Fox Hollow'!I14,'Giant Ledge'!I14,Peekamoose!I14,'Slide Mt'!I14,Wittenberg!I14,'Woodland Valley'!I14,'Kelly Hollow'!I14,'Millbrook to BLM FT'!I14,'Beaverkill Road to BLM FT'!I14,'Alder Lake'!I14,'Dry Brook Ridge to Lean-to '!I14,'Neversink Hardenburgh Trail'!I14,Overlook!I14,'Rochester Hollow'!I14,'Onteora Lake'!I14,'Mt Tremper'!I14,'Ashokan HP'!I14,Vernooy!I14,'Red Hill Dinch Road '!I14,Flynn!I14,'Frick Pond'!I14,'Long Pond'!I14)</f>
        <v>7154</v>
      </c>
      <c r="J13" s="14">
        <f>SUM('Biscuit Brook'!J14,'Hardenburgh- MH Trail'!J14,'McKenley Hollow'!J14,'Mongaup Pond'!J14,'Rider Hollow'!J14,Seager!J14,Denning!J14,'Fox Hollow'!J14,'Giant Ledge'!J14,Peekamoose!J14,'Slide Mt'!J14,Wittenberg!J14,'Woodland Valley'!J14,'Kelly Hollow'!J14,'Millbrook to BLM FT'!J14,'Beaverkill Road to BLM FT'!J14,'Alder Lake'!J14,'Dry Brook Ridge to Lean-to '!J14,'Neversink Hardenburgh Trail'!J14,Overlook!J14,'Rochester Hollow'!J14,'Onteora Lake'!J14,'Mt Tremper'!J14,'Ashokan HP'!J14,Vernooy!J14,'Red Hill Dinch Road '!J14,Flynn!J14,'Frick Pond'!J14,'Long Pond'!J14)</f>
        <v>5418</v>
      </c>
      <c r="K13" s="14">
        <f>SUM('Biscuit Brook'!K14,'Hardenburgh- MH Trail'!K14,'McKenley Hollow'!K14,'Mongaup Pond'!K14,'Rider Hollow'!K14,Seager!K14,Denning!K14,'Fox Hollow'!K14,'Giant Ledge'!K14,Peekamoose!K14,'Slide Mt'!K14,Wittenberg!K14,'Woodland Valley'!K14,'Kelly Hollow'!K14,'Millbrook to BLM FT'!K14,'Beaverkill Road to BLM FT'!K14,'Alder Lake'!K14,'Dry Brook Ridge to Lean-to '!K14,'Neversink Hardenburgh Trail'!K14,Overlook!K14,'Rochester Hollow'!K14,'Onteora Lake'!K14,'Mt Tremper'!K14,'Ashokan HP'!K14,Vernooy!K14,'Red Hill Dinch Road '!K14,Flynn!K14,'Frick Pond'!K14,'Long Pond'!K14)</f>
        <v>6031</v>
      </c>
      <c r="L13" s="14">
        <f>SUM('Biscuit Brook'!L14,'Hardenburgh- MH Trail'!L14,'McKenley Hollow'!L14,'Mongaup Pond'!L14,'Rider Hollow'!L14,Seager!L14,Denning!L14,'Fox Hollow'!L14,'Giant Ledge'!L14,Peekamoose!L14,'Slide Mt'!L14,Wittenberg!L14,'Woodland Valley'!L14,'Kelly Hollow'!L14,'Millbrook to BLM FT'!L14,'Beaverkill Road to BLM FT'!L14,'Alder Lake'!L14,'Dry Brook Ridge to Lean-to '!L14,'Neversink Hardenburgh Trail'!L14,Overlook!L14,'Rochester Hollow'!L14,'Onteora Lake'!L14,'Mt Tremper'!L14,'Ashokan HP'!L14,Vernooy!L14,'Red Hill Dinch Road '!L14,Flynn!L14,'Frick Pond'!L14,'Long Pond'!L14)</f>
        <v>6054</v>
      </c>
      <c r="M13" s="14">
        <f>SUM('Biscuit Brook'!M14,'Hardenburgh- MH Trail'!M14,'McKenley Hollow'!M14,'Mongaup Pond'!M14,'Rider Hollow'!M14,Seager!M14,Denning!M14,'Fox Hollow'!M14,'Giant Ledge'!M14,Peekamoose!M14,'Slide Mt'!M14,Wittenberg!M14,'Woodland Valley'!M14,'Kelly Hollow'!M14,'Millbrook to BLM FT'!M14,'Beaverkill Road to BLM FT'!M14,'Alder Lake'!M14,'Dry Brook Ridge to Lean-to '!M14,'Neversink Hardenburgh Trail'!M14,Overlook!M14,'Rochester Hollow'!M14,'Onteora Lake'!M14,'Mt Tremper'!M14,'Ashokan HP'!M14,Vernooy!M14,'Red Hill Dinch Road '!M14,Flynn!M14,'Frick Pond'!M14,'Long Pond'!M14)</f>
        <v>4273</v>
      </c>
      <c r="N13" s="14">
        <f>SUM('Biscuit Brook'!N14,'Hardenburgh- MH Trail'!N14,'McKenley Hollow'!N14,'Mongaup Pond'!N14,'Rider Hollow'!N14,Seager!N14,Denning!N14,'Fox Hollow'!N14,'Giant Ledge'!N14,Peekamoose!N14,'Slide Mt'!N14,Wittenberg!N14,'Woodland Valley'!N14,'Kelly Hollow'!N14,'Millbrook to BLM FT'!N14,'Beaverkill Road to BLM FT'!N14,'Alder Lake'!N14,'Dry Brook Ridge to Lean-to '!N14,'Neversink Hardenburgh Trail'!N14,Overlook!N14,'Rochester Hollow'!N14,'Onteora Lake'!N14,'Mt Tremper'!N14,'Ashokan HP'!N14,Vernooy!N14,'Red Hill Dinch Road '!N14,Flynn!N14,'Frick Pond'!N14,'Long Pond'!N14)</f>
        <v>5691</v>
      </c>
      <c r="O13" s="14">
        <f>SUM('Biscuit Brook'!O14,'Hardenburgh- MH Trail'!O14,'McKenley Hollow'!O14,'Mongaup Pond'!O14,'Rider Hollow'!O14,Seager!O14,Denning!O14,'Fox Hollow'!O14,'Giant Ledge'!O14,Peekamoose!O14,'Slide Mt'!O14,Wittenberg!O14,'Woodland Valley'!O14,'Kelly Hollow'!O14,'Millbrook to BLM FT'!O14,'Beaverkill Road to BLM FT'!O14,'Alder Lake'!O14,'Dry Brook Ridge to Lean-to '!O14,'Neversink Hardenburgh Trail'!O14,Overlook!O14,'Rochester Hollow'!O14,'Onteora Lake'!O14,'Mt Tremper'!O14,'Ashokan HP'!O14,Vernooy!O14,'Red Hill Dinch Road '!O14,Flynn!O14,'Frick Pond'!O14,'Long Pond'!O14)</f>
        <v>6119</v>
      </c>
      <c r="P13" s="14">
        <f>SUM('Biscuit Brook'!P14,'Hardenburgh- MH Trail'!P14,'McKenley Hollow'!P14,'Mongaup Pond'!P14,'Rider Hollow'!P14,Seager!P14,Denning!P14,'Fox Hollow'!P14,'Giant Ledge'!P14,Peekamoose!P14,'Slide Mt'!P14,Wittenberg!P14,'Woodland Valley'!P14,'Kelly Hollow'!P14,'Millbrook to BLM FT'!P14,'Beaverkill Road to BLM FT'!P14,'Alder Lake'!P14,'Dry Brook Ridge to Lean-to '!P14,'Neversink Hardenburgh Trail'!P14,Overlook!P14,'Rochester Hollow'!P14,'Onteora Lake'!P14,'Mt Tremper'!P14,'Ashokan HP'!P14,Vernooy!P14,'Red Hill Dinch Road '!P14,Flynn!P14,'Frick Pond'!P14,'Long Pond'!P14)</f>
        <v>4062</v>
      </c>
      <c r="Q13" s="14">
        <f>SUM('Biscuit Brook'!Q14,'Hardenburgh- MH Trail'!Q14,'McKenley Hollow'!Q14,'Mongaup Pond'!Q14,'Rider Hollow'!Q14,Seager!Q14,Denning!Q14,'Fox Hollow'!Q14,'Giant Ledge'!Q14,Peekamoose!Q14,'Slide Mt'!Q14,Wittenberg!Q14,'Woodland Valley'!Q14,'Kelly Hollow'!Q14,'Millbrook to BLM FT'!Q14,'Beaverkill Road to BLM FT'!Q14,'Alder Lake'!Q14,'Dry Brook Ridge to Lean-to '!Q14,'Neversink Hardenburgh Trail'!Q14,Overlook!Q14,'Rochester Hollow'!Q14,'Onteora Lake'!Q14,'Mt Tremper'!Q14,'Ashokan HP'!Q14,Vernooy!Q14,'Red Hill Dinch Road '!Q14,Flynn!Q14,'Frick Pond'!Q14,'Long Pond'!Q14)</f>
        <v>6370</v>
      </c>
      <c r="R13" s="14">
        <f>SUM('Biscuit Brook'!R14,'Hardenburgh- MH Trail'!R14,'McKenley Hollow'!R14,'Mongaup Pond'!R14,'Rider Hollow'!R14,Seager!R14,Denning!R14,'Fox Hollow'!R14,'Giant Ledge'!R14,Peekamoose!R14,'Slide Mt'!R14,Wittenberg!R14,'Woodland Valley'!R14,'Kelly Hollow'!R14,'Millbrook to BLM FT'!R14,'Beaverkill Road to BLM FT'!R14,'Alder Lake'!R14,'Dry Brook Ridge to Lean-to '!R14,'Neversink Hardenburgh Trail'!R14,Overlook!R14,'Rochester Hollow'!R14,'Onteora Lake'!R14,'Mt Tremper'!R14,'Ashokan HP'!R14,Vernooy!R14,'Red Hill Dinch Road '!R14,Flynn!R14,'Frick Pond'!R14,'Long Pond'!R14)</f>
        <v>5719</v>
      </c>
      <c r="S13" s="14"/>
      <c r="T13" s="14"/>
      <c r="U13" s="15">
        <f>SUM('Biscuit Brook'!U14,'Hardenburgh- MH Trail'!U14,'McKenley Hollow'!U14,'Mongaup Pond'!U14,'Rider Hollow'!U14,Seager!U14,Denning!U14,'Fox Hollow'!U14,'Giant Ledge'!U14,Peekamoose!U14,'Slide Mt'!U14,Wittenberg!U14,'Woodland Valley'!U14,'Kelly Hollow'!U14,'Millbrook to BLM FT'!U14,'Beaverkill Road to BLM FT'!U14,'Alder Lake'!U14,'Dry Brook Ridge to Lean-to '!U14,'Neversink Hardenburgh Trail'!U14,Overlook!U14,'Rochester Hollow'!U14,'Onteora Lake'!U14,'Mt Tremper'!U14,'Ashokan HP'!U14,Vernooy!U14,'Red Hill Dinch Road '!U14,Flynn!U14,'Frick Pond'!U14,'Long Pond'!U14)</f>
        <v>8118</v>
      </c>
      <c r="V13" s="15"/>
      <c r="W13" s="15">
        <f>SUM('Biscuit Brook'!W14,'Hardenburgh- MH Trail'!W14,'McKenley Hollow'!W14,'Mongaup Pond'!W14,'Rider Hollow'!W14,Seager!W14,Denning!W14,'Fox Hollow'!W14,'Giant Ledge'!W14,Peekamoose!W14,'Slide Mt'!W14,Wittenberg!W14,'Woodland Valley'!W14,'Kelly Hollow'!W14,'Millbrook to BLM FT'!W14,'Beaverkill Road to BLM FT'!W14,'Alder Lake'!W14,'Dry Brook Ridge to Lean-to '!W14,'Neversink Hardenburgh Trail'!W14,Overlook!W14,'Rochester Hollow'!W14,'Onteora Lake'!W14,'Mt Tremper'!W14,'Ashokan HP'!W14,Vernooy!W14,'Red Hill Dinch Road '!W14,Flynn!W14,'Frick Pond'!W14,'Long Pond'!W14)</f>
        <v>4948</v>
      </c>
      <c r="X13" s="15">
        <f>SUM('Biscuit Brook'!X14,'Hardenburgh- MH Trail'!X14,'McKenley Hollow'!X14,'Mongaup Pond'!X14,'Rider Hollow'!X14,Seager!X14,Denning!X14,'Fox Hollow'!X14,'Giant Ledge'!X14,Peekamoose!X14,'Slide Mt'!X14,Wittenberg!X14,'Woodland Valley'!X14,'Kelly Hollow'!X14,'Millbrook to BLM FT'!X14,'Beaverkill Road to BLM FT'!X14,'Alder Lake'!X14,'Dry Brook Ridge to Lean-to '!X14,'Neversink Hardenburgh Trail'!X14,Overlook!X14,'Rochester Hollow'!X14,'Onteora Lake'!X14,'Mt Tremper'!X14,'Ashokan HP'!X14,Vernooy!X14,'Red Hill Dinch Road '!X14,Flynn!X14,'Frick Pond'!X14,'Long Pond'!X14)</f>
        <v>6205</v>
      </c>
      <c r="Y13" s="15">
        <f>SUM('Biscuit Brook'!Y14,'Hardenburgh- MH Trail'!Y14,'McKenley Hollow'!Y14,'Mongaup Pond'!Y14,'Rider Hollow'!Y14,Seager!Y14,Denning!Y14,'Fox Hollow'!Y14,'Giant Ledge'!Y14,Peekamoose!Y14,'Slide Mt'!Y14,Wittenberg!Y14,'Woodland Valley'!Y14,'Lane Street'!Y14,'Kelly Hollow'!Y14,'Millbrook to BLM FT'!Y14,'Beaverkill Road to BLM FT'!Y14,'Alder Lake'!Y14,'Dry Brook Ridge to Lean-to '!Y14,'Neversink Hardenburgh Trail'!Y14,Overlook!Y14,'Rochester Hollow'!Y14,'Onteora Lake'!Y14,'Mt Tremper'!Y14,'Ashokan HP'!Y14,Vernooy!Y14,'Red Hill Dinch Road '!Y14,Flynn!Y14,'Frick Pond'!Y14,'Long Pond'!Y14)</f>
        <v>7514</v>
      </c>
      <c r="Z13" s="15">
        <f>SUM('Biscuit Brook'!Z14,'Hardenburgh- MH Trail'!Z14,'McKenley Hollow'!Z14,'Mongaup Pond'!Z14,'Rider Hollow'!Z14,Seager!Z14,Denning!Z14,'Fox Hollow'!Z14,'Giant Ledge'!Z14,Peekamoose!Z14,'Slide Mt'!Z14,Wittenberg!Z14,'Woodland Valley'!Z14,'Lane Street'!Z14,'Kelly Hollow'!Z14,'Millbrook to BLM FT'!Z14,'Beaverkill Road to BLM FT'!Z14,'Alder Lake'!Z14,'Dry Brook Ridge to Lean-to '!Z14,'Neversink Hardenburgh Trail'!Z14,Overlook!Z14,'Rochester Hollow'!Z14,'Onteora Lake'!Z14,'Mt Tremper'!Z14,'Ashokan HP'!Z14,Vernooy!Z14,'Red Hill Dinch Road '!Z14,Flynn!Z14,'Frick Pond'!Z14,'Long Pond'!Z14)</f>
        <v>9406</v>
      </c>
      <c r="AA13" s="15">
        <f>SUM('Biscuit Brook'!AA14,'Hardenburgh- MH Trail'!AA14,'McKenley Hollow'!AA14,'Mongaup Pond'!AA14,'Rider Hollow'!AA14,Seager!AA14,Denning!AA14,'Fox Hollow'!AA14,'Giant Ledge'!AA14,Peekamoose!AA14,'Slide Mt'!AA14,Wittenberg!AA14,'Woodland Valley'!AA14,'Lane Street'!AA14,'Kelly Hollow'!AA14,'Millbrook to BLM FT'!AA14,'Beaverkill Road to BLM FT'!AA14,'Alder Lake'!AA14,'Dry Brook Ridge to Lean-to '!AA14,'Neversink Hardenburgh Trail'!AA14,Overlook!AA14,'Rochester Hollow'!AA14,'Onteora Lake'!AA14,'Mt Tremper'!AA14,'Ashokan HP'!AA14,Vernooy!AA14,'Red Hill Dinch Road '!AA14,Flynn!AA14,'Frick Pond'!AA14,'Long Pond'!AA14)</f>
        <v>9219.0666666666657</v>
      </c>
      <c r="AB13" s="15">
        <f>SUM('Biscuit Brook'!AB14,'Hardenburgh- MH Trail'!AB14,'McKenley Hollow'!AB14,'Mongaup Pond'!AB14,'Rider Hollow'!AB14,Seager!AB14,Denning!AB14,'Fox Hollow'!AB14,'Giant Ledge'!AB14,Peekamoose!AB14,'Slide Mt'!AB14,Wittenberg!AB14,'Woodland Valley'!AB14,'Lane Street'!AB14,'Kelly Hollow'!AB14,'Millbrook to BLM FT'!AB14,'Beaverkill Road to BLM FT'!AB14,'Alder Lake'!AB14,'Dry Brook Ridge to Lean-to '!AB14,'Neversink Hardenburgh Trail'!AB14,Overlook!AB14,'Rochester Hollow'!AB14,'Onteora Lake'!AB14,'Mt Tremper'!AB14,'Ashokan HP'!AB14,Vernooy!AB14,'Red Hill Dinch Road '!AB14,Flynn!AB14,'Frick Pond'!AB14,'Long Pond'!AB14)</f>
        <v>11034</v>
      </c>
      <c r="AC13" s="15">
        <f>SUM('Biscuit Brook'!AC14,'Hardenburgh- MH Trail'!AC14,'McKenley Hollow'!AC14,'Mongaup Pond'!AC14,'Rider Hollow'!AC14,Seager!AC14,Denning!AC14,'Fox Hollow'!AC14,'Giant Ledge'!AC14,Peekamoose!AC14,'Slide Mt'!AC14,Wittenberg!AC14,'Woodland Valley'!AC14,'Lane Street'!AC14,'Kelly Hollow'!AD14,'Millbrook to BLM FT'!AC14,'Beaverkill Road to BLM FT'!AC14,'Alder Lake'!AC14,'Dry Brook Ridge to Lean-to '!AC14,'Neversink Hardenburgh Trail'!AC14,Overlook!AC14,'Rochester Hollow'!AC14,'Onteora Lake'!AC14,'Mt Tremper'!AC14,'Ashokan HP'!AC14,Vernooy!AC14,'Red Hill Dinch Road '!AC14,Flynn!AC14,'Frick Pond'!AC14,'Long Pond'!AC14)</f>
        <v>7949</v>
      </c>
      <c r="AD13" s="15">
        <f>SUM('Biscuit Brook'!AD14,'Hardenburgh- MH Trail'!AD14,'McKenley Hollow'!AD14,'Mongaup Pond'!AD14,'Rider Hollow'!AD14,Seager!AD14,Denning!AD14,'Fox Hollow'!AD14,'Giant Ledge'!AD14,Peekamoose!AD14,'Slide Mt'!AD14,Wittenberg!AD14,'Woodland Valley'!AD14,'Lane Street'!AD14,'Kelly Hollow'!AE14,'Millbrook to BLM FT'!AD14,'Beaverkill Road to BLM FT'!AD14,'Alder Lake'!AD14,'Dry Brook Ridge to Lean-to '!AD14,'Neversink Hardenburgh Trail'!AD14,Overlook!AD14,'Rochester Hollow'!AD14,'Onteora Lake'!AD14,'Mt Tremper'!AD14,'Ashokan HP'!AD14,Vernooy!AD14,'Red Hill Dinch Road '!AD14,Flynn!AD14,'Frick Pond'!AD14,'Long Pond'!AD14)</f>
        <v>10104</v>
      </c>
      <c r="AE13" s="15">
        <f>SUM('Biscuit Brook'!AE14,'Hardenburgh- MH Trail'!AE14,'McKenley Hollow'!AE14,'Mongaup Pond'!AE14,'Rider Hollow'!AE14,Seager!AE14,Denning!AE14,'Fox Hollow'!AE14,'Giant Ledge'!AE14,Peekamoose!AE14,'Slide Mt'!AE14,Wittenberg!AE14,'Woodland Valley'!AE14,'Lane Street'!AE14,'Kelly Hollow'!AF14,'Millbrook to BLM FT'!AE14,'Beaverkill Road to BLM FT'!AE14,'Alder Lake'!AE14,'Dry Brook Ridge to Lean-to '!AE14,'Neversink Hardenburgh Trail'!AE14,Overlook!AE14,'Rochester Hollow'!AE14,'Onteora Lake'!AE14,'Mt Tremper'!AE14,'Ashokan HP'!AE14,Vernooy!AE14,'Red Hill Dinch Road '!AE14,Flynn!AE14,'Frick Pond'!AE14,'Long Pond'!AE14)</f>
        <v>11679.666666666666</v>
      </c>
      <c r="AF13" s="15">
        <f>SUM('Biscuit Brook'!AF14,'Hardenburgh- MH Trail'!AF14,'McKenley Hollow'!AF14,'Mongaup Pond'!AF14,'Rider Hollow'!AF14,Seager!AF14,Denning!AF14,'Fox Hollow'!AF14,'Giant Ledge'!AF14,Peekamoose!AF14,'Slide Mt'!AF14,Wittenberg!AF14,'Woodland Valley'!AF14,'Lane Street'!AF14,'Kelly Hollow'!AG14,'Millbrook to BLM FT'!AF14,'Beaverkill Road to BLM FT'!AF14,'Alder Lake'!AF14,'Dry Brook Ridge to Lean-to '!AF14,'Neversink Hardenburgh Trail'!AF14,Overlook!AF14,'Rochester Hollow'!AF14,'Onteora Lake'!AF14,'Mt Tremper'!AF14,'Ashokan HP'!AF14,Vernooy!AF14,'Red Hill Dinch Road '!AF14,Flynn!AF14,'Frick Pond'!AF14,'Long Pond'!AF14,'Cathedral Glen'!AF14)</f>
        <v>10704.333333333332</v>
      </c>
      <c r="AG13" s="15">
        <f>SUM('Biscuit Brook'!AG14,'Hardenburgh- MH Trail'!AG14,'McKenley Hollow'!AG14,'Mongaup Pond'!AG14,'Rider Hollow'!AG14,Seager!AG14,Denning!AG14,'Fox Hollow'!AG14,'Giant Ledge'!AG14,Peekamoose!AG14,'Slide Mt'!AG14,Wittenberg!AG14,'Woodland Valley'!AG14,'Lane Street'!AG14,'Kelly Hollow'!AH14,'Millbrook to BLM FT'!AG14,'Beaverkill Road to BLM FT'!AG14,'Alder Lake'!AG14,'Dry Brook Ridge to Lean-to '!AG14,'Neversink Hardenburgh Trail'!AG14,Overlook!AG14,'Rochester Hollow'!AG14,'Onteora Lake'!AG14,'Mt Tremper'!AG14,'Ashokan HP'!AG14,Vernooy!AG14,'Red Hill Dinch Road '!AG14,Flynn!AG14,'Frick Pond'!AG14,'Long Pond'!AG14,'Cathedral Glen'!AG14)</f>
        <v>7906</v>
      </c>
      <c r="AH13" s="15">
        <f>SUM('Biscuit Brook'!AH14,'Hardenburgh- MH Trail'!AH14,'McKenley Hollow'!AH14,'Mongaup Pond'!AH14,'Rider Hollow'!AH14,Seager!AH14,Denning!AH14,'Fox Hollow'!AH14,'Giant Ledge'!AH14,Peekamoose!AH14,'Slide Mt'!AH14,Wittenberg!AH14,'Woodland Valley'!AH14,'Lane Street'!AH14,'Kelly Hollow'!AI14,'Millbrook to BLM FT'!AH14,'Beaverkill Road to BLM FT'!AH14,'Alder Lake'!AH14,'Dry Brook Ridge to Lean-to '!AH14,'Neversink Hardenburgh Trail'!AH14,Overlook!AH14,'Rochester Hollow'!AH14,'Onteora Lake'!AH14,'Mt Tremper'!AH14,'Ashokan HP'!AH14,Vernooy!AH14,'Red Hill Dinch Road '!AH14,Flynn!AH14,'Frick Pond'!AH14,'Long Pond'!AH14,'Cathedral Glen'!AH14)</f>
        <v>5068</v>
      </c>
      <c r="AI13" s="15">
        <f>SUM('Biscuit Brook'!AI14,'Hardenburgh- MH Trail'!AI14,'McKenley Hollow'!AI14,'Mongaup Pond'!AI14,'Rider Hollow'!AI14,Seager!AI14,Denning!AI14,'Fox Hollow'!AI14,'Giant Ledge'!AI14,Peekamoose!AI14,'Slide Mt'!AI14,Wittenberg!AI14,'Woodland Valley'!AI14,'Lane Street'!AI14,'Kelly Hollow'!AJ14,'Millbrook to BLM FT'!AI14,'Beaverkill Road to BLM FT'!AI14,'Alder Lake'!AI14,'Dry Brook Ridge to Lean-to '!AI14,'Neversink Hardenburgh Trail'!AI14,Overlook!AI14,'Rochester Hollow'!AI14,'Onteora Lake'!AI14,'Mt Tremper'!AI14,'Ashokan HP'!AI14,Vernooy!AI14,'Red Hill Dinch Road '!AI14,Flynn!AI14,'Frick Pond'!AI14,'Long Pond'!AI14,'Cathedral Glen'!AI14)</f>
        <v>5198</v>
      </c>
      <c r="AJ13" s="15">
        <f>SUM('Biscuit Brook'!AJ14,'Hardenburgh- MH Trail'!AJ14,'McKenley Hollow'!AJ14,'Mongaup Pond'!AJ14,'Rider Hollow'!AJ14,Seager!AJ14,Denning!AJ14,'Fox Hollow'!AJ14,'Giant Ledge'!AJ14,Peekamoose!AJ14,'Slide Mt'!AJ14,Wittenberg!AJ14,'Woodland Valley'!AJ14,'Lane Street'!AJ14,'Kelly Hollow'!AK14,'Millbrook to BLM FT'!AJ14,'Beaverkill Road to BLM FT'!AJ14,'Alder Lake'!AJ14,'Dry Brook Ridge to Lean-to '!AJ14,'Neversink Hardenburgh Trail'!AJ14,Overlook!AJ14,'Rochester Hollow'!AJ14,'Onteora Lake'!AJ14,'Mt Tremper'!AJ14,'Ashokan HP'!AJ14,Vernooy!AJ14,'Red Hill Dinch Road '!AJ14,Flynn!AJ14,'Frick Pond'!AJ14,'Long Pond'!AJ14,'Cathedral Glen'!AJ14)</f>
        <v>710</v>
      </c>
      <c r="AK13" s="15">
        <f>SUM('Biscuit Brook'!AK14,'Hardenburgh- MH Trail'!AK14,'McKenley Hollow'!AK14,'Mongaup Pond'!AK14,'Rider Hollow'!AK14,Seager!AK14,Denning!AK14,'Fox Hollow'!AK14,'Giant Ledge'!AK14,Peekamoose!AK14,'Slide Mt'!AK14,Wittenberg!AK14,'Woodland Valley'!AK14,'Lane Street'!AK14,'Kelly Hollow'!AL14,'Millbrook to BLM FT'!AK14,'Beaverkill Road to BLM FT'!AK14,'Alder Lake'!AK14,'Dry Brook Ridge to Lean-to '!AK14,'Neversink Hardenburgh Trail'!AK14,Overlook!AK14,'Rochester Hollow'!AK14,'Onteora Lake'!AK14,'Mt Tremper'!AK14,'Ashokan HP'!AK14,Vernooy!AK14,'Red Hill Dinch Road '!AK14,Flynn!AK14,'Frick Pond'!AK14,'Long Pond'!AK14,'Cathedral Glen'!AK14)</f>
        <v>0</v>
      </c>
      <c r="AL13" s="15">
        <f>SUM('Biscuit Brook'!AL14,'Hardenburgh- MH Trail'!AL14,'McKenley Hollow'!AL14,'Mongaup Pond'!AL14,'Rider Hollow'!AL14,Seager!AL14,Denning!AL14,'Fox Hollow'!AL14,'Giant Ledge'!AL14,Peekamoose!AL14,'Slide Mt'!AL14,Wittenberg!AL14,'Woodland Valley'!AL14,'Lane Street'!AL14,'Kelly Hollow'!AM14,'Millbrook to BLM FT'!AL14,'Beaverkill Road to BLM FT'!AL14,'Alder Lake'!AL14,'Dry Brook Ridge to Lean-to '!AL14,'Neversink Hardenburgh Trail'!AL14,Overlook!AL14,'Rochester Hollow'!AL14,'Onteora Lake'!AL14,'Mt Tremper'!AL14,'Ashokan HP'!AL14,Vernooy!AL14,'Red Hill Dinch Road '!AL14,Flynn!AL14,'Frick Pond'!AL14,'Long Pond'!AL14,'Cathedral Glen'!AL14)</f>
        <v>0</v>
      </c>
      <c r="AM13" s="15">
        <f>SUM('Biscuit Brook'!AM14,'Hardenburgh- MH Trail'!AM14,'McKenley Hollow'!AM14,'Mongaup Pond'!AM14,'Rider Hollow'!AM14,Seager!AM14,Denning!AM14,'Fox Hollow'!AM14,'Giant Ledge'!AM14,Peekamoose!AM14,'Slide Mt'!AM14,Wittenberg!AM14,'Woodland Valley'!AM14,'Lane Street'!AM14,'Kelly Hollow'!AN14,'Millbrook to BLM FT'!AM14,'Beaverkill Road to BLM FT'!AM14,'Alder Lake'!AM14,'Dry Brook Ridge to Lean-to '!AM14,'Neversink Hardenburgh Trail'!AM14,Overlook!AM14,'Rochester Hollow'!AM14,'Onteora Lake'!AM14,'Mt Tremper'!AM14,'Ashokan HP'!AM14,Vernooy!AM14,'Red Hill Dinch Road '!AM14,Flynn!AM14,'Frick Pond'!AM14,'Long Pond'!AM14,'Cathedral Glen'!AM14)</f>
        <v>0</v>
      </c>
      <c r="AN13" s="15">
        <f>SUM('Biscuit Brook'!AN14,'Hardenburgh- MH Trail'!AN14,'McKenley Hollow'!AN14,'Mongaup Pond'!AN14,'Rider Hollow'!AN14,Seager!AN14,Denning!AN14,'Fox Hollow'!AN14,'Giant Ledge'!AN14,Peekamoose!AN14,'Slide Mt'!AN14,Wittenberg!AN14,'Woodland Valley'!AN14,'Lane Street'!AN14,'Kelly Hollow'!AO14,'Millbrook to BLM FT'!AN14,'Beaverkill Road to BLM FT'!AN14,'Alder Lake'!AN14,'Dry Brook Ridge to Lean-to '!AN14,'Neversink Hardenburgh Trail'!AN14,Overlook!AN14,'Rochester Hollow'!AN14,'Onteora Lake'!AN14,'Mt Tremper'!AN14,'Ashokan HP'!AN14,Vernooy!AN14,'Red Hill Dinch Road '!AN14,Flynn!AN14,'Frick Pond'!AN14,'Long Pond'!AN14,'Cathedral Glen'!AN14)</f>
        <v>0</v>
      </c>
      <c r="AO13" s="15">
        <f>SUM('Biscuit Brook'!AO14,'Hardenburgh- MH Trail'!AO14,'McKenley Hollow'!AO14,'Mongaup Pond'!AO14,'Rider Hollow'!AO14,Seager!AO14,Denning!AO14,'Fox Hollow'!AO14,'Giant Ledge'!AO14,Peekamoose!AO14,'Slide Mt'!AO14,Wittenberg!AO14,'Woodland Valley'!AO14,'Lane Street'!AO14,'Kelly Hollow'!AP14,'Millbrook to BLM FT'!AO14,'Beaverkill Road to BLM FT'!AO14,'Alder Lake'!AO14,'Dry Brook Ridge to Lean-to '!AO14,'Neversink Hardenburgh Trail'!AO14,Overlook!AO14,'Rochester Hollow'!AO14,'Onteora Lake'!AO14,'Mt Tremper'!AO14,'Ashokan HP'!AO14,Vernooy!AO14,'Red Hill Dinch Road '!AO14,Flynn!AO14,'Frick Pond'!AO14,'Long Pond'!AO14,'Cathedral Glen'!AO14)</f>
        <v>0</v>
      </c>
      <c r="AP13" s="15">
        <f>SUM('Biscuit Brook'!AP14,'Hardenburgh- MH Trail'!AP14,'McKenley Hollow'!AP14,'Mongaup Pond'!AP14,'Rider Hollow'!AP14,Seager!AP14,Denning!AP14,'Fox Hollow'!AP14,'Giant Ledge'!AP14,Peekamoose!AP14,'Slide Mt'!AP14,Wittenberg!AP14,'Woodland Valley'!AP14,'Lane Street'!AP14,'Kelly Hollow'!AQ14,'Millbrook to BLM FT'!AP14,'Beaverkill Road to BLM FT'!AP14,'Alder Lake'!AP14,'Dry Brook Ridge to Lean-to '!AP14,'Neversink Hardenburgh Trail'!AP14,Overlook!AP14,'Rochester Hollow'!AP14,'Onteora Lake'!AP14,'Mt Tremper'!AP14,'Ashokan HP'!AP14,Vernooy!AP14,'Red Hill Dinch Road '!AP14,Flynn!AP14,'Frick Pond'!AP14,'Long Pond'!AP14,'Cathedral Glen'!AP14)</f>
        <v>0</v>
      </c>
      <c r="AQ13" s="15">
        <f>SUM('Biscuit Brook'!AQ14,'Hardenburgh- MH Trail'!AQ14,'McKenley Hollow'!AQ14,'Mongaup Pond'!AQ14,'Rider Hollow'!AQ14,Seager!AQ14,Denning!AQ14,'Fox Hollow'!AQ14,'Giant Ledge'!AQ14,Peekamoose!AQ14,'Slide Mt'!AQ14,Wittenberg!AQ14,'Woodland Valley'!AQ14,'Lane Street'!AQ14,'Kelly Hollow'!AR14,'Millbrook to BLM FT'!AQ14,'Beaverkill Road to BLM FT'!AQ14,'Alder Lake'!AQ14,'Dry Brook Ridge to Lean-to '!AQ14,'Neversink Hardenburgh Trail'!AQ14,Overlook!AQ14,'Rochester Hollow'!AQ14,'Onteora Lake'!AQ14,'Mt Tremper'!AQ14,'Ashokan HP'!AQ14,Vernooy!AQ14,'Red Hill Dinch Road '!AQ14,Flynn!AQ14,'Frick Pond'!AQ14,'Long Pond'!AQ14,'Cathedral Glen'!AQ14)</f>
        <v>0</v>
      </c>
      <c r="AR13" s="15">
        <f>SUM('Biscuit Brook'!AR14,'Hardenburgh- MH Trail'!AR14,'McKenley Hollow'!AR14,'Mongaup Pond'!AR14,'Rider Hollow'!AR14,Seager!AR14,Denning!AR14,'Fox Hollow'!AR14,'Giant Ledge'!AR14,Peekamoose!AR14,'Slide Mt'!AR14,Wittenberg!AR14,'Woodland Valley'!AR14,'Lane Street'!AR14,'Kelly Hollow'!AS14,'Millbrook to BLM FT'!AR14,'Beaverkill Road to BLM FT'!AR14,'Alder Lake'!AR14,'Dry Brook Ridge to Lean-to '!AR14,'Neversink Hardenburgh Trail'!AR14,Overlook!AR14,'Rochester Hollow'!AR14,'Onteora Lake'!AR14,'Mt Tremper'!AR14,'Ashokan HP'!AR14,Vernooy!AR14,'Red Hill Dinch Road '!AR14,Flynn!AR14,'Frick Pond'!AR14,'Long Pond'!AR14,'Cathedral Glen'!AR14)</f>
        <v>0</v>
      </c>
      <c r="AS13" s="15">
        <f>SUM('Biscuit Brook'!AS14,'Hardenburgh- MH Trail'!AS14,'McKenley Hollow'!AS14,'Mongaup Pond'!AS14,'Rider Hollow'!AS14,Seager!AS14,Denning!AS14,'Fox Hollow'!AS14,'Giant Ledge'!AS14,Peekamoose!AS14,'Slide Mt'!AS14,Wittenberg!AS14,'Woodland Valley'!AS14,'Lane Street'!AS14,'Kelly Hollow'!AT14,'Millbrook to BLM FT'!AS14,'Beaverkill Road to BLM FT'!AS14,'Alder Lake'!AS14,'Dry Brook Ridge to Lean-to '!AS14,'Neversink Hardenburgh Trail'!AS14,Overlook!AS14,'Rochester Hollow'!AS14,'Onteora Lake'!AS14,'Mt Tremper'!AS14,'Ashokan HP'!AS14,Vernooy!AS14,'Red Hill Dinch Road '!AS14,Flynn!AS14,'Frick Pond'!AS14,'Long Pond'!AS14,'Cathedral Glen'!AS14)</f>
        <v>0</v>
      </c>
      <c r="AT13" s="15">
        <f>SUM('Biscuit Brook'!AT14,'Hardenburgh- MH Trail'!AT14,'McKenley Hollow'!AT14,'Mongaup Pond'!AT14,'Rider Hollow'!AT14,Seager!AT14,Denning!AT14,'Fox Hollow'!AT14,'Giant Ledge'!AT14,Peekamoose!AT14,'Slide Mt'!AT14,Wittenberg!AT14,'Woodland Valley'!AT14,'Lane Street'!AT14,'Kelly Hollow'!AU14,'Millbrook to BLM FT'!AT14,'Beaverkill Road to BLM FT'!AT14,'Alder Lake'!AT14,'Dry Brook Ridge to Lean-to '!AT14,'Neversink Hardenburgh Trail'!AT14,Overlook!AT14,'Rochester Hollow'!AT14,'Onteora Lake'!AT14,'Mt Tremper'!AT14,'Ashokan HP'!AT14,Vernooy!AT14,'Red Hill Dinch Road '!AT14,Flynn!AT14,'Frick Pond'!AT14,'Long Pond'!AT14,'Cathedral Glen'!AT14)</f>
        <v>0</v>
      </c>
      <c r="AU13" s="15">
        <f>SUM('Biscuit Brook'!AU14,'Hardenburgh- MH Trail'!AU14,'McKenley Hollow'!AU14,'Mongaup Pond'!AU14,'Rider Hollow'!AU14,Seager!AU14,Denning!AU14,'Fox Hollow'!AU14,'Giant Ledge'!AU14,Peekamoose!AU14,'Slide Mt'!AU14,Wittenberg!AU14,'Woodland Valley'!AU14,'Lane Street'!AU14,'Kelly Hollow'!AV14,'Millbrook to BLM FT'!AU14,'Beaverkill Road to BLM FT'!AU14,'Alder Lake'!AU14,'Dry Brook Ridge to Lean-to '!AU14,'Neversink Hardenburgh Trail'!AU14,Overlook!AU14,'Rochester Hollow'!AU14,'Onteora Lake'!AU14,'Mt Tremper'!AU14,'Ashokan HP'!AU14,Vernooy!AU14,'Red Hill Dinch Road '!AU14,Flynn!AU14,'Frick Pond'!AU14,'Long Pond'!AU14,'Cathedral Glen'!AU14)</f>
        <v>0</v>
      </c>
      <c r="AV13" s="15">
        <f>SUM('Biscuit Brook'!AV14,'Hardenburgh- MH Trail'!AV14,'McKenley Hollow'!AV14,'Mongaup Pond'!AV14,'Rider Hollow'!AV14,Seager!AV14,Denning!AV14,'Fox Hollow'!AV14,'Giant Ledge'!AV14,Peekamoose!AV14,'Slide Mt'!AV14,Wittenberg!AV14,'Woodland Valley'!AV14,'Lane Street'!AV14,'Kelly Hollow'!AW14,'Millbrook to BLM FT'!AV14,'Beaverkill Road to BLM FT'!AV14,'Alder Lake'!AV14,'Dry Brook Ridge to Lean-to '!AV14,'Neversink Hardenburgh Trail'!AV14,Overlook!AV14,'Rochester Hollow'!AV14,'Onteora Lake'!AV14,'Mt Tremper'!AV14,'Ashokan HP'!AV14,Vernooy!AV14,'Red Hill Dinch Road '!AV14,Flynn!AV14,'Frick Pond'!AV14,'Long Pond'!AV14,'Cathedral Glen'!AV14)</f>
        <v>0</v>
      </c>
      <c r="AW13" s="15">
        <f>SUM('Biscuit Brook'!AW14,'Hardenburgh- MH Trail'!AW14,'McKenley Hollow'!AW14,'Mongaup Pond'!AW14,'Rider Hollow'!AW14,Seager!AW14,Denning!AW14,'Fox Hollow'!AW14,'Giant Ledge'!AW14,Peekamoose!AW14,'Slide Mt'!AW14,Wittenberg!AW14,'Woodland Valley'!AW14,'Lane Street'!AW14,'Kelly Hollow'!AX14,'Millbrook to BLM FT'!AW14,'Beaverkill Road to BLM FT'!AW14,'Alder Lake'!AW14,'Dry Brook Ridge to Lean-to '!AW14,'Neversink Hardenburgh Trail'!AW14,Overlook!AW14,'Rochester Hollow'!AW14,'Onteora Lake'!AW14,'Mt Tremper'!AW14,'Ashokan HP'!AW14,Vernooy!AW14,'Red Hill Dinch Road '!AW14,Flynn!AW14,'Frick Pond'!AW14,'Long Pond'!AW14,'Cathedral Glen'!AW14)</f>
        <v>0</v>
      </c>
      <c r="AX13" s="15">
        <f>SUM('Biscuit Brook'!AX14,'Hardenburgh- MH Trail'!AX14,'McKenley Hollow'!AX14,'Mongaup Pond'!AX14,'Rider Hollow'!AX14,Seager!AX14,Denning!AX14,'Fox Hollow'!AX14,'Giant Ledge'!AX14,Peekamoose!AX14,'Slide Mt'!AX14,Wittenberg!AX14,'Woodland Valley'!AX14,'Lane Street'!AX14,'Kelly Hollow'!AY14,'Millbrook to BLM FT'!AX14,'Beaverkill Road to BLM FT'!AX14,'Alder Lake'!AX14,'Dry Brook Ridge to Lean-to '!AX14,'Neversink Hardenburgh Trail'!AX14,Overlook!AX14,'Rochester Hollow'!AX14,'Onteora Lake'!AX14,'Mt Tremper'!AX14,'Ashokan HP'!AX14,Vernooy!AX14,'Red Hill Dinch Road '!AX14,Flynn!AX14,'Frick Pond'!AX14,'Long Pond'!AX14,'Cathedral Glen'!AX14)</f>
        <v>0</v>
      </c>
      <c r="AY13" s="15">
        <f>SUM('Biscuit Brook'!AY14,'Hardenburgh- MH Trail'!AY14,'McKenley Hollow'!AY14,'Mongaup Pond'!AY14,'Rider Hollow'!AY14,Seager!AY14,Denning!AY14,'Fox Hollow'!AY14,'Giant Ledge'!AY14,Peekamoose!AY14,'Slide Mt'!AY14,Wittenberg!AY14,'Woodland Valley'!AY14,'Lane Street'!AY14,'Kelly Hollow'!AZ14,'Millbrook to BLM FT'!AY14,'Beaverkill Road to BLM FT'!AY14,'Alder Lake'!AY14,'Dry Brook Ridge to Lean-to '!AY14,'Neversink Hardenburgh Trail'!AY14,Overlook!AY14,'Rochester Hollow'!AY14,'Onteora Lake'!AY14,'Mt Tremper'!AY14,'Ashokan HP'!AY14,Vernooy!AY14,'Red Hill Dinch Road '!AY14,Flynn!AY14,'Frick Pond'!AY14,'Long Pond'!AY14,'Cathedral Glen'!AY14)</f>
        <v>0</v>
      </c>
      <c r="AZ13" s="15" t="e">
        <f>SUM('Biscuit Brook'!AZ14,'Hardenburgh- MH Trail'!AZ14,'McKenley Hollow'!AZ14,'Mongaup Pond'!AZ14,'Rider Hollow'!AZ14,Seager!AZ14,Denning!AZ14,'Fox Hollow'!AZ14,'Giant Ledge'!AZ14,Peekamoose!AZ14,'Slide Mt'!AZ14,Wittenberg!AZ14,'Woodland Valley'!AZ14,'Lane Street'!AZ14,'Kelly Hollow'!BA14,'Millbrook to BLM FT'!AZ14,'Beaverkill Road to BLM FT'!AZ14,'Alder Lake'!AZ14,'Dry Brook Ridge to Lean-to '!AZ14,'Neversink Hardenburgh Trail'!AZ14,Overlook!AZ14,'Rochester Hollow'!AZ14,'Onteora Lake'!BA14,'Mt Tremper'!AZ14,'Ashokan HP'!AZ14,Vernooy!AZ14,'Red Hill Dinch Road '!AZ14,Flynn!AZ14,'Frick Pond'!AZ14,'Long Pond'!AZ14)</f>
        <v>#N/A</v>
      </c>
      <c r="BA13" s="96" t="e">
        <v>#N/A</v>
      </c>
      <c r="BB13" s="96" t="e">
        <v>#N/A</v>
      </c>
      <c r="BC13" s="96" t="e">
        <v>#N/A</v>
      </c>
      <c r="BD13" s="96" t="e">
        <v>#N/A</v>
      </c>
      <c r="BE13" s="96" t="e">
        <v>#N/A</v>
      </c>
      <c r="BF13" s="96" t="e">
        <v>#N/A</v>
      </c>
      <c r="BG13" s="96" t="e">
        <v>#N/A</v>
      </c>
      <c r="BH13" s="96" t="e">
        <v>#N/A</v>
      </c>
      <c r="BI13" s="96" t="e">
        <v>#N/A</v>
      </c>
      <c r="BJ13" s="96">
        <f t="shared" si="36"/>
        <v>6101.1</v>
      </c>
      <c r="BK13" s="96">
        <f t="shared" si="37"/>
        <v>6186.9</v>
      </c>
      <c r="BL13" s="96">
        <f t="shared" si="38"/>
        <v>6049.2</v>
      </c>
      <c r="BM13" s="96">
        <f t="shared" si="39"/>
        <v>6005.3</v>
      </c>
      <c r="BN13" s="96">
        <f t="shared" si="40"/>
        <v>5823.3</v>
      </c>
      <c r="BO13" s="96">
        <f t="shared" si="41"/>
        <v>5798.5</v>
      </c>
      <c r="BP13" s="96">
        <f t="shared" si="42"/>
        <v>5870.5</v>
      </c>
      <c r="BQ13" s="96">
        <f t="shared" si="43"/>
        <v>5689.1</v>
      </c>
      <c r="BR13" s="96">
        <f t="shared" si="44"/>
        <v>5526.333333333333</v>
      </c>
      <c r="BS13" s="96">
        <f t="shared" si="45"/>
        <v>5539.875</v>
      </c>
      <c r="BT13" s="96">
        <f t="shared" si="46"/>
        <v>5800.75</v>
      </c>
      <c r="BU13" s="96">
        <f t="shared" si="47"/>
        <v>5764.5714285714284</v>
      </c>
      <c r="BV13" s="96">
        <f t="shared" si="48"/>
        <v>5861</v>
      </c>
      <c r="BW13" s="96">
        <f t="shared" si="49"/>
        <v>5934.4285714285716</v>
      </c>
      <c r="BX13" s="96">
        <f t="shared" si="50"/>
        <v>6133.7142857142853</v>
      </c>
      <c r="BY13" s="96">
        <f t="shared" si="51"/>
        <v>6897.1428571428569</v>
      </c>
      <c r="BZ13" s="96">
        <f t="shared" si="52"/>
        <v>7304.1523809523806</v>
      </c>
      <c r="CA13" s="96">
        <f t="shared" si="53"/>
        <v>8063.4380952380952</v>
      </c>
      <c r="CB13" s="96">
        <f t="shared" si="54"/>
        <v>8049.1333333333332</v>
      </c>
      <c r="CC13" s="96">
        <f t="shared" si="55"/>
        <v>8277.4518518518526</v>
      </c>
      <c r="CD13" s="96">
        <f t="shared" si="56"/>
        <v>8673.1925925925934</v>
      </c>
      <c r="CE13" s="96">
        <f t="shared" si="57"/>
        <v>8876.3066666666673</v>
      </c>
      <c r="CF13" s="96">
        <f t="shared" si="58"/>
        <v>9172.1066666666666</v>
      </c>
      <c r="CG13" s="96">
        <f t="shared" si="59"/>
        <v>9058.4066666666658</v>
      </c>
      <c r="CH13" s="96">
        <f t="shared" si="60"/>
        <v>8826.8066666666673</v>
      </c>
      <c r="CI13" s="96">
        <f t="shared" si="61"/>
        <v>7957.2066666666669</v>
      </c>
      <c r="CJ13" s="96">
        <f t="shared" si="62"/>
        <v>7817</v>
      </c>
      <c r="CK13" s="96">
        <f t="shared" si="63"/>
        <v>7414.875</v>
      </c>
      <c r="CL13" s="96">
        <f t="shared" si="64"/>
        <v>7338.5714285714284</v>
      </c>
      <c r="CM13" s="96">
        <f t="shared" si="65"/>
        <v>6877.666666666667</v>
      </c>
      <c r="CN13" s="96">
        <f t="shared" si="66"/>
        <v>5917.2666666666664</v>
      </c>
      <c r="CO13" s="96">
        <f t="shared" si="67"/>
        <v>4720.5</v>
      </c>
      <c r="CP13" s="96">
        <f t="shared" si="68"/>
        <v>3658.6666666666665</v>
      </c>
      <c r="CQ13" s="96">
        <f t="shared" si="69"/>
        <v>2954</v>
      </c>
      <c r="CR13" s="96">
        <f t="shared" si="70"/>
        <v>710</v>
      </c>
      <c r="CS13" s="96" t="e">
        <f t="shared" si="71"/>
        <v>#DIV/0!</v>
      </c>
      <c r="CT13" s="96" t="e">
        <f t="shared" si="72"/>
        <v>#DIV/0!</v>
      </c>
      <c r="CU13" s="96" t="e">
        <f t="shared" si="73"/>
        <v>#DIV/0!</v>
      </c>
      <c r="CV13" s="96" t="e">
        <f t="shared" si="74"/>
        <v>#DIV/0!</v>
      </c>
      <c r="CW13" s="96" t="e">
        <f t="shared" si="75"/>
        <v>#DIV/0!</v>
      </c>
      <c r="CX13" s="96" t="e">
        <f t="shared" si="76"/>
        <v>#DIV/0!</v>
      </c>
      <c r="CY13" s="96" t="e">
        <f t="shared" si="77"/>
        <v>#DIV/0!</v>
      </c>
    </row>
    <row r="14" spans="1:103" s="10" customFormat="1" ht="20" customHeight="1" x14ac:dyDescent="0.2">
      <c r="A14" s="9" t="s">
        <v>10</v>
      </c>
      <c r="B14" s="16">
        <f>SUM('Biscuit Brook'!B15,'Hardenburgh- MH Trail'!B15,'McKenley Hollow'!B15,'Mongaup Pond'!B15,'Rider Hollow'!B15,Seager!B15,Denning!B15,'Fox Hollow'!B15,'Giant Ledge'!B15,Peekamoose!B15,'Slide Mt'!B15,Wittenberg!B15,'Woodland Valley'!B15,'Kelly Hollow'!B15,'Millbrook to BLM FT'!B15,'Beaverkill Road to BLM FT'!B15,'Alder Lake'!B15,'Dry Brook Ridge to Lean-to '!B15,'Neversink Hardenburgh Trail'!B15,Overlook!B15,'Rochester Hollow'!B15,'Onteora Lake'!B15,'Mt Tremper'!B15,'Ashokan HP'!B15,Vernooy!B15,'Red Hill Dinch Road '!B15,Flynn!B15,'Frick Pond'!B15,'Long Pond'!B15)</f>
        <v>2074</v>
      </c>
      <c r="C14" s="16">
        <f>SUM('Biscuit Brook'!C15,'Hardenburgh- MH Trail'!C15,'McKenley Hollow'!C15,'Mongaup Pond'!C15,'Rider Hollow'!C15,Seager!C15,Denning!C15,'Fox Hollow'!C15,'Giant Ledge'!C15,Peekamoose!C15,'Slide Mt'!C15,Wittenberg!C15,'Woodland Valley'!C15,'Kelly Hollow'!C15,'Millbrook to BLM FT'!C15,'Beaverkill Road to BLM FT'!C15,'Alder Lake'!C15,'Dry Brook Ridge to Lean-to '!C15,'Neversink Hardenburgh Trail'!C15,Overlook!C15,'Rochester Hollow'!C15,'Onteora Lake'!C15,'Mt Tremper'!C15,'Ashokan HP'!C15,Vernooy!C15,'Red Hill Dinch Road '!C15,Flynn!C15,'Frick Pond'!C15,'Long Pond'!C15)</f>
        <v>1621</v>
      </c>
      <c r="D14" s="16">
        <f>SUM('Biscuit Brook'!D15,'Hardenburgh- MH Trail'!D15,'McKenley Hollow'!D15,'Mongaup Pond'!D15,'Rider Hollow'!D15,Seager!D15,Denning!D15,'Fox Hollow'!D15,'Giant Ledge'!D15,Peekamoose!D15,'Slide Mt'!D15,Wittenberg!D15,'Woodland Valley'!D15,'Kelly Hollow'!D15,'Millbrook to BLM FT'!D15,'Beaverkill Road to BLM FT'!D15,'Alder Lake'!D15,'Dry Brook Ridge to Lean-to '!D15,'Neversink Hardenburgh Trail'!D15,Overlook!D15,'Rochester Hollow'!D15,'Onteora Lake'!D15,'Mt Tremper'!D15,'Ashokan HP'!D15,Vernooy!D15,'Red Hill Dinch Road '!D15,Flynn!D15,'Frick Pond'!D15,'Long Pond'!D15)</f>
        <v>2065</v>
      </c>
      <c r="E14" s="16">
        <f>SUM('Biscuit Brook'!E15,'Hardenburgh- MH Trail'!E15,'McKenley Hollow'!E15,'Mongaup Pond'!E15,'Rider Hollow'!E15,Seager!E15,Denning!E15,'Fox Hollow'!E15,'Giant Ledge'!E15,Peekamoose!E15,'Slide Mt'!E15,Wittenberg!E15,'Woodland Valley'!E15,'Kelly Hollow'!E15,'Millbrook to BLM FT'!E15,'Beaverkill Road to BLM FT'!E15,'Alder Lake'!E15,'Dry Brook Ridge to Lean-to '!E15,'Neversink Hardenburgh Trail'!E15,Overlook!E15,'Rochester Hollow'!E15,'Onteora Lake'!E15,'Mt Tremper'!E15,'Ashokan HP'!E15,Vernooy!E15,'Red Hill Dinch Road '!E15,Flynn!E15,'Frick Pond'!E15,'Long Pond'!E15)</f>
        <v>2486</v>
      </c>
      <c r="F14" s="16">
        <f>SUM('Biscuit Brook'!F15,'Hardenburgh- MH Trail'!F15,'McKenley Hollow'!F15,'Mongaup Pond'!F15,'Rider Hollow'!F15,Seager!F15,Denning!F15,'Fox Hollow'!F15,'Giant Ledge'!F15,Peekamoose!F15,'Slide Mt'!F15,Wittenberg!F15,'Woodland Valley'!F15,'Kelly Hollow'!F15,'Millbrook to BLM FT'!F15,'Beaverkill Road to BLM FT'!F15,'Alder Lake'!F15,'Dry Brook Ridge to Lean-to '!F15,'Neversink Hardenburgh Trail'!F15,Overlook!F15,'Rochester Hollow'!F15,'Onteora Lake'!F15,'Mt Tremper'!F15,'Ashokan HP'!F15,Vernooy!F15,'Red Hill Dinch Road '!F15,Flynn!F15,'Frick Pond'!F15,'Long Pond'!F15)</f>
        <v>1725</v>
      </c>
      <c r="G14" s="16">
        <f>SUM('Biscuit Brook'!G15,'Hardenburgh- MH Trail'!G15,'McKenley Hollow'!G15,'Mongaup Pond'!G15,'Rider Hollow'!G15,Seager!G15,Denning!G15,'Fox Hollow'!G15,'Giant Ledge'!G15,Peekamoose!G15,'Slide Mt'!G15,Wittenberg!G15,'Woodland Valley'!G15,'Kelly Hollow'!G15,'Millbrook to BLM FT'!G15,'Beaverkill Road to BLM FT'!G15,'Alder Lake'!G15,'Dry Brook Ridge to Lean-to '!G15,'Neversink Hardenburgh Trail'!G15,Overlook!G15,'Rochester Hollow'!G15,'Onteora Lake'!G15,'Mt Tremper'!G15,'Ashokan HP'!G15,Vernooy!G15,'Red Hill Dinch Road '!G15,Flynn!G15,'Frick Pond'!G15,'Long Pond'!G15)</f>
        <v>2224</v>
      </c>
      <c r="H14" s="16">
        <f>SUM('Biscuit Brook'!H15,'Hardenburgh- MH Trail'!H15,'McKenley Hollow'!H15,'Mongaup Pond'!H15,'Rider Hollow'!H15,Seager!H15,Denning!H15,'Fox Hollow'!H15,'Giant Ledge'!H15,Peekamoose!H15,'Slide Mt'!H15,Wittenberg!H15,'Woodland Valley'!H15,'Kelly Hollow'!H15,'Millbrook to BLM FT'!H15,'Beaverkill Road to BLM FT'!H15,'Alder Lake'!H15,'Dry Brook Ridge to Lean-to '!H15,'Neversink Hardenburgh Trail'!H15,Overlook!H15,'Rochester Hollow'!H15,'Onteora Lake'!H15,'Mt Tremper'!H15,'Ashokan HP'!H15,Vernooy!H15,'Red Hill Dinch Road '!H15,Flynn!H15,'Frick Pond'!H15,'Long Pond'!H15)</f>
        <v>1531</v>
      </c>
      <c r="I14" s="16">
        <f>SUM('Biscuit Brook'!I15,'Hardenburgh- MH Trail'!I15,'McKenley Hollow'!I15,'Mongaup Pond'!I15,'Rider Hollow'!I15,Seager!I15,Denning!I15,'Fox Hollow'!I15,'Giant Ledge'!I15,Peekamoose!I15,'Slide Mt'!I15,Wittenberg!I15,'Woodland Valley'!I15,'Kelly Hollow'!I15,'Millbrook to BLM FT'!I15,'Beaverkill Road to BLM FT'!I15,'Alder Lake'!I15,'Dry Brook Ridge to Lean-to '!I15,'Neversink Hardenburgh Trail'!I15,Overlook!I15,'Rochester Hollow'!I15,'Onteora Lake'!I15,'Mt Tremper'!I15,'Ashokan HP'!I15,Vernooy!I15,'Red Hill Dinch Road '!I15,Flynn!I15,'Frick Pond'!I15,'Long Pond'!I15)</f>
        <v>3147</v>
      </c>
      <c r="J14" s="16">
        <f>SUM('Biscuit Brook'!J15,'Hardenburgh- MH Trail'!J15,'McKenley Hollow'!J15,'Mongaup Pond'!J15,'Rider Hollow'!J15,Seager!J15,Denning!J15,'Fox Hollow'!J15,'Giant Ledge'!J15,Peekamoose!J15,'Slide Mt'!J15,Wittenberg!J15,'Woodland Valley'!J15,'Kelly Hollow'!J15,'Millbrook to BLM FT'!J15,'Beaverkill Road to BLM FT'!J15,'Alder Lake'!J15,'Dry Brook Ridge to Lean-to '!J15,'Neversink Hardenburgh Trail'!J15,Overlook!J15,'Rochester Hollow'!J15,'Onteora Lake'!J15,'Mt Tremper'!J15,'Ashokan HP'!J15,Vernooy!J15,'Red Hill Dinch Road '!J15,Flynn!J15,'Frick Pond'!J15,'Long Pond'!J15)</f>
        <v>2488</v>
      </c>
      <c r="K14" s="16">
        <f>SUM('Biscuit Brook'!K15,'Hardenburgh- MH Trail'!K15,'McKenley Hollow'!K15,'Mongaup Pond'!K15,'Rider Hollow'!K15,Seager!K15,Denning!K15,'Fox Hollow'!K15,'Giant Ledge'!K15,Peekamoose!K15,'Slide Mt'!K15,Wittenberg!K15,'Woodland Valley'!K15,'Kelly Hollow'!K15,'Millbrook to BLM FT'!K15,'Beaverkill Road to BLM FT'!K15,'Alder Lake'!K15,'Dry Brook Ridge to Lean-to '!K15,'Neversink Hardenburgh Trail'!K15,Overlook!K15,'Rochester Hollow'!K15,'Onteora Lake'!K15,'Mt Tremper'!K15,'Ashokan HP'!K15,Vernooy!K15,'Red Hill Dinch Road '!K15,Flynn!K15,'Frick Pond'!K15,'Long Pond'!K15)</f>
        <v>2523</v>
      </c>
      <c r="L14" s="16">
        <f>SUM('Biscuit Brook'!L15,'Hardenburgh- MH Trail'!L15,'McKenley Hollow'!L15,'Mongaup Pond'!L15,'Rider Hollow'!L15,Seager!L15,Denning!L15,'Fox Hollow'!L15,'Giant Ledge'!L15,Peekamoose!L15,'Slide Mt'!L15,Wittenberg!L15,'Woodland Valley'!L15,'Kelly Hollow'!L15,'Millbrook to BLM FT'!L15,'Beaverkill Road to BLM FT'!L15,'Alder Lake'!L15,'Dry Brook Ridge to Lean-to '!L15,'Neversink Hardenburgh Trail'!L15,Overlook!L15,'Rochester Hollow'!L15,'Onteora Lake'!L15,'Mt Tremper'!L15,'Ashokan HP'!L15,Vernooy!L15,'Red Hill Dinch Road '!L15,Flynn!L15,'Frick Pond'!L15,'Long Pond'!L15)</f>
        <v>3252</v>
      </c>
      <c r="M14" s="16">
        <f>SUM('Biscuit Brook'!M15,'Hardenburgh- MH Trail'!M15,'McKenley Hollow'!M15,'Mongaup Pond'!M15,'Rider Hollow'!M15,Seager!M15,Denning!M15,'Fox Hollow'!M15,'Giant Ledge'!M15,Peekamoose!M15,'Slide Mt'!M15,Wittenberg!M15,'Woodland Valley'!M15,'Kelly Hollow'!M15,'Millbrook to BLM FT'!M15,'Beaverkill Road to BLM FT'!M15,'Alder Lake'!M15,'Dry Brook Ridge to Lean-to '!M15,'Neversink Hardenburgh Trail'!M15,Overlook!M15,'Rochester Hollow'!M15,'Onteora Lake'!M15,'Mt Tremper'!M15,'Ashokan HP'!M15,Vernooy!M15,'Red Hill Dinch Road '!M15,Flynn!M15,'Frick Pond'!M15,'Long Pond'!M15)</f>
        <v>2459</v>
      </c>
      <c r="N14" s="16">
        <f>SUM('Biscuit Brook'!N15,'Hardenburgh- MH Trail'!N15,'McKenley Hollow'!N15,'Mongaup Pond'!N15,'Rider Hollow'!N15,Seager!N15,Denning!N15,'Fox Hollow'!N15,'Giant Ledge'!N15,Peekamoose!N15,'Slide Mt'!N15,Wittenberg!N15,'Woodland Valley'!N15,'Kelly Hollow'!N15,'Millbrook to BLM FT'!N15,'Beaverkill Road to BLM FT'!N15,'Alder Lake'!N15,'Dry Brook Ridge to Lean-to '!N15,'Neversink Hardenburgh Trail'!N15,Overlook!N15,'Rochester Hollow'!N15,'Onteora Lake'!N15,'Mt Tremper'!N15,'Ashokan HP'!N15,Vernooy!N15,'Red Hill Dinch Road '!N15,Flynn!N15,'Frick Pond'!N15,'Long Pond'!N15)</f>
        <v>2923</v>
      </c>
      <c r="O14" s="16">
        <f>SUM('Biscuit Brook'!O15,'Hardenburgh- MH Trail'!O15,'McKenley Hollow'!O15,'Mongaup Pond'!O15,'Rider Hollow'!O15,Seager!O15,Denning!O15,'Fox Hollow'!O15,'Giant Ledge'!O15,Peekamoose!O15,'Slide Mt'!O15,Wittenberg!O15,'Woodland Valley'!O15,'Kelly Hollow'!O15,'Millbrook to BLM FT'!O15,'Beaverkill Road to BLM FT'!O15,'Alder Lake'!O15,'Dry Brook Ridge to Lean-to '!O15,'Neversink Hardenburgh Trail'!O15,Overlook!O15,'Rochester Hollow'!O15,'Onteora Lake'!O15,'Mt Tremper'!O15,'Ashokan HP'!O15,Vernooy!O15,'Red Hill Dinch Road '!O15,Flynn!O15,'Frick Pond'!O15,'Long Pond'!O15)</f>
        <v>2194</v>
      </c>
      <c r="P14" s="16">
        <f>SUM('Biscuit Brook'!P15,'Hardenburgh- MH Trail'!P15,'McKenley Hollow'!P15,'Mongaup Pond'!P15,'Rider Hollow'!P15,Seager!P15,Denning!P15,'Fox Hollow'!P15,'Giant Ledge'!P15,Peekamoose!P15,'Slide Mt'!P15,Wittenberg!P15,'Woodland Valley'!P15,'Kelly Hollow'!P15,'Millbrook to BLM FT'!P15,'Beaverkill Road to BLM FT'!P15,'Alder Lake'!P15,'Dry Brook Ridge to Lean-to '!P15,'Neversink Hardenburgh Trail'!P15,Overlook!P15,'Rochester Hollow'!P15,'Onteora Lake'!P15,'Mt Tremper'!P15,'Ashokan HP'!P15,Vernooy!P15,'Red Hill Dinch Road '!P15,Flynn!P15,'Frick Pond'!P15,'Long Pond'!P15)</f>
        <v>2724</v>
      </c>
      <c r="Q14" s="16">
        <f>SUM('Biscuit Brook'!Q15,'Hardenburgh- MH Trail'!Q15,'McKenley Hollow'!Q15,'Mongaup Pond'!Q15,'Rider Hollow'!Q15,Seager!Q15,Denning!Q15,'Fox Hollow'!Q15,'Giant Ledge'!Q15,Peekamoose!Q15,'Slide Mt'!Q15,Wittenberg!Q15,'Woodland Valley'!Q15,'Kelly Hollow'!Q15,'Millbrook to BLM FT'!Q15,'Beaverkill Road to BLM FT'!Q15,'Alder Lake'!Q15,'Dry Brook Ridge to Lean-to '!Q15,'Neversink Hardenburgh Trail'!Q15,Overlook!Q15,'Rochester Hollow'!Q15,'Onteora Lake'!Q15,'Mt Tremper'!Q15,'Ashokan HP'!Q15,Vernooy!Q15,'Red Hill Dinch Road '!Q15,Flynn!Q15,'Frick Pond'!Q15,'Long Pond'!Q15)</f>
        <v>3135</v>
      </c>
      <c r="R14" s="16">
        <f>SUM('Biscuit Brook'!R15,'Hardenburgh- MH Trail'!R15,'McKenley Hollow'!R15,'Mongaup Pond'!R15,'Rider Hollow'!R15,Seager!R15,Denning!R15,'Fox Hollow'!R15,'Giant Ledge'!R15,Peekamoose!R15,'Slide Mt'!R15,Wittenberg!R15,'Woodland Valley'!R15,'Kelly Hollow'!R15,'Millbrook to BLM FT'!R15,'Beaverkill Road to BLM FT'!R15,'Alder Lake'!R15,'Dry Brook Ridge to Lean-to '!R15,'Neversink Hardenburgh Trail'!R15,Overlook!R15,'Rochester Hollow'!R15,'Onteora Lake'!R15,'Mt Tremper'!R15,'Ashokan HP'!R15,Vernooy!R15,'Red Hill Dinch Road '!R15,Flynn!R15,'Frick Pond'!R15,'Long Pond'!R15)</f>
        <v>2669</v>
      </c>
      <c r="S14" s="16"/>
      <c r="T14" s="16"/>
      <c r="U14" s="17">
        <f>SUM('Biscuit Brook'!U15,'Hardenburgh- MH Trail'!U15,'McKenley Hollow'!U15,'Mongaup Pond'!U15,'Rider Hollow'!U15,Seager!U15,Denning!U15,'Fox Hollow'!U15,'Giant Ledge'!U15,Peekamoose!U15,'Slide Mt'!U15,Wittenberg!U15,'Woodland Valley'!U15,'Kelly Hollow'!U15,'Millbrook to BLM FT'!U15,'Beaverkill Road to BLM FT'!U15,'Alder Lake'!U15,'Dry Brook Ridge to Lean-to '!U15,'Neversink Hardenburgh Trail'!U15,Overlook!U15,'Rochester Hollow'!U15,'Onteora Lake'!U15,'Mt Tremper'!U15,'Ashokan HP'!U15,Vernooy!U15,'Red Hill Dinch Road '!U15,Flynn!U15,'Frick Pond'!U15,'Long Pond'!U15)</f>
        <v>3346</v>
      </c>
      <c r="V14" s="17"/>
      <c r="W14" s="17">
        <f>SUM('Biscuit Brook'!W15,'Hardenburgh- MH Trail'!W15,'McKenley Hollow'!W15,'Mongaup Pond'!W15,'Rider Hollow'!W15,Seager!W15,Denning!W15,'Fox Hollow'!W15,'Giant Ledge'!W15,Peekamoose!W15,'Slide Mt'!W15,Wittenberg!W15,'Woodland Valley'!W15,'Kelly Hollow'!W15,'Millbrook to BLM FT'!W15,'Beaverkill Road to BLM FT'!W15,'Alder Lake'!W15,'Dry Brook Ridge to Lean-to '!W15,'Neversink Hardenburgh Trail'!W15,Overlook!W15,'Rochester Hollow'!W15,'Onteora Lake'!W15,'Mt Tremper'!W15,'Ashokan HP'!W15,Vernooy!W15,'Red Hill Dinch Road '!W15,Flynn!W15,'Frick Pond'!W15,'Long Pond'!W15)</f>
        <v>2754</v>
      </c>
      <c r="X14" s="17">
        <f>SUM('Biscuit Brook'!X15,'Hardenburgh- MH Trail'!X15,'McKenley Hollow'!X15,'Mongaup Pond'!X15,'Rider Hollow'!X15,Seager!X15,Denning!X15,'Fox Hollow'!X15,'Giant Ledge'!X15,Peekamoose!X15,'Slide Mt'!X15,Wittenberg!X15,'Woodland Valley'!X15,'Kelly Hollow'!X15,'Millbrook to BLM FT'!X15,'Beaverkill Road to BLM FT'!X15,'Alder Lake'!X15,'Dry Brook Ridge to Lean-to '!X15,'Neversink Hardenburgh Trail'!X15,Overlook!X15,'Rochester Hollow'!X15,'Onteora Lake'!X15,'Mt Tremper'!X15,'Ashokan HP'!X15,Vernooy!X15,'Red Hill Dinch Road '!X15,Flynn!X15,'Frick Pond'!X15,'Long Pond'!X15)</f>
        <v>2634</v>
      </c>
      <c r="Y14" s="17">
        <f>SUM('Biscuit Brook'!Y15,'Hardenburgh- MH Trail'!Y15,'McKenley Hollow'!Y15,'Mongaup Pond'!Y15,'Rider Hollow'!Y15,Seager!Y15,Denning!Y15,'Fox Hollow'!Y15,'Giant Ledge'!Y15,Peekamoose!Y15,'Slide Mt'!Y15,Wittenberg!Y15,'Woodland Valley'!Y15,'Lane Street'!Y15,'Kelly Hollow'!Y15,'Millbrook to BLM FT'!Y15,'Beaverkill Road to BLM FT'!Y15,'Alder Lake'!Y15,'Dry Brook Ridge to Lean-to '!Y15,'Neversink Hardenburgh Trail'!Y15,Overlook!Y15,'Rochester Hollow'!Y15,'Onteora Lake'!Y15,'Mt Tremper'!Y15,'Ashokan HP'!Y15,Vernooy!Y15,'Red Hill Dinch Road '!Y15,Flynn!Y15,'Frick Pond'!Y15,'Long Pond'!Y15)</f>
        <v>3388</v>
      </c>
      <c r="Z14" s="17">
        <f>SUM('Biscuit Brook'!Z15,'Hardenburgh- MH Trail'!Z15,'McKenley Hollow'!Z15,'Mongaup Pond'!Z15,'Rider Hollow'!Z15,Seager!Z15,Denning!Z15,'Fox Hollow'!Z15,'Giant Ledge'!Z15,Peekamoose!Z15,'Slide Mt'!Z15,Wittenberg!Z15,'Woodland Valley'!Z15,'Lane Street'!Z15,'Kelly Hollow'!Z15,'Millbrook to BLM FT'!Z15,'Beaverkill Road to BLM FT'!Z15,'Alder Lake'!Z15,'Dry Brook Ridge to Lean-to '!Z15,'Neversink Hardenburgh Trail'!Z15,Overlook!Z15,'Rochester Hollow'!Z15,'Onteora Lake'!Z15,'Mt Tremper'!Z15,'Ashokan HP'!Z15,Vernooy!Z15,'Red Hill Dinch Road '!Z15,Flynn!Z15,'Frick Pond'!Z15,'Long Pond'!Z15)</f>
        <v>5323</v>
      </c>
      <c r="AA14" s="17">
        <f>SUM('Biscuit Brook'!AA15,'Hardenburgh- MH Trail'!AA15,'McKenley Hollow'!AA15,'Mongaup Pond'!AA15,'Rider Hollow'!AA15,Seager!AA15,Denning!AA15,'Fox Hollow'!AA15,'Giant Ledge'!AA15,Peekamoose!AA15,'Slide Mt'!AA15,Wittenberg!AA15,'Woodland Valley'!AA15,'Lane Street'!AA15,'Kelly Hollow'!AA15,'Millbrook to BLM FT'!AA15,'Beaverkill Road to BLM FT'!AA15,'Alder Lake'!AA15,'Dry Brook Ridge to Lean-to '!AA15,'Neversink Hardenburgh Trail'!AA15,Overlook!AA15,'Rochester Hollow'!AA15,'Onteora Lake'!AA15,'Mt Tremper'!AA15,'Ashokan HP'!AA15,Vernooy!AA15,'Red Hill Dinch Road '!AA15,Flynn!AA15,'Frick Pond'!AA15,'Long Pond'!AA15)</f>
        <v>4849.666666666667</v>
      </c>
      <c r="AB14" s="17">
        <f>SUM('Biscuit Brook'!AB15,'Hardenburgh- MH Trail'!AB15,'McKenley Hollow'!AB15,'Mongaup Pond'!AB15,'Rider Hollow'!AB15,Seager!AB15,Denning!AB15,'Fox Hollow'!AB15,'Giant Ledge'!AB15,Peekamoose!AB15,'Slide Mt'!AB15,Wittenberg!AB15,'Woodland Valley'!AB15,'Lane Street'!AB15,'Kelly Hollow'!AB15,'Millbrook to BLM FT'!AB15,'Beaverkill Road to BLM FT'!AB15,'Alder Lake'!AB15,'Dry Brook Ridge to Lean-to '!AB15,'Neversink Hardenburgh Trail'!AB15,Overlook!AB15,'Rochester Hollow'!AB15,'Onteora Lake'!AB15,'Mt Tremper'!AB15,'Ashokan HP'!AB15,Vernooy!AB15,'Red Hill Dinch Road '!AB15,Flynn!AB15,'Frick Pond'!AB15,'Long Pond'!AB15)</f>
        <v>4944</v>
      </c>
      <c r="AC14" s="17">
        <f>SUM('Biscuit Brook'!AC15,'Hardenburgh- MH Trail'!AC15,'McKenley Hollow'!AC15,'Mongaup Pond'!AC15,'Rider Hollow'!AC15,Seager!AC15,Denning!AC15,'Fox Hollow'!AC15,'Giant Ledge'!AC15,Peekamoose!AC15,'Slide Mt'!AC15,Wittenberg!AC15,'Woodland Valley'!AC15,'Lane Street'!AC15,'Kelly Hollow'!AD15,'Millbrook to BLM FT'!AC15,'Beaverkill Road to BLM FT'!AC15,'Alder Lake'!AC15,'Dry Brook Ridge to Lean-to '!AC15,'Neversink Hardenburgh Trail'!AC15,Overlook!AC15,'Rochester Hollow'!AC15,'Onteora Lake'!AC15,'Mt Tremper'!AC15,'Ashokan HP'!AC15,Vernooy!AC15,'Red Hill Dinch Road '!AC15,Flynn!AC15,'Frick Pond'!AC15,'Long Pond'!AC15)</f>
        <v>3745</v>
      </c>
      <c r="AD14" s="17">
        <f>SUM('Biscuit Brook'!AD15,'Hardenburgh- MH Trail'!AD15,'McKenley Hollow'!AD15,'Mongaup Pond'!AD15,'Rider Hollow'!AD15,Seager!AD15,Denning!AD15,'Fox Hollow'!AD15,'Giant Ledge'!AD15,Peekamoose!AD15,'Slide Mt'!AD15,Wittenberg!AD15,'Woodland Valley'!AD15,'Lane Street'!AD15,'Kelly Hollow'!AE15,'Millbrook to BLM FT'!AD15,'Beaverkill Road to BLM FT'!AD15,'Alder Lake'!AD15,'Dry Brook Ridge to Lean-to '!AD15,'Neversink Hardenburgh Trail'!AD15,Overlook!AD15,'Rochester Hollow'!AD15,'Onteora Lake'!AD15,'Mt Tremper'!AD15,'Ashokan HP'!AD15,Vernooy!AD15,'Red Hill Dinch Road '!AD15,Flynn!AD15,'Frick Pond'!AD15,'Long Pond'!AD15)</f>
        <v>5469</v>
      </c>
      <c r="AE14" s="17">
        <f>SUM('Biscuit Brook'!AE15,'Hardenburgh- MH Trail'!AE15,'McKenley Hollow'!AE15,'Mongaup Pond'!AE15,'Rider Hollow'!AE15,Seager!AE15,Denning!AE15,'Fox Hollow'!AE15,'Giant Ledge'!AE15,Peekamoose!AE15,'Slide Mt'!AE15,Wittenberg!AE15,'Woodland Valley'!AE15,'Lane Street'!AE15,'Kelly Hollow'!AF15,'Millbrook to BLM FT'!AE15,'Beaverkill Road to BLM FT'!AE15,'Alder Lake'!AE15,'Dry Brook Ridge to Lean-to '!AE15,'Neversink Hardenburgh Trail'!AE15,Overlook!AE15,'Rochester Hollow'!AE15,'Onteora Lake'!AE15,'Mt Tremper'!AE15,'Ashokan HP'!AE15,Vernooy!AE15,'Red Hill Dinch Road '!AE15,Flynn!AE15,'Frick Pond'!AE15,'Long Pond'!AE15)</f>
        <v>5956.3333333333339</v>
      </c>
      <c r="AF14" s="17">
        <f>SUM('Biscuit Brook'!AF15,'Hardenburgh- MH Trail'!AF15,'McKenley Hollow'!AF15,'Mongaup Pond'!AF15,'Rider Hollow'!AF15,Seager!AF15,Denning!AF15,'Fox Hollow'!AF15,'Giant Ledge'!AF15,Peekamoose!AF15,'Slide Mt'!AF15,Wittenberg!AF15,'Woodland Valley'!AF15,'Lane Street'!AF15,'Kelly Hollow'!AG15,'Millbrook to BLM FT'!AF15,'Beaverkill Road to BLM FT'!AF15,'Alder Lake'!AF15,'Dry Brook Ridge to Lean-to '!AF15,'Neversink Hardenburgh Trail'!AF15,Overlook!AF15,'Rochester Hollow'!AF15,'Onteora Lake'!AF15,'Mt Tremper'!AF15,'Ashokan HP'!AF15,Vernooy!AF15,'Red Hill Dinch Road '!AF15,Flynn!AF15,'Frick Pond'!AF15,'Long Pond'!AF15,'Cathedral Glen'!AF15)</f>
        <v>4135</v>
      </c>
      <c r="AG14" s="17">
        <f>SUM('Biscuit Brook'!AG15,'Hardenburgh- MH Trail'!AG15,'McKenley Hollow'!AG15,'Mongaup Pond'!AG15,'Rider Hollow'!AG15,Seager!AG15,Denning!AG15,'Fox Hollow'!AG15,'Giant Ledge'!AG15,Peekamoose!AG15,'Slide Mt'!AG15,Wittenberg!AG15,'Woodland Valley'!AG15,'Lane Street'!AG15,'Kelly Hollow'!AH15,'Millbrook to BLM FT'!AG15,'Beaverkill Road to BLM FT'!AG15,'Alder Lake'!AG15,'Dry Brook Ridge to Lean-to '!AG15,'Neversink Hardenburgh Trail'!AG15,Overlook!AG15,'Rochester Hollow'!AG15,'Onteora Lake'!AG15,'Mt Tremper'!AG15,'Ashokan HP'!AG15,Vernooy!AG15,'Red Hill Dinch Road '!AG15,Flynn!AG15,'Frick Pond'!AG15,'Long Pond'!AG15,'Cathedral Glen'!AG15)</f>
        <v>3716</v>
      </c>
      <c r="AH14" s="17">
        <f>SUM('Biscuit Brook'!AH15,'Hardenburgh- MH Trail'!AH15,'McKenley Hollow'!AH15,'Mongaup Pond'!AH15,'Rider Hollow'!AH15,Seager!AH15,Denning!AH15,'Fox Hollow'!AH15,'Giant Ledge'!AH15,Peekamoose!AH15,'Slide Mt'!AH15,Wittenberg!AH15,'Woodland Valley'!AH15,'Lane Street'!AH15,'Kelly Hollow'!AI15,'Millbrook to BLM FT'!AH15,'Beaverkill Road to BLM FT'!AH15,'Alder Lake'!AH15,'Dry Brook Ridge to Lean-to '!AH15,'Neversink Hardenburgh Trail'!AH15,Overlook!AH15,'Rochester Hollow'!AH15,'Onteora Lake'!AH15,'Mt Tremper'!AH15,'Ashokan HP'!AH15,Vernooy!AH15,'Red Hill Dinch Road '!AH15,Flynn!AH15,'Frick Pond'!AH15,'Long Pond'!AH15,'Cathedral Glen'!AH15)</f>
        <v>2948</v>
      </c>
      <c r="AI14" s="17">
        <f>SUM('Biscuit Brook'!AI15,'Hardenburgh- MH Trail'!AI15,'McKenley Hollow'!AI15,'Mongaup Pond'!AI15,'Rider Hollow'!AI15,Seager!AI15,Denning!AI15,'Fox Hollow'!AI15,'Giant Ledge'!AI15,Peekamoose!AI15,'Slide Mt'!AI15,Wittenberg!AI15,'Woodland Valley'!AI15,'Lane Street'!AI15,'Kelly Hollow'!AJ15,'Millbrook to BLM FT'!AI15,'Beaverkill Road to BLM FT'!AI15,'Alder Lake'!AI15,'Dry Brook Ridge to Lean-to '!AI15,'Neversink Hardenburgh Trail'!AI15,Overlook!AI15,'Rochester Hollow'!AI15,'Onteora Lake'!AI15,'Mt Tremper'!AI15,'Ashokan HP'!AI15,Vernooy!AI15,'Red Hill Dinch Road '!AI15,Flynn!AI15,'Frick Pond'!AI15,'Long Pond'!AI15,'Cathedral Glen'!AI15)</f>
        <v>2014</v>
      </c>
      <c r="AJ14" s="17">
        <f>SUM('Biscuit Brook'!AJ15,'Hardenburgh- MH Trail'!AJ15,'McKenley Hollow'!AJ15,'Mongaup Pond'!AJ15,'Rider Hollow'!AJ15,Seager!AJ15,Denning!AJ15,'Fox Hollow'!AJ15,'Giant Ledge'!AJ15,Peekamoose!AJ15,'Slide Mt'!AJ15,Wittenberg!AJ15,'Woodland Valley'!AJ15,'Lane Street'!AJ15,'Kelly Hollow'!AK15,'Millbrook to BLM FT'!AJ15,'Beaverkill Road to BLM FT'!AJ15,'Alder Lake'!AJ15,'Dry Brook Ridge to Lean-to '!AJ15,'Neversink Hardenburgh Trail'!AJ15,Overlook!AJ15,'Rochester Hollow'!AJ15,'Onteora Lake'!AJ15,'Mt Tremper'!AJ15,'Ashokan HP'!AJ15,Vernooy!AJ15,'Red Hill Dinch Road '!AJ15,Flynn!AJ15,'Frick Pond'!AJ15,'Long Pond'!AJ15,'Cathedral Glen'!AJ15)</f>
        <v>0</v>
      </c>
      <c r="AK14" s="17">
        <f>SUM('Biscuit Brook'!AK15,'Hardenburgh- MH Trail'!AK15,'McKenley Hollow'!AK15,'Mongaup Pond'!AK15,'Rider Hollow'!AK15,Seager!AK15,Denning!AK15,'Fox Hollow'!AK15,'Giant Ledge'!AK15,Peekamoose!AK15,'Slide Mt'!AK15,Wittenberg!AK15,'Woodland Valley'!AK15,'Lane Street'!AK15,'Kelly Hollow'!AL15,'Millbrook to BLM FT'!AK15,'Beaverkill Road to BLM FT'!AK15,'Alder Lake'!AK15,'Dry Brook Ridge to Lean-to '!AK15,'Neversink Hardenburgh Trail'!AK15,Overlook!AK15,'Rochester Hollow'!AK15,'Onteora Lake'!AK15,'Mt Tremper'!AK15,'Ashokan HP'!AK15,Vernooy!AK15,'Red Hill Dinch Road '!AK15,Flynn!AK15,'Frick Pond'!AK15,'Long Pond'!AK15,'Cathedral Glen'!AK15)</f>
        <v>0</v>
      </c>
      <c r="AL14" s="17">
        <f>SUM('Biscuit Brook'!AL15,'Hardenburgh- MH Trail'!AL15,'McKenley Hollow'!AL15,'Mongaup Pond'!AL15,'Rider Hollow'!AL15,Seager!AL15,Denning!AL15,'Fox Hollow'!AL15,'Giant Ledge'!AL15,Peekamoose!AL15,'Slide Mt'!AL15,Wittenberg!AL15,'Woodland Valley'!AL15,'Lane Street'!AL15,'Kelly Hollow'!AM15,'Millbrook to BLM FT'!AL15,'Beaverkill Road to BLM FT'!AL15,'Alder Lake'!AL15,'Dry Brook Ridge to Lean-to '!AL15,'Neversink Hardenburgh Trail'!AL15,Overlook!AL15,'Rochester Hollow'!AL15,'Onteora Lake'!AL15,'Mt Tremper'!AL15,'Ashokan HP'!AL15,Vernooy!AL15,'Red Hill Dinch Road '!AL15,Flynn!AL15,'Frick Pond'!AL15,'Long Pond'!AL15,'Cathedral Glen'!AL15)</f>
        <v>0</v>
      </c>
      <c r="AM14" s="17">
        <f>SUM('Biscuit Brook'!AM15,'Hardenburgh- MH Trail'!AM15,'McKenley Hollow'!AM15,'Mongaup Pond'!AM15,'Rider Hollow'!AM15,Seager!AM15,Denning!AM15,'Fox Hollow'!AM15,'Giant Ledge'!AM15,Peekamoose!AM15,'Slide Mt'!AM15,Wittenberg!AM15,'Woodland Valley'!AM15,'Lane Street'!AM15,'Kelly Hollow'!AN15,'Millbrook to BLM FT'!AM15,'Beaverkill Road to BLM FT'!AM15,'Alder Lake'!AM15,'Dry Brook Ridge to Lean-to '!AM15,'Neversink Hardenburgh Trail'!AM15,Overlook!AM15,'Rochester Hollow'!AM15,'Onteora Lake'!AM15,'Mt Tremper'!AM15,'Ashokan HP'!AM15,Vernooy!AM15,'Red Hill Dinch Road '!AM15,Flynn!AM15,'Frick Pond'!AM15,'Long Pond'!AM15,'Cathedral Glen'!AM15)</f>
        <v>0</v>
      </c>
      <c r="AN14" s="17">
        <f>SUM('Biscuit Brook'!AN15,'Hardenburgh- MH Trail'!AN15,'McKenley Hollow'!AN15,'Mongaup Pond'!AN15,'Rider Hollow'!AN15,Seager!AN15,Denning!AN15,'Fox Hollow'!AN15,'Giant Ledge'!AN15,Peekamoose!AN15,'Slide Mt'!AN15,Wittenberg!AN15,'Woodland Valley'!AN15,'Lane Street'!AN15,'Kelly Hollow'!AO15,'Millbrook to BLM FT'!AN15,'Beaverkill Road to BLM FT'!AN15,'Alder Lake'!AN15,'Dry Brook Ridge to Lean-to '!AN15,'Neversink Hardenburgh Trail'!AN15,Overlook!AN15,'Rochester Hollow'!AN15,'Onteora Lake'!AN15,'Mt Tremper'!AN15,'Ashokan HP'!AN15,Vernooy!AN15,'Red Hill Dinch Road '!AN15,Flynn!AN15,'Frick Pond'!AN15,'Long Pond'!AN15,'Cathedral Glen'!AN15)</f>
        <v>0</v>
      </c>
      <c r="AO14" s="17">
        <f>SUM('Biscuit Brook'!AO15,'Hardenburgh- MH Trail'!AO15,'McKenley Hollow'!AO15,'Mongaup Pond'!AO15,'Rider Hollow'!AO15,Seager!AO15,Denning!AO15,'Fox Hollow'!AO15,'Giant Ledge'!AO15,Peekamoose!AO15,'Slide Mt'!AO15,Wittenberg!AO15,'Woodland Valley'!AO15,'Lane Street'!AO15,'Kelly Hollow'!AP15,'Millbrook to BLM FT'!AO15,'Beaverkill Road to BLM FT'!AO15,'Alder Lake'!AO15,'Dry Brook Ridge to Lean-to '!AO15,'Neversink Hardenburgh Trail'!AO15,Overlook!AO15,'Rochester Hollow'!AO15,'Onteora Lake'!AO15,'Mt Tremper'!AO15,'Ashokan HP'!AO15,Vernooy!AO15,'Red Hill Dinch Road '!AO15,Flynn!AO15,'Frick Pond'!AO15,'Long Pond'!AO15,'Cathedral Glen'!AO15)</f>
        <v>0</v>
      </c>
      <c r="AP14" s="17">
        <f>SUM('Biscuit Brook'!AP15,'Hardenburgh- MH Trail'!AP15,'McKenley Hollow'!AP15,'Mongaup Pond'!AP15,'Rider Hollow'!AP15,Seager!AP15,Denning!AP15,'Fox Hollow'!AP15,'Giant Ledge'!AP15,Peekamoose!AP15,'Slide Mt'!AP15,Wittenberg!AP15,'Woodland Valley'!AP15,'Lane Street'!AP15,'Kelly Hollow'!AQ15,'Millbrook to BLM FT'!AP15,'Beaverkill Road to BLM FT'!AP15,'Alder Lake'!AP15,'Dry Brook Ridge to Lean-to '!AP15,'Neversink Hardenburgh Trail'!AP15,Overlook!AP15,'Rochester Hollow'!AP15,'Onteora Lake'!AP15,'Mt Tremper'!AP15,'Ashokan HP'!AP15,Vernooy!AP15,'Red Hill Dinch Road '!AP15,Flynn!AP15,'Frick Pond'!AP15,'Long Pond'!AP15,'Cathedral Glen'!AP15)</f>
        <v>0</v>
      </c>
      <c r="AQ14" s="17">
        <f>SUM('Biscuit Brook'!AQ15,'Hardenburgh- MH Trail'!AQ15,'McKenley Hollow'!AQ15,'Mongaup Pond'!AQ15,'Rider Hollow'!AQ15,Seager!AQ15,Denning!AQ15,'Fox Hollow'!AQ15,'Giant Ledge'!AQ15,Peekamoose!AQ15,'Slide Mt'!AQ15,Wittenberg!AQ15,'Woodland Valley'!AQ15,'Lane Street'!AQ15,'Kelly Hollow'!AR15,'Millbrook to BLM FT'!AQ15,'Beaverkill Road to BLM FT'!AQ15,'Alder Lake'!AQ15,'Dry Brook Ridge to Lean-to '!AQ15,'Neversink Hardenburgh Trail'!AQ15,Overlook!AQ15,'Rochester Hollow'!AQ15,'Onteora Lake'!AQ15,'Mt Tremper'!AQ15,'Ashokan HP'!AQ15,Vernooy!AQ15,'Red Hill Dinch Road '!AQ15,Flynn!AQ15,'Frick Pond'!AQ15,'Long Pond'!AQ15,'Cathedral Glen'!AQ15)</f>
        <v>0</v>
      </c>
      <c r="AR14" s="17">
        <f>SUM('Biscuit Brook'!AR15,'Hardenburgh- MH Trail'!AR15,'McKenley Hollow'!AR15,'Mongaup Pond'!AR15,'Rider Hollow'!AR15,Seager!AR15,Denning!AR15,'Fox Hollow'!AR15,'Giant Ledge'!AR15,Peekamoose!AR15,'Slide Mt'!AR15,Wittenberg!AR15,'Woodland Valley'!AR15,'Lane Street'!AR15,'Kelly Hollow'!AS15,'Millbrook to BLM FT'!AR15,'Beaverkill Road to BLM FT'!AR15,'Alder Lake'!AR15,'Dry Brook Ridge to Lean-to '!AR15,'Neversink Hardenburgh Trail'!AR15,Overlook!AR15,'Rochester Hollow'!AR15,'Onteora Lake'!AR15,'Mt Tremper'!AR15,'Ashokan HP'!AR15,Vernooy!AR15,'Red Hill Dinch Road '!AR15,Flynn!AR15,'Frick Pond'!AR15,'Long Pond'!AR15,'Cathedral Glen'!AR15)</f>
        <v>0</v>
      </c>
      <c r="AS14" s="17">
        <f>SUM('Biscuit Brook'!AS15,'Hardenburgh- MH Trail'!AS15,'McKenley Hollow'!AS15,'Mongaup Pond'!AS15,'Rider Hollow'!AS15,Seager!AS15,Denning!AS15,'Fox Hollow'!AS15,'Giant Ledge'!AS15,Peekamoose!AS15,'Slide Mt'!AS15,Wittenberg!AS15,'Woodland Valley'!AS15,'Lane Street'!AS15,'Kelly Hollow'!AT15,'Millbrook to BLM FT'!AS15,'Beaverkill Road to BLM FT'!AS15,'Alder Lake'!AS15,'Dry Brook Ridge to Lean-to '!AS15,'Neversink Hardenburgh Trail'!AS15,Overlook!AS15,'Rochester Hollow'!AS15,'Onteora Lake'!AS15,'Mt Tremper'!AS15,'Ashokan HP'!AS15,Vernooy!AS15,'Red Hill Dinch Road '!AS15,Flynn!AS15,'Frick Pond'!AS15,'Long Pond'!AS15,'Cathedral Glen'!AS15)</f>
        <v>0</v>
      </c>
      <c r="AT14" s="17">
        <f>SUM('Biscuit Brook'!AT15,'Hardenburgh- MH Trail'!AT15,'McKenley Hollow'!AT15,'Mongaup Pond'!AT15,'Rider Hollow'!AT15,Seager!AT15,Denning!AT15,'Fox Hollow'!AT15,'Giant Ledge'!AT15,Peekamoose!AT15,'Slide Mt'!AT15,Wittenberg!AT15,'Woodland Valley'!AT15,'Lane Street'!AT15,'Kelly Hollow'!AU15,'Millbrook to BLM FT'!AT15,'Beaverkill Road to BLM FT'!AT15,'Alder Lake'!AT15,'Dry Brook Ridge to Lean-to '!AT15,'Neversink Hardenburgh Trail'!AT15,Overlook!AT15,'Rochester Hollow'!AT15,'Onteora Lake'!AT15,'Mt Tremper'!AT15,'Ashokan HP'!AT15,Vernooy!AT15,'Red Hill Dinch Road '!AT15,Flynn!AT15,'Frick Pond'!AT15,'Long Pond'!AT15,'Cathedral Glen'!AT15)</f>
        <v>0</v>
      </c>
      <c r="AU14" s="17">
        <f>SUM('Biscuit Brook'!AU15,'Hardenburgh- MH Trail'!AU15,'McKenley Hollow'!AU15,'Mongaup Pond'!AU15,'Rider Hollow'!AU15,Seager!AU15,Denning!AU15,'Fox Hollow'!AU15,'Giant Ledge'!AU15,Peekamoose!AU15,'Slide Mt'!AU15,Wittenberg!AU15,'Woodland Valley'!AU15,'Lane Street'!AU15,'Kelly Hollow'!AV15,'Millbrook to BLM FT'!AU15,'Beaverkill Road to BLM FT'!AU15,'Alder Lake'!AU15,'Dry Brook Ridge to Lean-to '!AU15,'Neversink Hardenburgh Trail'!AU15,Overlook!AU15,'Rochester Hollow'!AU15,'Onteora Lake'!AU15,'Mt Tremper'!AU15,'Ashokan HP'!AU15,Vernooy!AU15,'Red Hill Dinch Road '!AU15,Flynn!AU15,'Frick Pond'!AU15,'Long Pond'!AU15,'Cathedral Glen'!AU15)</f>
        <v>0</v>
      </c>
      <c r="AV14" s="17">
        <f>SUM('Biscuit Brook'!AV15,'Hardenburgh- MH Trail'!AV15,'McKenley Hollow'!AV15,'Mongaup Pond'!AV15,'Rider Hollow'!AV15,Seager!AV15,Denning!AV15,'Fox Hollow'!AV15,'Giant Ledge'!AV15,Peekamoose!AV15,'Slide Mt'!AV15,Wittenberg!AV15,'Woodland Valley'!AV15,'Lane Street'!AV15,'Kelly Hollow'!AW15,'Millbrook to BLM FT'!AV15,'Beaverkill Road to BLM FT'!AV15,'Alder Lake'!AV15,'Dry Brook Ridge to Lean-to '!AV15,'Neversink Hardenburgh Trail'!AV15,Overlook!AV15,'Rochester Hollow'!AV15,'Onteora Lake'!AV15,'Mt Tremper'!AV15,'Ashokan HP'!AV15,Vernooy!AV15,'Red Hill Dinch Road '!AV15,Flynn!AV15,'Frick Pond'!AV15,'Long Pond'!AV15,'Cathedral Glen'!AV15)</f>
        <v>0</v>
      </c>
      <c r="AW14" s="17">
        <f>SUM('Biscuit Brook'!AW15,'Hardenburgh- MH Trail'!AW15,'McKenley Hollow'!AW15,'Mongaup Pond'!AW15,'Rider Hollow'!AW15,Seager!AW15,Denning!AW15,'Fox Hollow'!AW15,'Giant Ledge'!AW15,Peekamoose!AW15,'Slide Mt'!AW15,Wittenberg!AW15,'Woodland Valley'!AW15,'Lane Street'!AW15,'Kelly Hollow'!AX15,'Millbrook to BLM FT'!AW15,'Beaverkill Road to BLM FT'!AW15,'Alder Lake'!AW15,'Dry Brook Ridge to Lean-to '!AW15,'Neversink Hardenburgh Trail'!AW15,Overlook!AW15,'Rochester Hollow'!AW15,'Onteora Lake'!AW15,'Mt Tremper'!AW15,'Ashokan HP'!AW15,Vernooy!AW15,'Red Hill Dinch Road '!AW15,Flynn!AW15,'Frick Pond'!AW15,'Long Pond'!AW15,'Cathedral Glen'!AW15)</f>
        <v>0</v>
      </c>
      <c r="AX14" s="17">
        <f>SUM('Biscuit Brook'!AX15,'Hardenburgh- MH Trail'!AX15,'McKenley Hollow'!AX15,'Mongaup Pond'!AX15,'Rider Hollow'!AX15,Seager!AX15,Denning!AX15,'Fox Hollow'!AX15,'Giant Ledge'!AX15,Peekamoose!AX15,'Slide Mt'!AX15,Wittenberg!AX15,'Woodland Valley'!AX15,'Lane Street'!AX15,'Kelly Hollow'!AY15,'Millbrook to BLM FT'!AX15,'Beaverkill Road to BLM FT'!AX15,'Alder Lake'!AX15,'Dry Brook Ridge to Lean-to '!AX15,'Neversink Hardenburgh Trail'!AX15,Overlook!AX15,'Rochester Hollow'!AX15,'Onteora Lake'!AX15,'Mt Tremper'!AX15,'Ashokan HP'!AX15,Vernooy!AX15,'Red Hill Dinch Road '!AX15,Flynn!AX15,'Frick Pond'!AX15,'Long Pond'!AX15,'Cathedral Glen'!AX15)</f>
        <v>0</v>
      </c>
      <c r="AY14" s="17">
        <f>SUM('Biscuit Brook'!AY15,'Hardenburgh- MH Trail'!AY15,'McKenley Hollow'!AY15,'Mongaup Pond'!AY15,'Rider Hollow'!AY15,Seager!AY15,Denning!AY15,'Fox Hollow'!AY15,'Giant Ledge'!AY15,Peekamoose!AY15,'Slide Mt'!AY15,Wittenberg!AY15,'Woodland Valley'!AY15,'Lane Street'!AY15,'Kelly Hollow'!AZ15,'Millbrook to BLM FT'!AY15,'Beaverkill Road to BLM FT'!AY15,'Alder Lake'!AY15,'Dry Brook Ridge to Lean-to '!AY15,'Neversink Hardenburgh Trail'!AY15,Overlook!AY15,'Rochester Hollow'!AY15,'Onteora Lake'!AY15,'Mt Tremper'!AY15,'Ashokan HP'!AY15,Vernooy!AY15,'Red Hill Dinch Road '!AY15,Flynn!AY15,'Frick Pond'!AY15,'Long Pond'!AY15,'Cathedral Glen'!AY15)</f>
        <v>0</v>
      </c>
      <c r="AZ14" s="17" t="e">
        <f>SUM('Biscuit Brook'!AZ15,'Hardenburgh- MH Trail'!AZ15,'McKenley Hollow'!AZ15,'Mongaup Pond'!AZ15,'Rider Hollow'!AZ15,Seager!AZ15,Denning!AZ15,'Fox Hollow'!AZ15,'Giant Ledge'!AZ15,Peekamoose!AZ15,'Slide Mt'!AZ15,Wittenberg!AZ15,'Woodland Valley'!AZ15,'Lane Street'!AZ15,'Kelly Hollow'!BA15,'Millbrook to BLM FT'!AZ15,'Beaverkill Road to BLM FT'!AZ15,'Alder Lake'!AZ15,'Dry Brook Ridge to Lean-to '!AZ15,'Neversink Hardenburgh Trail'!AZ15,Overlook!AZ15,'Rochester Hollow'!AZ15,'Onteora Lake'!BA15,'Mt Tremper'!AZ15,'Ashokan HP'!AZ15,Vernooy!AZ15,'Red Hill Dinch Road '!AZ15,Flynn!AZ15,'Frick Pond'!AZ15,'Long Pond'!AZ15)</f>
        <v>#N/A</v>
      </c>
      <c r="BA14" s="96" t="e">
        <v>#N/A</v>
      </c>
      <c r="BB14" s="96" t="e">
        <v>#N/A</v>
      </c>
      <c r="BC14" s="96" t="e">
        <v>#N/A</v>
      </c>
      <c r="BD14" s="96" t="e">
        <v>#N/A</v>
      </c>
      <c r="BE14" s="96" t="e">
        <v>#N/A</v>
      </c>
      <c r="BF14" s="96" t="e">
        <v>#N/A</v>
      </c>
      <c r="BG14" s="96" t="e">
        <v>#N/A</v>
      </c>
      <c r="BH14" s="96" t="e">
        <v>#N/A</v>
      </c>
      <c r="BI14" s="96" t="e">
        <v>#N/A</v>
      </c>
      <c r="BJ14" s="96">
        <f t="shared" si="36"/>
        <v>2188.4</v>
      </c>
      <c r="BK14" s="96">
        <f t="shared" si="37"/>
        <v>2306.1999999999998</v>
      </c>
      <c r="BL14" s="96">
        <f t="shared" si="38"/>
        <v>2390</v>
      </c>
      <c r="BM14" s="96">
        <f t="shared" si="39"/>
        <v>2475.8000000000002</v>
      </c>
      <c r="BN14" s="96">
        <f t="shared" si="40"/>
        <v>2446.6</v>
      </c>
      <c r="BO14" s="96">
        <f t="shared" si="41"/>
        <v>2546.5</v>
      </c>
      <c r="BP14" s="96">
        <f t="shared" si="42"/>
        <v>2637.6</v>
      </c>
      <c r="BQ14" s="96">
        <f t="shared" si="43"/>
        <v>2751.4</v>
      </c>
      <c r="BR14" s="96">
        <f t="shared" si="44"/>
        <v>2707.4444444444443</v>
      </c>
      <c r="BS14" s="96">
        <f t="shared" si="45"/>
        <v>2734.875</v>
      </c>
      <c r="BT14" s="96">
        <f t="shared" si="46"/>
        <v>2837.75</v>
      </c>
      <c r="BU14" s="96">
        <f t="shared" si="47"/>
        <v>2778.5714285714284</v>
      </c>
      <c r="BV14" s="96">
        <f t="shared" si="48"/>
        <v>2820.7142857142858</v>
      </c>
      <c r="BW14" s="96">
        <f t="shared" si="49"/>
        <v>2779.4285714285716</v>
      </c>
      <c r="BX14" s="96">
        <f t="shared" si="50"/>
        <v>2950</v>
      </c>
      <c r="BY14" s="96">
        <f t="shared" si="51"/>
        <v>3321.2857142857142</v>
      </c>
      <c r="BZ14" s="96">
        <f t="shared" si="52"/>
        <v>3566.2380952380954</v>
      </c>
      <c r="CA14" s="96">
        <f t="shared" si="53"/>
        <v>3891.2380952380954</v>
      </c>
      <c r="CB14" s="96">
        <f t="shared" si="54"/>
        <v>3872.9583333333335</v>
      </c>
      <c r="CC14" s="96">
        <f t="shared" si="55"/>
        <v>4050.296296296297</v>
      </c>
      <c r="CD14" s="96">
        <f t="shared" si="56"/>
        <v>4340.3333333333339</v>
      </c>
      <c r="CE14" s="96">
        <f t="shared" si="57"/>
        <v>4319.8000000000011</v>
      </c>
      <c r="CF14" s="96">
        <f t="shared" si="58"/>
        <v>4416</v>
      </c>
      <c r="CG14" s="96">
        <f t="shared" si="59"/>
        <v>4447.3999999999996</v>
      </c>
      <c r="CH14" s="96">
        <f t="shared" si="60"/>
        <v>4310</v>
      </c>
      <c r="CI14" s="96">
        <f t="shared" si="61"/>
        <v>4197.4444444444443</v>
      </c>
      <c r="CJ14" s="96">
        <f t="shared" si="62"/>
        <v>4115.916666666667</v>
      </c>
      <c r="CK14" s="96">
        <f t="shared" si="63"/>
        <v>3997.6190476190482</v>
      </c>
      <c r="CL14" s="96">
        <f t="shared" si="64"/>
        <v>4039.7222222222226</v>
      </c>
      <c r="CM14" s="96">
        <f t="shared" si="65"/>
        <v>3753.8666666666672</v>
      </c>
      <c r="CN14" s="96">
        <f t="shared" si="66"/>
        <v>3203.25</v>
      </c>
      <c r="CO14" s="96">
        <f t="shared" si="67"/>
        <v>2892.6666666666665</v>
      </c>
      <c r="CP14" s="96">
        <f t="shared" si="68"/>
        <v>2481</v>
      </c>
      <c r="CQ14" s="96">
        <f t="shared" si="69"/>
        <v>2014</v>
      </c>
      <c r="CR14" s="96" t="e">
        <f t="shared" si="70"/>
        <v>#DIV/0!</v>
      </c>
      <c r="CS14" s="96" t="e">
        <f t="shared" si="71"/>
        <v>#DIV/0!</v>
      </c>
      <c r="CT14" s="96" t="e">
        <f t="shared" si="72"/>
        <v>#DIV/0!</v>
      </c>
      <c r="CU14" s="96" t="e">
        <f t="shared" si="73"/>
        <v>#DIV/0!</v>
      </c>
      <c r="CV14" s="96" t="e">
        <f t="shared" si="74"/>
        <v>#DIV/0!</v>
      </c>
      <c r="CW14" s="96" t="e">
        <f t="shared" si="75"/>
        <v>#DIV/0!</v>
      </c>
      <c r="CX14" s="96" t="e">
        <f t="shared" si="76"/>
        <v>#DIV/0!</v>
      </c>
      <c r="CY14" s="96" t="e">
        <f t="shared" si="77"/>
        <v>#DIV/0!</v>
      </c>
    </row>
    <row r="15" spans="1:103" ht="20" customHeight="1" x14ac:dyDescent="0.2">
      <c r="A15" s="7" t="s">
        <v>11</v>
      </c>
      <c r="B15" s="14">
        <f>SUM('Biscuit Brook'!B16,'Hardenburgh- MH Trail'!B16,'McKenley Hollow'!B16,'Mongaup Pond'!B16,'Rider Hollow'!B16,Seager!B16,Denning!B16,'Fox Hollow'!B16,'Giant Ledge'!B16,Peekamoose!B16,'Slide Mt'!B16,Wittenberg!B16,'Woodland Valley'!B16,'Kelly Hollow'!B16,'Millbrook to BLM FT'!B16,'Beaverkill Road to BLM FT'!B16,'Alder Lake'!B16,'Dry Brook Ridge to Lean-to '!B16,'Neversink Hardenburgh Trail'!B16,Overlook!B16,'Rochester Hollow'!B16,'Onteora Lake'!B16,'Mt Tremper'!B16,'Ashokan HP'!B16,Vernooy!B16,'Red Hill Dinch Road '!B16,Flynn!B16,'Frick Pond'!B16,'Long Pond'!B16)</f>
        <v>919</v>
      </c>
      <c r="C15" s="14">
        <f>SUM('Biscuit Brook'!C16,'Hardenburgh- MH Trail'!C16,'McKenley Hollow'!C16,'Mongaup Pond'!C16,'Rider Hollow'!C16,Seager!C16,Denning!C16,'Fox Hollow'!C16,'Giant Ledge'!C16,Peekamoose!C16,'Slide Mt'!C16,Wittenberg!C16,'Woodland Valley'!C16,'Kelly Hollow'!C16,'Millbrook to BLM FT'!C16,'Beaverkill Road to BLM FT'!C16,'Alder Lake'!C16,'Dry Brook Ridge to Lean-to '!C16,'Neversink Hardenburgh Trail'!C16,Overlook!C16,'Rochester Hollow'!C16,'Onteora Lake'!C16,'Mt Tremper'!C16,'Ashokan HP'!C16,Vernooy!C16,'Red Hill Dinch Road '!C16,Flynn!C16,'Frick Pond'!C16,'Long Pond'!C16)</f>
        <v>565</v>
      </c>
      <c r="D15" s="14">
        <f>SUM('Biscuit Brook'!D16,'Hardenburgh- MH Trail'!D16,'McKenley Hollow'!D16,'Mongaup Pond'!D16,'Rider Hollow'!D16,Seager!D16,Denning!D16,'Fox Hollow'!D16,'Giant Ledge'!D16,Peekamoose!D16,'Slide Mt'!D16,Wittenberg!D16,'Woodland Valley'!D16,'Kelly Hollow'!D16,'Millbrook to BLM FT'!D16,'Beaverkill Road to BLM FT'!D16,'Alder Lake'!D16,'Dry Brook Ridge to Lean-to '!D16,'Neversink Hardenburgh Trail'!D16,Overlook!D16,'Rochester Hollow'!D16,'Onteora Lake'!D16,'Mt Tremper'!D16,'Ashokan HP'!D16,Vernooy!D16,'Red Hill Dinch Road '!D16,Flynn!D16,'Frick Pond'!D16,'Long Pond'!D16)</f>
        <v>671</v>
      </c>
      <c r="E15" s="14">
        <f>SUM('Biscuit Brook'!E16,'Hardenburgh- MH Trail'!E16,'McKenley Hollow'!E16,'Mongaup Pond'!E16,'Rider Hollow'!E16,Seager!E16,Denning!E16,'Fox Hollow'!E16,'Giant Ledge'!E16,Peekamoose!E16,'Slide Mt'!E16,Wittenberg!E16,'Woodland Valley'!E16,'Kelly Hollow'!E16,'Millbrook to BLM FT'!E16,'Beaverkill Road to BLM FT'!E16,'Alder Lake'!E16,'Dry Brook Ridge to Lean-to '!E16,'Neversink Hardenburgh Trail'!E16,Overlook!E16,'Rochester Hollow'!E16,'Onteora Lake'!E16,'Mt Tremper'!E16,'Ashokan HP'!E16,Vernooy!E16,'Red Hill Dinch Road '!E16,Flynn!E16,'Frick Pond'!E16,'Long Pond'!E16)</f>
        <v>1497</v>
      </c>
      <c r="F15" s="14">
        <f>SUM('Biscuit Brook'!F16,'Hardenburgh- MH Trail'!F16,'McKenley Hollow'!F16,'Mongaup Pond'!F16,'Rider Hollow'!F16,Seager!F16,Denning!F16,'Fox Hollow'!F16,'Giant Ledge'!F16,Peekamoose!F16,'Slide Mt'!F16,Wittenberg!F16,'Woodland Valley'!F16,'Kelly Hollow'!F16,'Millbrook to BLM FT'!F16,'Beaverkill Road to BLM FT'!F16,'Alder Lake'!F16,'Dry Brook Ridge to Lean-to '!F16,'Neversink Hardenburgh Trail'!F16,Overlook!F16,'Rochester Hollow'!F16,'Onteora Lake'!F16,'Mt Tremper'!F16,'Ashokan HP'!F16,Vernooy!F16,'Red Hill Dinch Road '!F16,Flynn!F16,'Frick Pond'!F16,'Long Pond'!F16)</f>
        <v>865</v>
      </c>
      <c r="G15" s="14">
        <f>SUM('Biscuit Brook'!G16,'Hardenburgh- MH Trail'!G16,'McKenley Hollow'!G16,'Mongaup Pond'!G16,'Rider Hollow'!G16,Seager!G16,Denning!G16,'Fox Hollow'!G16,'Giant Ledge'!G16,Peekamoose!G16,'Slide Mt'!G16,Wittenberg!G16,'Woodland Valley'!G16,'Kelly Hollow'!G16,'Millbrook to BLM FT'!G16,'Beaverkill Road to BLM FT'!G16,'Alder Lake'!G16,'Dry Brook Ridge to Lean-to '!G16,'Neversink Hardenburgh Trail'!G16,Overlook!G16,'Rochester Hollow'!G16,'Onteora Lake'!G16,'Mt Tremper'!G16,'Ashokan HP'!G16,Vernooy!G16,'Red Hill Dinch Road '!G16,Flynn!G16,'Frick Pond'!G16,'Long Pond'!G16)</f>
        <v>826</v>
      </c>
      <c r="H15" s="14">
        <f>SUM('Biscuit Brook'!H16,'Hardenburgh- MH Trail'!H16,'McKenley Hollow'!H16,'Mongaup Pond'!H16,'Rider Hollow'!H16,Seager!H16,Denning!H16,'Fox Hollow'!H16,'Giant Ledge'!H16,Peekamoose!H16,'Slide Mt'!H16,Wittenberg!H16,'Woodland Valley'!H16,'Kelly Hollow'!H16,'Millbrook to BLM FT'!H16,'Beaverkill Road to BLM FT'!H16,'Alder Lake'!H16,'Dry Brook Ridge to Lean-to '!H16,'Neversink Hardenburgh Trail'!H16,Overlook!H16,'Rochester Hollow'!H16,'Onteora Lake'!H16,'Mt Tremper'!H16,'Ashokan HP'!H16,Vernooy!H16,'Red Hill Dinch Road '!H16,Flynn!H16,'Frick Pond'!H16,'Long Pond'!H16)</f>
        <v>1075</v>
      </c>
      <c r="I15" s="14">
        <f>SUM('Biscuit Brook'!I16,'Hardenburgh- MH Trail'!I16,'McKenley Hollow'!I16,'Mongaup Pond'!I16,'Rider Hollow'!I16,Seager!I16,Denning!I16,'Fox Hollow'!I16,'Giant Ledge'!I16,Peekamoose!I16,'Slide Mt'!I16,Wittenberg!I16,'Woodland Valley'!I16,'Kelly Hollow'!I16,'Millbrook to BLM FT'!I16,'Beaverkill Road to BLM FT'!I16,'Alder Lake'!I16,'Dry Brook Ridge to Lean-to '!I16,'Neversink Hardenburgh Trail'!I16,Overlook!I16,'Rochester Hollow'!I16,'Onteora Lake'!I16,'Mt Tremper'!I16,'Ashokan HP'!I16,Vernooy!I16,'Red Hill Dinch Road '!I16,Flynn!I16,'Frick Pond'!I16,'Long Pond'!I16)</f>
        <v>1515</v>
      </c>
      <c r="J15" s="14">
        <f>SUM('Biscuit Brook'!J16,'Hardenburgh- MH Trail'!J16,'McKenley Hollow'!J16,'Mongaup Pond'!J16,'Rider Hollow'!J16,Seager!J16,Denning!J16,'Fox Hollow'!J16,'Giant Ledge'!J16,Peekamoose!J16,'Slide Mt'!J16,Wittenberg!J16,'Woodland Valley'!J16,'Kelly Hollow'!J16,'Millbrook to BLM FT'!J16,'Beaverkill Road to BLM FT'!J16,'Alder Lake'!J16,'Dry Brook Ridge to Lean-to '!J16,'Neversink Hardenburgh Trail'!J16,Overlook!J16,'Rochester Hollow'!J16,'Onteora Lake'!J16,'Mt Tremper'!J16,'Ashokan HP'!J16,Vernooy!J16,'Red Hill Dinch Road '!J16,Flynn!J16,'Frick Pond'!J16,'Long Pond'!J16)</f>
        <v>1167</v>
      </c>
      <c r="K15" s="14">
        <f>SUM('Biscuit Brook'!K16,'Hardenburgh- MH Trail'!K16,'McKenley Hollow'!K16,'Mongaup Pond'!K16,'Rider Hollow'!K16,Seager!K16,Denning!K16,'Fox Hollow'!K16,'Giant Ledge'!K16,Peekamoose!K16,'Slide Mt'!K16,Wittenberg!K16,'Woodland Valley'!K16,'Kelly Hollow'!K16,'Millbrook to BLM FT'!K16,'Beaverkill Road to BLM FT'!K16,'Alder Lake'!K16,'Dry Brook Ridge to Lean-to '!K16,'Neversink Hardenburgh Trail'!K16,Overlook!K16,'Rochester Hollow'!K16,'Onteora Lake'!K16,'Mt Tremper'!K16,'Ashokan HP'!K16,Vernooy!K16,'Red Hill Dinch Road '!K16,Flynn!K16,'Frick Pond'!K16,'Long Pond'!K16)</f>
        <v>930</v>
      </c>
      <c r="L15" s="14">
        <f>SUM('Biscuit Brook'!L16,'Hardenburgh- MH Trail'!L16,'McKenley Hollow'!L16,'Mongaup Pond'!L16,'Rider Hollow'!L16,Seager!L16,Denning!L16,'Fox Hollow'!L16,'Giant Ledge'!L16,Peekamoose!L16,'Slide Mt'!L16,Wittenberg!L16,'Woodland Valley'!L16,'Kelly Hollow'!L16,'Millbrook to BLM FT'!L16,'Beaverkill Road to BLM FT'!L16,'Alder Lake'!L16,'Dry Brook Ridge to Lean-to '!L16,'Neversink Hardenburgh Trail'!L16,Overlook!L16,'Rochester Hollow'!L16,'Onteora Lake'!L16,'Mt Tremper'!L16,'Ashokan HP'!L16,Vernooy!L16,'Red Hill Dinch Road '!L16,Flynn!L16,'Frick Pond'!L16,'Long Pond'!L16)</f>
        <v>1837</v>
      </c>
      <c r="M15" s="14">
        <f>SUM('Biscuit Brook'!M16,'Hardenburgh- MH Trail'!M16,'McKenley Hollow'!M16,'Mongaup Pond'!M16,'Rider Hollow'!M16,Seager!M16,Denning!M16,'Fox Hollow'!M16,'Giant Ledge'!M16,Peekamoose!M16,'Slide Mt'!M16,Wittenberg!M16,'Woodland Valley'!M16,'Kelly Hollow'!M16,'Millbrook to BLM FT'!M16,'Beaverkill Road to BLM FT'!M16,'Alder Lake'!M16,'Dry Brook Ridge to Lean-to '!M16,'Neversink Hardenburgh Trail'!M16,Overlook!M16,'Rochester Hollow'!M16,'Onteora Lake'!M16,'Mt Tremper'!M16,'Ashokan HP'!M16,Vernooy!M16,'Red Hill Dinch Road '!M16,Flynn!M16,'Frick Pond'!M16,'Long Pond'!M16)</f>
        <v>1312</v>
      </c>
      <c r="N15" s="14">
        <f>SUM('Biscuit Brook'!N16,'Hardenburgh- MH Trail'!N16,'McKenley Hollow'!N16,'Mongaup Pond'!N16,'Rider Hollow'!N16,Seager!N16,Denning!N16,'Fox Hollow'!N16,'Giant Ledge'!N16,Peekamoose!N16,'Slide Mt'!N16,Wittenberg!N16,'Woodland Valley'!N16,'Kelly Hollow'!N16,'Millbrook to BLM FT'!N16,'Beaverkill Road to BLM FT'!N16,'Alder Lake'!N16,'Dry Brook Ridge to Lean-to '!N16,'Neversink Hardenburgh Trail'!N16,Overlook!N16,'Rochester Hollow'!N16,'Onteora Lake'!N16,'Mt Tremper'!N16,'Ashokan HP'!N16,Vernooy!N16,'Red Hill Dinch Road '!N16,Flynn!N16,'Frick Pond'!N16,'Long Pond'!N16)</f>
        <v>1509</v>
      </c>
      <c r="O15" s="14">
        <f>SUM('Biscuit Brook'!O16,'Hardenburgh- MH Trail'!O16,'McKenley Hollow'!O16,'Mongaup Pond'!O16,'Rider Hollow'!O16,Seager!O16,Denning!O16,'Fox Hollow'!O16,'Giant Ledge'!O16,Peekamoose!O16,'Slide Mt'!O16,Wittenberg!O16,'Woodland Valley'!O16,'Kelly Hollow'!O16,'Millbrook to BLM FT'!O16,'Beaverkill Road to BLM FT'!O16,'Alder Lake'!O16,'Dry Brook Ridge to Lean-to '!O16,'Neversink Hardenburgh Trail'!O16,Overlook!O16,'Rochester Hollow'!O16,'Onteora Lake'!O16,'Mt Tremper'!O16,'Ashokan HP'!O16,Vernooy!O16,'Red Hill Dinch Road '!O16,Flynn!O16,'Frick Pond'!O16,'Long Pond'!O16)</f>
        <v>1438</v>
      </c>
      <c r="P15" s="14">
        <f>SUM('Biscuit Brook'!P16,'Hardenburgh- MH Trail'!P16,'McKenley Hollow'!P16,'Mongaup Pond'!P16,'Rider Hollow'!P16,Seager!P16,Denning!P16,'Fox Hollow'!P16,'Giant Ledge'!P16,Peekamoose!P16,'Slide Mt'!P16,Wittenberg!P16,'Woodland Valley'!P16,'Kelly Hollow'!P16,'Millbrook to BLM FT'!P16,'Beaverkill Road to BLM FT'!P16,'Alder Lake'!P16,'Dry Brook Ridge to Lean-to '!P16,'Neversink Hardenburgh Trail'!P16,Overlook!P16,'Rochester Hollow'!P16,'Onteora Lake'!P16,'Mt Tremper'!P16,'Ashokan HP'!P16,Vernooy!P16,'Red Hill Dinch Road '!P16,Flynn!P16,'Frick Pond'!P16,'Long Pond'!P16)</f>
        <v>1004</v>
      </c>
      <c r="Q15" s="14">
        <f>SUM('Biscuit Brook'!Q16,'Hardenburgh- MH Trail'!Q16,'McKenley Hollow'!Q16,'Mongaup Pond'!Q16,'Rider Hollow'!Q16,Seager!Q16,Denning!Q16,'Fox Hollow'!Q16,'Giant Ledge'!Q16,Peekamoose!Q16,'Slide Mt'!Q16,Wittenberg!Q16,'Woodland Valley'!Q16,'Kelly Hollow'!Q16,'Millbrook to BLM FT'!Q16,'Beaverkill Road to BLM FT'!Q16,'Alder Lake'!Q16,'Dry Brook Ridge to Lean-to '!Q16,'Neversink Hardenburgh Trail'!Q16,Overlook!Q16,'Rochester Hollow'!Q16,'Onteora Lake'!Q16,'Mt Tremper'!Q16,'Ashokan HP'!Q16,Vernooy!Q16,'Red Hill Dinch Road '!Q16,Flynn!Q16,'Frick Pond'!Q16,'Long Pond'!Q16)</f>
        <v>2325</v>
      </c>
      <c r="R15" s="14">
        <f>SUM('Biscuit Brook'!R16,'Hardenburgh- MH Trail'!R16,'McKenley Hollow'!R16,'Mongaup Pond'!R16,'Rider Hollow'!R16,Seager!R16,Denning!R16,'Fox Hollow'!R16,'Giant Ledge'!R16,Peekamoose!R16,'Slide Mt'!R16,Wittenberg!R16,'Woodland Valley'!R16,'Kelly Hollow'!R16,'Millbrook to BLM FT'!R16,'Beaverkill Road to BLM FT'!R16,'Alder Lake'!R16,'Dry Brook Ridge to Lean-to '!R16,'Neversink Hardenburgh Trail'!R16,Overlook!R16,'Rochester Hollow'!R16,'Onteora Lake'!R16,'Mt Tremper'!R16,'Ashokan HP'!R16,Vernooy!R16,'Red Hill Dinch Road '!R16,Flynn!R16,'Frick Pond'!R16,'Long Pond'!R16)</f>
        <v>1211</v>
      </c>
      <c r="S15" s="14"/>
      <c r="T15" s="14"/>
      <c r="U15" s="15">
        <f>SUM('Biscuit Brook'!U16,'Hardenburgh- MH Trail'!U16,'McKenley Hollow'!U16,'Mongaup Pond'!U16,'Rider Hollow'!U16,Seager!U16,Denning!U16,'Fox Hollow'!U16,'Giant Ledge'!U16,Peekamoose!U16,'Slide Mt'!U16,Wittenberg!U16,'Woodland Valley'!U16,'Kelly Hollow'!U16,'Millbrook to BLM FT'!U16,'Beaverkill Road to BLM FT'!U16,'Alder Lake'!U16,'Dry Brook Ridge to Lean-to '!U16,'Neversink Hardenburgh Trail'!U16,Overlook!U16,'Rochester Hollow'!U16,'Onteora Lake'!U16,'Mt Tremper'!U16,'Ashokan HP'!U16,Vernooy!U16,'Red Hill Dinch Road '!U16,Flynn!U16,'Frick Pond'!U16,'Long Pond'!U16)</f>
        <v>1368</v>
      </c>
      <c r="V15" s="15"/>
      <c r="W15" s="15">
        <f>SUM('Biscuit Brook'!W16,'Hardenburgh- MH Trail'!W16,'McKenley Hollow'!W16,'Mongaup Pond'!W16,'Rider Hollow'!W16,Seager!W16,Denning!W16,'Fox Hollow'!W16,'Giant Ledge'!W16,Peekamoose!W16,'Slide Mt'!W16,Wittenberg!W16,'Woodland Valley'!W16,'Kelly Hollow'!W16,'Millbrook to BLM FT'!W16,'Beaverkill Road to BLM FT'!W16,'Alder Lake'!W16,'Dry Brook Ridge to Lean-to '!W16,'Neversink Hardenburgh Trail'!W16,Overlook!W16,'Rochester Hollow'!W16,'Onteora Lake'!W16,'Mt Tremper'!W16,'Ashokan HP'!W16,Vernooy!W16,'Red Hill Dinch Road '!W16,Flynn!W16,'Frick Pond'!W16,'Long Pond'!W16)</f>
        <v>1710</v>
      </c>
      <c r="X15" s="15">
        <f>SUM('Biscuit Brook'!X16,'Hardenburgh- MH Trail'!X16,'McKenley Hollow'!X16,'Mongaup Pond'!X16,'Rider Hollow'!X16,Seager!X16,Denning!X16,'Fox Hollow'!X16,'Giant Ledge'!X16,Peekamoose!X16,'Slide Mt'!X16,Wittenberg!X16,'Woodland Valley'!X16,'Kelly Hollow'!X16,'Millbrook to BLM FT'!X16,'Beaverkill Road to BLM FT'!X16,'Alder Lake'!X16,'Dry Brook Ridge to Lean-to '!X16,'Neversink Hardenburgh Trail'!X16,Overlook!X16,'Rochester Hollow'!X16,'Onteora Lake'!X16,'Mt Tremper'!X16,'Ashokan HP'!X16,Vernooy!X16,'Red Hill Dinch Road '!X16,Flynn!X16,'Frick Pond'!X16,'Long Pond'!X16)</f>
        <v>1534</v>
      </c>
      <c r="Y15" s="15">
        <f>SUM('Biscuit Brook'!Y16,'Hardenburgh- MH Trail'!Y16,'McKenley Hollow'!Y16,'Mongaup Pond'!Y16,'Rider Hollow'!Y16,Seager!Y16,Denning!Y16,'Fox Hollow'!Y16,'Giant Ledge'!Y16,Peekamoose!Y16,'Slide Mt'!Y16,Wittenberg!Y16,'Woodland Valley'!Y16,'Lane Street'!Y16,'Kelly Hollow'!Y16,'Millbrook to BLM FT'!Y16,'Beaverkill Road to BLM FT'!Y16,'Alder Lake'!Y16,'Dry Brook Ridge to Lean-to '!Y16,'Neversink Hardenburgh Trail'!Y16,Overlook!Y16,'Rochester Hollow'!Y16,'Onteora Lake'!Y16,'Mt Tremper'!Y16,'Ashokan HP'!Y16,Vernooy!Y16,'Red Hill Dinch Road '!Y16,Flynn!Y16,'Frick Pond'!Y16,'Long Pond'!Y16)</f>
        <v>2327</v>
      </c>
      <c r="Z15" s="15">
        <f>SUM('Biscuit Brook'!Z16,'Hardenburgh- MH Trail'!Z16,'McKenley Hollow'!Z16,'Mongaup Pond'!Z16,'Rider Hollow'!Z16,Seager!Z16,Denning!Z16,'Fox Hollow'!Z16,'Giant Ledge'!Z16,Peekamoose!Z16,'Slide Mt'!Z16,Wittenberg!Z16,'Woodland Valley'!Z16,'Lane Street'!Z16,'Kelly Hollow'!Z16,'Millbrook to BLM FT'!Z16,'Beaverkill Road to BLM FT'!Z16,'Alder Lake'!Z16,'Dry Brook Ridge to Lean-to '!Z16,'Neversink Hardenburgh Trail'!Z16,Overlook!Z16,'Rochester Hollow'!Z16,'Onteora Lake'!Z16,'Mt Tremper'!Z16,'Ashokan HP'!Z16,Vernooy!Z16,'Red Hill Dinch Road '!Z16,Flynn!Z16,'Frick Pond'!Z16,'Long Pond'!Z16)</f>
        <v>3230</v>
      </c>
      <c r="AA15" s="15">
        <f>SUM('Biscuit Brook'!AA16,'Hardenburgh- MH Trail'!AA16,'McKenley Hollow'!AA16,'Mongaup Pond'!AA16,'Rider Hollow'!AA16,Seager!AA16,Denning!AA16,'Fox Hollow'!AA16,'Giant Ledge'!AA16,Peekamoose!AA16,'Slide Mt'!AA16,Wittenberg!AA16,'Woodland Valley'!AA16,'Lane Street'!AA16,'Kelly Hollow'!AA16,'Millbrook to BLM FT'!AA16,'Beaverkill Road to BLM FT'!AA16,'Alder Lake'!AA16,'Dry Brook Ridge to Lean-to '!AA16,'Neversink Hardenburgh Trail'!AA16,Overlook!AA16,'Rochester Hollow'!AA16,'Onteora Lake'!AA16,'Mt Tremper'!AA16,'Ashokan HP'!AA16,Vernooy!AA16,'Red Hill Dinch Road '!AA16,Flynn!AA16,'Frick Pond'!AA16,'Long Pond'!AA16)</f>
        <v>2182.666666666667</v>
      </c>
      <c r="AB15" s="15">
        <f>SUM('Biscuit Brook'!AB16,'Hardenburgh- MH Trail'!AB16,'McKenley Hollow'!AB16,'Mongaup Pond'!AB16,'Rider Hollow'!AB16,Seager!AB16,Denning!AB16,'Fox Hollow'!AB16,'Giant Ledge'!AB16,Peekamoose!AB16,'Slide Mt'!AB16,Wittenberg!AB16,'Woodland Valley'!AB16,'Lane Street'!AB16,'Kelly Hollow'!AB16,'Millbrook to BLM FT'!AB16,'Beaverkill Road to BLM FT'!AB16,'Alder Lake'!AB16,'Dry Brook Ridge to Lean-to '!AB16,'Neversink Hardenburgh Trail'!AB16,Overlook!AB16,'Rochester Hollow'!AB16,'Onteora Lake'!AB16,'Mt Tremper'!AB16,'Ashokan HP'!AB16,Vernooy!AB16,'Red Hill Dinch Road '!AB16,Flynn!AB16,'Frick Pond'!AB16,'Long Pond'!AB16)</f>
        <v>2367</v>
      </c>
      <c r="AC15" s="15">
        <f>SUM('Biscuit Brook'!AC16,'Hardenburgh- MH Trail'!AC16,'McKenley Hollow'!AC16,'Mongaup Pond'!AC16,'Rider Hollow'!AC16,Seager!AC16,Denning!AC16,'Fox Hollow'!AC16,'Giant Ledge'!AC16,Peekamoose!AC16,'Slide Mt'!AC16,Wittenberg!AC16,'Woodland Valley'!AC16,'Lane Street'!AC16,'Kelly Hollow'!AD16,'Millbrook to BLM FT'!AC16,'Beaverkill Road to BLM FT'!AC16,'Alder Lake'!AC16,'Dry Brook Ridge to Lean-to '!AC16,'Neversink Hardenburgh Trail'!AC16,Overlook!AC16,'Rochester Hollow'!AC16,'Onteora Lake'!AC16,'Mt Tremper'!AC16,'Ashokan HP'!AC16,Vernooy!AC16,'Red Hill Dinch Road '!AC16,Flynn!AC16,'Frick Pond'!AC16,'Long Pond'!AC16)</f>
        <v>4068</v>
      </c>
      <c r="AD15" s="15">
        <f>SUM('Biscuit Brook'!AD16,'Hardenburgh- MH Trail'!AD16,'McKenley Hollow'!AD16,'Mongaup Pond'!AD16,'Rider Hollow'!AD16,Seager!AD16,Denning!AD16,'Fox Hollow'!AD16,'Giant Ledge'!AD16,Peekamoose!AD16,'Slide Mt'!AD16,Wittenberg!AD16,'Woodland Valley'!AD16,'Lane Street'!AD16,'Kelly Hollow'!AE16,'Millbrook to BLM FT'!AD16,'Beaverkill Road to BLM FT'!AD16,'Alder Lake'!AD16,'Dry Brook Ridge to Lean-to '!AD16,'Neversink Hardenburgh Trail'!AD16,Overlook!AD16,'Rochester Hollow'!AD16,'Onteora Lake'!AD16,'Mt Tremper'!AD16,'Ashokan HP'!AD16,Vernooy!AD16,'Red Hill Dinch Road '!AD16,Flynn!AD16,'Frick Pond'!AD16,'Long Pond'!AD16)</f>
        <v>2943</v>
      </c>
      <c r="AE15" s="15">
        <f>SUM('Biscuit Brook'!AE16,'Hardenburgh- MH Trail'!AE16,'McKenley Hollow'!AE16,'Mongaup Pond'!AE16,'Rider Hollow'!AE16,Seager!AE16,Denning!AE16,'Fox Hollow'!AE16,'Giant Ledge'!AE16,Peekamoose!AE16,'Slide Mt'!AE16,Wittenberg!AE16,'Woodland Valley'!AE16,'Lane Street'!AE16,'Kelly Hollow'!AF16,'Millbrook to BLM FT'!AE16,'Beaverkill Road to BLM FT'!AE16,'Alder Lake'!AE16,'Dry Brook Ridge to Lean-to '!AE16,'Neversink Hardenburgh Trail'!AE16,Overlook!AE16,'Rochester Hollow'!AE16,'Onteora Lake'!AE16,'Mt Tremper'!AE16,'Ashokan HP'!AE16,Vernooy!AE16,'Red Hill Dinch Road '!AE16,Flynn!AE16,'Frick Pond'!AE16,'Long Pond'!AE16)</f>
        <v>2038.6666666666665</v>
      </c>
      <c r="AF15" s="15">
        <f>SUM('Biscuit Brook'!AF16,'Hardenburgh- MH Trail'!AF16,'McKenley Hollow'!AF16,'Mongaup Pond'!AF16,'Rider Hollow'!AF16,Seager!AF16,Denning!AF16,'Fox Hollow'!AF16,'Giant Ledge'!AF16,Peekamoose!AF16,'Slide Mt'!AF16,Wittenberg!AF16,'Woodland Valley'!AF16,'Lane Street'!AF16,'Kelly Hollow'!AG16,'Millbrook to BLM FT'!AF16,'Beaverkill Road to BLM FT'!AF16,'Alder Lake'!AF16,'Dry Brook Ridge to Lean-to '!AF16,'Neversink Hardenburgh Trail'!AF16,Overlook!AF16,'Rochester Hollow'!AF16,'Onteora Lake'!AF16,'Mt Tremper'!AF16,'Ashokan HP'!AF16,Vernooy!AF16,'Red Hill Dinch Road '!AF16,Flynn!AF16,'Frick Pond'!AF16,'Long Pond'!AF16,'Cathedral Glen'!AF16)</f>
        <v>3001</v>
      </c>
      <c r="AG15" s="15">
        <f>SUM('Biscuit Brook'!AG16,'Hardenburgh- MH Trail'!AG16,'McKenley Hollow'!AG16,'Mongaup Pond'!AG16,'Rider Hollow'!AG16,Seager!AG16,Denning!AG16,'Fox Hollow'!AG16,'Giant Ledge'!AG16,Peekamoose!AG16,'Slide Mt'!AG16,Wittenberg!AG16,'Woodland Valley'!AG16,'Lane Street'!AG16,'Kelly Hollow'!AH16,'Millbrook to BLM FT'!AG16,'Beaverkill Road to BLM FT'!AG16,'Alder Lake'!AG16,'Dry Brook Ridge to Lean-to '!AG16,'Neversink Hardenburgh Trail'!AG16,Overlook!AG16,'Rochester Hollow'!AG16,'Onteora Lake'!AG16,'Mt Tremper'!AG16,'Ashokan HP'!AG16,Vernooy!AG16,'Red Hill Dinch Road '!AG16,Flynn!AG16,'Frick Pond'!AG16,'Long Pond'!AG16,'Cathedral Glen'!AG16)</f>
        <v>2499.7777777777778</v>
      </c>
      <c r="AH15" s="15">
        <f>SUM('Biscuit Brook'!AH16,'Hardenburgh- MH Trail'!AH16,'McKenley Hollow'!AH16,'Mongaup Pond'!AH16,'Rider Hollow'!AH16,Seager!AH16,Denning!AH16,'Fox Hollow'!AH16,'Giant Ledge'!AH16,Peekamoose!AH16,'Slide Mt'!AH16,Wittenberg!AH16,'Woodland Valley'!AH16,'Lane Street'!AH16,'Kelly Hollow'!AI16,'Millbrook to BLM FT'!AH16,'Beaverkill Road to BLM FT'!AH16,'Alder Lake'!AH16,'Dry Brook Ridge to Lean-to '!AH16,'Neversink Hardenburgh Trail'!AH16,Overlook!AH16,'Rochester Hollow'!AH16,'Onteora Lake'!AH16,'Mt Tremper'!AH16,'Ashokan HP'!AH16,Vernooy!AH16,'Red Hill Dinch Road '!AH16,Flynn!AH16,'Frick Pond'!AH16,'Long Pond'!AH16,'Cathedral Glen'!AH16)</f>
        <v>2002</v>
      </c>
      <c r="AI15" s="15">
        <f>SUM('Biscuit Brook'!AI16,'Hardenburgh- MH Trail'!AI16,'McKenley Hollow'!AI16,'Mongaup Pond'!AI16,'Rider Hollow'!AI16,Seager!AI16,Denning!AI16,'Fox Hollow'!AI16,'Giant Ledge'!AI16,Peekamoose!AI16,'Slide Mt'!AI16,Wittenberg!AI16,'Woodland Valley'!AI16,'Lane Street'!AI16,'Kelly Hollow'!AJ16,'Millbrook to BLM FT'!AI16,'Beaverkill Road to BLM FT'!AI16,'Alder Lake'!AI16,'Dry Brook Ridge to Lean-to '!AI16,'Neversink Hardenburgh Trail'!AI16,Overlook!AI16,'Rochester Hollow'!AI16,'Onteora Lake'!AI16,'Mt Tremper'!AI16,'Ashokan HP'!AI16,Vernooy!AI16,'Red Hill Dinch Road '!AI16,Flynn!AI16,'Frick Pond'!AI16,'Long Pond'!AI16,'Cathedral Glen'!AI16)</f>
        <v>852</v>
      </c>
      <c r="AJ15" s="15">
        <f>SUM('Biscuit Brook'!AJ16,'Hardenburgh- MH Trail'!AJ16,'McKenley Hollow'!AJ16,'Mongaup Pond'!AJ16,'Rider Hollow'!AJ16,Seager!AJ16,Denning!AJ16,'Fox Hollow'!AJ16,'Giant Ledge'!AJ16,Peekamoose!AJ16,'Slide Mt'!AJ16,Wittenberg!AJ16,'Woodland Valley'!AJ16,'Lane Street'!AJ16,'Kelly Hollow'!AK16,'Millbrook to BLM FT'!AJ16,'Beaverkill Road to BLM FT'!AJ16,'Alder Lake'!AJ16,'Dry Brook Ridge to Lean-to '!AJ16,'Neversink Hardenburgh Trail'!AJ16,Overlook!AJ16,'Rochester Hollow'!AJ16,'Onteora Lake'!AJ16,'Mt Tremper'!AJ16,'Ashokan HP'!AJ16,Vernooy!AJ16,'Red Hill Dinch Road '!AJ16,Flynn!AJ16,'Frick Pond'!AJ16,'Long Pond'!AJ16,'Cathedral Glen'!AJ16)</f>
        <v>0</v>
      </c>
      <c r="AK15" s="15">
        <f>SUM('Biscuit Brook'!AK16,'Hardenburgh- MH Trail'!AK16,'McKenley Hollow'!AK16,'Mongaup Pond'!AK16,'Rider Hollow'!AK16,Seager!AK16,Denning!AK16,'Fox Hollow'!AK16,'Giant Ledge'!AK16,Peekamoose!AK16,'Slide Mt'!AK16,Wittenberg!AK16,'Woodland Valley'!AK16,'Lane Street'!AK16,'Kelly Hollow'!AL16,'Millbrook to BLM FT'!AK16,'Beaverkill Road to BLM FT'!AK16,'Alder Lake'!AK16,'Dry Brook Ridge to Lean-to '!AK16,'Neversink Hardenburgh Trail'!AK16,Overlook!AK16,'Rochester Hollow'!AK16,'Onteora Lake'!AK16,'Mt Tremper'!AK16,'Ashokan HP'!AK16,Vernooy!AK16,'Red Hill Dinch Road '!AK16,Flynn!AK16,'Frick Pond'!AK16,'Long Pond'!AK16,'Cathedral Glen'!AK16)</f>
        <v>0</v>
      </c>
      <c r="AL15" s="15">
        <f>SUM('Biscuit Brook'!AL16,'Hardenburgh- MH Trail'!AL16,'McKenley Hollow'!AL16,'Mongaup Pond'!AL16,'Rider Hollow'!AL16,Seager!AL16,Denning!AL16,'Fox Hollow'!AL16,'Giant Ledge'!AL16,Peekamoose!AL16,'Slide Mt'!AL16,Wittenberg!AL16,'Woodland Valley'!AL16,'Lane Street'!AL16,'Kelly Hollow'!AM16,'Millbrook to BLM FT'!AL16,'Beaverkill Road to BLM FT'!AL16,'Alder Lake'!AL16,'Dry Brook Ridge to Lean-to '!AL16,'Neversink Hardenburgh Trail'!AL16,Overlook!AL16,'Rochester Hollow'!AL16,'Onteora Lake'!AL16,'Mt Tremper'!AL16,'Ashokan HP'!AL16,Vernooy!AL16,'Red Hill Dinch Road '!AL16,Flynn!AL16,'Frick Pond'!AL16,'Long Pond'!AL16,'Cathedral Glen'!AL16)</f>
        <v>0</v>
      </c>
      <c r="AM15" s="15">
        <f>SUM('Biscuit Brook'!AM16,'Hardenburgh- MH Trail'!AM16,'McKenley Hollow'!AM16,'Mongaup Pond'!AM16,'Rider Hollow'!AM16,Seager!AM16,Denning!AM16,'Fox Hollow'!AM16,'Giant Ledge'!AM16,Peekamoose!AM16,'Slide Mt'!AM16,Wittenberg!AM16,'Woodland Valley'!AM16,'Lane Street'!AM16,'Kelly Hollow'!AN16,'Millbrook to BLM FT'!AM16,'Beaverkill Road to BLM FT'!AM16,'Alder Lake'!AM16,'Dry Brook Ridge to Lean-to '!AM16,'Neversink Hardenburgh Trail'!AM16,Overlook!AM16,'Rochester Hollow'!AM16,'Onteora Lake'!AM16,'Mt Tremper'!AM16,'Ashokan HP'!AM16,Vernooy!AM16,'Red Hill Dinch Road '!AM16,Flynn!AM16,'Frick Pond'!AM16,'Long Pond'!AM16,'Cathedral Glen'!AM16)</f>
        <v>0</v>
      </c>
      <c r="AN15" s="15">
        <f>SUM('Biscuit Brook'!AN16,'Hardenburgh- MH Trail'!AN16,'McKenley Hollow'!AN16,'Mongaup Pond'!AN16,'Rider Hollow'!AN16,Seager!AN16,Denning!AN16,'Fox Hollow'!AN16,'Giant Ledge'!AN16,Peekamoose!AN16,'Slide Mt'!AN16,Wittenberg!AN16,'Woodland Valley'!AN16,'Lane Street'!AN16,'Kelly Hollow'!AO16,'Millbrook to BLM FT'!AN16,'Beaverkill Road to BLM FT'!AN16,'Alder Lake'!AN16,'Dry Brook Ridge to Lean-to '!AN16,'Neversink Hardenburgh Trail'!AN16,Overlook!AN16,'Rochester Hollow'!AN16,'Onteora Lake'!AN16,'Mt Tremper'!AN16,'Ashokan HP'!AN16,Vernooy!AN16,'Red Hill Dinch Road '!AN16,Flynn!AN16,'Frick Pond'!AN16,'Long Pond'!AN16,'Cathedral Glen'!AN16)</f>
        <v>0</v>
      </c>
      <c r="AO15" s="15">
        <f>SUM('Biscuit Brook'!AO16,'Hardenburgh- MH Trail'!AO16,'McKenley Hollow'!AO16,'Mongaup Pond'!AO16,'Rider Hollow'!AO16,Seager!AO16,Denning!AO16,'Fox Hollow'!AO16,'Giant Ledge'!AO16,Peekamoose!AO16,'Slide Mt'!AO16,Wittenberg!AO16,'Woodland Valley'!AO16,'Lane Street'!AO16,'Kelly Hollow'!AP16,'Millbrook to BLM FT'!AO16,'Beaverkill Road to BLM FT'!AO16,'Alder Lake'!AO16,'Dry Brook Ridge to Lean-to '!AO16,'Neversink Hardenburgh Trail'!AO16,Overlook!AO16,'Rochester Hollow'!AO16,'Onteora Lake'!AO16,'Mt Tremper'!AO16,'Ashokan HP'!AO16,Vernooy!AO16,'Red Hill Dinch Road '!AO16,Flynn!AO16,'Frick Pond'!AO16,'Long Pond'!AO16,'Cathedral Glen'!AO16)</f>
        <v>0</v>
      </c>
      <c r="AP15" s="15">
        <f>SUM('Biscuit Brook'!AP16,'Hardenburgh- MH Trail'!AP16,'McKenley Hollow'!AP16,'Mongaup Pond'!AP16,'Rider Hollow'!AP16,Seager!AP16,Denning!AP16,'Fox Hollow'!AP16,'Giant Ledge'!AP16,Peekamoose!AP16,'Slide Mt'!AP16,Wittenberg!AP16,'Woodland Valley'!AP16,'Lane Street'!AP16,'Kelly Hollow'!AQ16,'Millbrook to BLM FT'!AP16,'Beaverkill Road to BLM FT'!AP16,'Alder Lake'!AP16,'Dry Brook Ridge to Lean-to '!AP16,'Neversink Hardenburgh Trail'!AP16,Overlook!AP16,'Rochester Hollow'!AP16,'Onteora Lake'!AP16,'Mt Tremper'!AP16,'Ashokan HP'!AP16,Vernooy!AP16,'Red Hill Dinch Road '!AP16,Flynn!AP16,'Frick Pond'!AP16,'Long Pond'!AP16,'Cathedral Glen'!AP16)</f>
        <v>0</v>
      </c>
      <c r="AQ15" s="15">
        <f>SUM('Biscuit Brook'!AQ16,'Hardenburgh- MH Trail'!AQ16,'McKenley Hollow'!AQ16,'Mongaup Pond'!AQ16,'Rider Hollow'!AQ16,Seager!AQ16,Denning!AQ16,'Fox Hollow'!AQ16,'Giant Ledge'!AQ16,Peekamoose!AQ16,'Slide Mt'!AQ16,Wittenberg!AQ16,'Woodland Valley'!AQ16,'Lane Street'!AQ16,'Kelly Hollow'!AR16,'Millbrook to BLM FT'!AQ16,'Beaverkill Road to BLM FT'!AQ16,'Alder Lake'!AQ16,'Dry Brook Ridge to Lean-to '!AQ16,'Neversink Hardenburgh Trail'!AQ16,Overlook!AQ16,'Rochester Hollow'!AQ16,'Onteora Lake'!AQ16,'Mt Tremper'!AQ16,'Ashokan HP'!AQ16,Vernooy!AQ16,'Red Hill Dinch Road '!AQ16,Flynn!AQ16,'Frick Pond'!AQ16,'Long Pond'!AQ16,'Cathedral Glen'!AQ16)</f>
        <v>0</v>
      </c>
      <c r="AR15" s="15">
        <f>SUM('Biscuit Brook'!AR16,'Hardenburgh- MH Trail'!AR16,'McKenley Hollow'!AR16,'Mongaup Pond'!AR16,'Rider Hollow'!AR16,Seager!AR16,Denning!AR16,'Fox Hollow'!AR16,'Giant Ledge'!AR16,Peekamoose!AR16,'Slide Mt'!AR16,Wittenberg!AR16,'Woodland Valley'!AR16,'Lane Street'!AR16,'Kelly Hollow'!AS16,'Millbrook to BLM FT'!AR16,'Beaverkill Road to BLM FT'!AR16,'Alder Lake'!AR16,'Dry Brook Ridge to Lean-to '!AR16,'Neversink Hardenburgh Trail'!AR16,Overlook!AR16,'Rochester Hollow'!AR16,'Onteora Lake'!AR16,'Mt Tremper'!AR16,'Ashokan HP'!AR16,Vernooy!AR16,'Red Hill Dinch Road '!AR16,Flynn!AR16,'Frick Pond'!AR16,'Long Pond'!AR16,'Cathedral Glen'!AR16)</f>
        <v>0</v>
      </c>
      <c r="AS15" s="15">
        <f>SUM('Biscuit Brook'!AS16,'Hardenburgh- MH Trail'!AS16,'McKenley Hollow'!AS16,'Mongaup Pond'!AS16,'Rider Hollow'!AS16,Seager!AS16,Denning!AS16,'Fox Hollow'!AS16,'Giant Ledge'!AS16,Peekamoose!AS16,'Slide Mt'!AS16,Wittenberg!AS16,'Woodland Valley'!AS16,'Lane Street'!AS16,'Kelly Hollow'!AT16,'Millbrook to BLM FT'!AS16,'Beaverkill Road to BLM FT'!AS16,'Alder Lake'!AS16,'Dry Brook Ridge to Lean-to '!AS16,'Neversink Hardenburgh Trail'!AS16,Overlook!AS16,'Rochester Hollow'!AS16,'Onteora Lake'!AS16,'Mt Tremper'!AS16,'Ashokan HP'!AS16,Vernooy!AS16,'Red Hill Dinch Road '!AS16,Flynn!AS16,'Frick Pond'!AS16,'Long Pond'!AS16,'Cathedral Glen'!AS16)</f>
        <v>0</v>
      </c>
      <c r="AT15" s="15">
        <f>SUM('Biscuit Brook'!AT16,'Hardenburgh- MH Trail'!AT16,'McKenley Hollow'!AT16,'Mongaup Pond'!AT16,'Rider Hollow'!AT16,Seager!AT16,Denning!AT16,'Fox Hollow'!AT16,'Giant Ledge'!AT16,Peekamoose!AT16,'Slide Mt'!AT16,Wittenberg!AT16,'Woodland Valley'!AT16,'Lane Street'!AT16,'Kelly Hollow'!AU16,'Millbrook to BLM FT'!AT16,'Beaverkill Road to BLM FT'!AT16,'Alder Lake'!AT16,'Dry Brook Ridge to Lean-to '!AT16,'Neversink Hardenburgh Trail'!AT16,Overlook!AT16,'Rochester Hollow'!AT16,'Onteora Lake'!AT16,'Mt Tremper'!AT16,'Ashokan HP'!AT16,Vernooy!AT16,'Red Hill Dinch Road '!AT16,Flynn!AT16,'Frick Pond'!AT16,'Long Pond'!AT16,'Cathedral Glen'!AT16)</f>
        <v>0</v>
      </c>
      <c r="AU15" s="15">
        <f>SUM('Biscuit Brook'!AU16,'Hardenburgh- MH Trail'!AU16,'McKenley Hollow'!AU16,'Mongaup Pond'!AU16,'Rider Hollow'!AU16,Seager!AU16,Denning!AU16,'Fox Hollow'!AU16,'Giant Ledge'!AU16,Peekamoose!AU16,'Slide Mt'!AU16,Wittenberg!AU16,'Woodland Valley'!AU16,'Lane Street'!AU16,'Kelly Hollow'!AV16,'Millbrook to BLM FT'!AU16,'Beaverkill Road to BLM FT'!AU16,'Alder Lake'!AU16,'Dry Brook Ridge to Lean-to '!AU16,'Neversink Hardenburgh Trail'!AU16,Overlook!AU16,'Rochester Hollow'!AU16,'Onteora Lake'!AU16,'Mt Tremper'!AU16,'Ashokan HP'!AU16,Vernooy!AU16,'Red Hill Dinch Road '!AU16,Flynn!AU16,'Frick Pond'!AU16,'Long Pond'!AU16,'Cathedral Glen'!AU16)</f>
        <v>0</v>
      </c>
      <c r="AV15" s="15">
        <f>SUM('Biscuit Brook'!AV16,'Hardenburgh- MH Trail'!AV16,'McKenley Hollow'!AV16,'Mongaup Pond'!AV16,'Rider Hollow'!AV16,Seager!AV16,Denning!AV16,'Fox Hollow'!AV16,'Giant Ledge'!AV16,Peekamoose!AV16,'Slide Mt'!AV16,Wittenberg!AV16,'Woodland Valley'!AV16,'Lane Street'!AV16,'Kelly Hollow'!AW16,'Millbrook to BLM FT'!AV16,'Beaverkill Road to BLM FT'!AV16,'Alder Lake'!AV16,'Dry Brook Ridge to Lean-to '!AV16,'Neversink Hardenburgh Trail'!AV16,Overlook!AV16,'Rochester Hollow'!AV16,'Onteora Lake'!AV16,'Mt Tremper'!AV16,'Ashokan HP'!AV16,Vernooy!AV16,'Red Hill Dinch Road '!AV16,Flynn!AV16,'Frick Pond'!AV16,'Long Pond'!AV16,'Cathedral Glen'!AV16)</f>
        <v>0</v>
      </c>
      <c r="AW15" s="15">
        <f>SUM('Biscuit Brook'!AW16,'Hardenburgh- MH Trail'!AW16,'McKenley Hollow'!AW16,'Mongaup Pond'!AW16,'Rider Hollow'!AW16,Seager!AW16,Denning!AW16,'Fox Hollow'!AW16,'Giant Ledge'!AW16,Peekamoose!AW16,'Slide Mt'!AW16,Wittenberg!AW16,'Woodland Valley'!AW16,'Lane Street'!AW16,'Kelly Hollow'!AX16,'Millbrook to BLM FT'!AW16,'Beaverkill Road to BLM FT'!AW16,'Alder Lake'!AW16,'Dry Brook Ridge to Lean-to '!AW16,'Neversink Hardenburgh Trail'!AW16,Overlook!AW16,'Rochester Hollow'!AW16,'Onteora Lake'!AW16,'Mt Tremper'!AW16,'Ashokan HP'!AW16,Vernooy!AW16,'Red Hill Dinch Road '!AW16,Flynn!AW16,'Frick Pond'!AW16,'Long Pond'!AW16,'Cathedral Glen'!AW16)</f>
        <v>0</v>
      </c>
      <c r="AX15" s="15">
        <f>SUM('Biscuit Brook'!AX16,'Hardenburgh- MH Trail'!AX16,'McKenley Hollow'!AX16,'Mongaup Pond'!AX16,'Rider Hollow'!AX16,Seager!AX16,Denning!AX16,'Fox Hollow'!AX16,'Giant Ledge'!AX16,Peekamoose!AX16,'Slide Mt'!AX16,Wittenberg!AX16,'Woodland Valley'!AX16,'Lane Street'!AX16,'Kelly Hollow'!AY16,'Millbrook to BLM FT'!AX16,'Beaverkill Road to BLM FT'!AX16,'Alder Lake'!AX16,'Dry Brook Ridge to Lean-to '!AX16,'Neversink Hardenburgh Trail'!AX16,Overlook!AX16,'Rochester Hollow'!AX16,'Onteora Lake'!AX16,'Mt Tremper'!AX16,'Ashokan HP'!AX16,Vernooy!AX16,'Red Hill Dinch Road '!AX16,Flynn!AX16,'Frick Pond'!AX16,'Long Pond'!AX16,'Cathedral Glen'!AX16)</f>
        <v>0</v>
      </c>
      <c r="AY15" s="15">
        <f>SUM('Biscuit Brook'!AY16,'Hardenburgh- MH Trail'!AY16,'McKenley Hollow'!AY16,'Mongaup Pond'!AY16,'Rider Hollow'!AY16,Seager!AY16,Denning!AY16,'Fox Hollow'!AY16,'Giant Ledge'!AY16,Peekamoose!AY16,'Slide Mt'!AY16,Wittenberg!AY16,'Woodland Valley'!AY16,'Lane Street'!AY16,'Kelly Hollow'!AZ16,'Millbrook to BLM FT'!AY16,'Beaverkill Road to BLM FT'!AY16,'Alder Lake'!AY16,'Dry Brook Ridge to Lean-to '!AY16,'Neversink Hardenburgh Trail'!AY16,Overlook!AY16,'Rochester Hollow'!AY16,'Onteora Lake'!AY16,'Mt Tremper'!AY16,'Ashokan HP'!AY16,Vernooy!AY16,'Red Hill Dinch Road '!AY16,Flynn!AY16,'Frick Pond'!AY16,'Long Pond'!AY16,'Cathedral Glen'!AY16)</f>
        <v>0</v>
      </c>
      <c r="AZ15" s="15" t="e">
        <f>SUM('Biscuit Brook'!AZ16,'Hardenburgh- MH Trail'!AZ16,'McKenley Hollow'!AZ16,'Mongaup Pond'!AZ16,'Rider Hollow'!AZ16,Seager!AZ16,Denning!AZ16,'Fox Hollow'!AZ16,'Giant Ledge'!AZ16,Peekamoose!AZ16,'Slide Mt'!AZ16,Wittenberg!AZ16,'Woodland Valley'!AZ16,'Lane Street'!AZ16,'Kelly Hollow'!BA16,'Millbrook to BLM FT'!AZ16,'Beaverkill Road to BLM FT'!AZ16,'Alder Lake'!AZ16,'Dry Brook Ridge to Lean-to '!AZ16,'Neversink Hardenburgh Trail'!AZ16,Overlook!AZ16,'Rochester Hollow'!AZ16,'Onteora Lake'!BA16,'Mt Tremper'!AZ16,'Ashokan HP'!AZ16,Vernooy!AZ16,'Red Hill Dinch Road '!AZ16,Flynn!AZ16,'Frick Pond'!AZ16,'Long Pond'!AZ16)</f>
        <v>#N/A</v>
      </c>
      <c r="BA15" s="96" t="e">
        <v>#N/A</v>
      </c>
      <c r="BB15" s="96" t="e">
        <v>#N/A</v>
      </c>
      <c r="BC15" s="96" t="e">
        <v>#N/A</v>
      </c>
      <c r="BD15" s="96" t="e">
        <v>#N/A</v>
      </c>
      <c r="BE15" s="96" t="e">
        <v>#N/A</v>
      </c>
      <c r="BF15" s="96" t="e">
        <v>#N/A</v>
      </c>
      <c r="BG15" s="96" t="e">
        <v>#N/A</v>
      </c>
      <c r="BH15" s="96" t="e">
        <v>#N/A</v>
      </c>
      <c r="BI15" s="96" t="e">
        <v>#N/A</v>
      </c>
      <c r="BJ15" s="96">
        <f t="shared" si="36"/>
        <v>1003</v>
      </c>
      <c r="BK15" s="96">
        <f t="shared" si="37"/>
        <v>1094.8</v>
      </c>
      <c r="BL15" s="96">
        <f t="shared" si="38"/>
        <v>1169.5</v>
      </c>
      <c r="BM15" s="96">
        <f t="shared" si="39"/>
        <v>1253.3</v>
      </c>
      <c r="BN15" s="96">
        <f t="shared" si="40"/>
        <v>1247.4000000000001</v>
      </c>
      <c r="BO15" s="96">
        <f t="shared" si="41"/>
        <v>1261.3</v>
      </c>
      <c r="BP15" s="96">
        <f t="shared" si="42"/>
        <v>1411.2</v>
      </c>
      <c r="BQ15" s="96">
        <f t="shared" si="43"/>
        <v>1424.8</v>
      </c>
      <c r="BR15" s="96">
        <f t="shared" si="44"/>
        <v>1414.7777777777778</v>
      </c>
      <c r="BS15" s="96">
        <f t="shared" si="45"/>
        <v>1445.75</v>
      </c>
      <c r="BT15" s="96">
        <f t="shared" si="46"/>
        <v>1500.5</v>
      </c>
      <c r="BU15" s="96">
        <f t="shared" si="47"/>
        <v>1452.4285714285713</v>
      </c>
      <c r="BV15" s="96">
        <f t="shared" si="48"/>
        <v>1509.2857142857142</v>
      </c>
      <c r="BW15" s="96">
        <f t="shared" si="49"/>
        <v>1512.8571428571429</v>
      </c>
      <c r="BX15" s="96">
        <f t="shared" si="50"/>
        <v>1639.8571428571429</v>
      </c>
      <c r="BY15" s="96">
        <f t="shared" si="51"/>
        <v>1957.8571428571429</v>
      </c>
      <c r="BZ15" s="96">
        <f t="shared" si="52"/>
        <v>1937.5238095238096</v>
      </c>
      <c r="CA15" s="96">
        <f t="shared" si="53"/>
        <v>2102.666666666667</v>
      </c>
      <c r="CB15" s="96">
        <f t="shared" si="54"/>
        <v>2348.3333333333335</v>
      </c>
      <c r="CC15" s="96">
        <f t="shared" si="55"/>
        <v>2414.4074074074074</v>
      </c>
      <c r="CD15" s="96">
        <f t="shared" si="56"/>
        <v>2488.9259259259261</v>
      </c>
      <c r="CE15" s="96">
        <f t="shared" si="57"/>
        <v>2540.1333333333337</v>
      </c>
      <c r="CF15" s="96">
        <f t="shared" si="58"/>
        <v>2619.1111111111113</v>
      </c>
      <c r="CG15" s="96">
        <f t="shared" si="59"/>
        <v>2665.9111111111115</v>
      </c>
      <c r="CH15" s="96">
        <f t="shared" si="60"/>
        <v>2518.4111111111115</v>
      </c>
      <c r="CI15" s="96">
        <f t="shared" si="61"/>
        <v>2439.345679012346</v>
      </c>
      <c r="CJ15" s="96">
        <f t="shared" si="62"/>
        <v>2471.4305555555557</v>
      </c>
      <c r="CK15" s="96">
        <f t="shared" si="63"/>
        <v>2486.3492063492063</v>
      </c>
      <c r="CL15" s="96">
        <f t="shared" si="64"/>
        <v>2222.7407407407404</v>
      </c>
      <c r="CM15" s="96">
        <f t="shared" si="65"/>
        <v>2078.6888888888889</v>
      </c>
      <c r="CN15" s="96">
        <f t="shared" si="66"/>
        <v>2088.6944444444443</v>
      </c>
      <c r="CO15" s="96">
        <f t="shared" si="67"/>
        <v>1784.5925925925924</v>
      </c>
      <c r="CP15" s="96">
        <f t="shared" si="68"/>
        <v>1427</v>
      </c>
      <c r="CQ15" s="96">
        <f t="shared" si="69"/>
        <v>852</v>
      </c>
      <c r="CR15" s="96" t="e">
        <f t="shared" si="70"/>
        <v>#DIV/0!</v>
      </c>
      <c r="CS15" s="96" t="e">
        <f t="shared" si="71"/>
        <v>#DIV/0!</v>
      </c>
      <c r="CT15" s="96" t="e">
        <f t="shared" si="72"/>
        <v>#DIV/0!</v>
      </c>
      <c r="CU15" s="96" t="e">
        <f t="shared" si="73"/>
        <v>#DIV/0!</v>
      </c>
      <c r="CV15" s="96" t="e">
        <f t="shared" si="74"/>
        <v>#DIV/0!</v>
      </c>
      <c r="CW15" s="96" t="e">
        <f t="shared" si="75"/>
        <v>#DIV/0!</v>
      </c>
      <c r="CX15" s="96" t="e">
        <f t="shared" si="76"/>
        <v>#DIV/0!</v>
      </c>
      <c r="CY15" s="96" t="e">
        <f t="shared" si="77"/>
        <v>#DIV/0!</v>
      </c>
    </row>
    <row r="16" spans="1:103" ht="20" customHeight="1" x14ac:dyDescent="0.2">
      <c r="A16" s="125"/>
      <c r="B16" s="126"/>
      <c r="C16" s="126"/>
      <c r="D16" s="126"/>
      <c r="E16" s="126"/>
      <c r="F16" s="126"/>
      <c r="G16" s="126"/>
      <c r="H16" s="126"/>
      <c r="I16" s="127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9"/>
      <c r="V16" s="129"/>
      <c r="W16" s="129"/>
      <c r="X16" s="129"/>
      <c r="Y16" s="130"/>
      <c r="Z16" s="129"/>
      <c r="AA16" s="129"/>
      <c r="AB16" s="129"/>
      <c r="AC16" s="129"/>
      <c r="AD16" s="131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</row>
    <row r="17" spans="1:103" s="20" customFormat="1" ht="20" customHeight="1" x14ac:dyDescent="0.2">
      <c r="A17" s="12" t="s">
        <v>32</v>
      </c>
      <c r="B17" s="18">
        <f t="shared" ref="B17:H17" si="78">SUM(B4:B15)</f>
        <v>37671</v>
      </c>
      <c r="C17" s="18">
        <f t="shared" si="78"/>
        <v>35505</v>
      </c>
      <c r="D17" s="18">
        <f t="shared" si="78"/>
        <v>38298</v>
      </c>
      <c r="E17" s="18">
        <f t="shared" si="78"/>
        <v>44105</v>
      </c>
      <c r="F17" s="18">
        <f t="shared" si="78"/>
        <v>41844</v>
      </c>
      <c r="G17" s="18">
        <f t="shared" si="78"/>
        <v>39107</v>
      </c>
      <c r="H17" s="18">
        <f t="shared" si="78"/>
        <v>44599</v>
      </c>
      <c r="I17" s="18">
        <f t="shared" ref="I17:W17" si="79">SUM(I4:I15)</f>
        <v>49368</v>
      </c>
      <c r="J17" s="18">
        <f t="shared" si="79"/>
        <v>43588</v>
      </c>
      <c r="K17" s="18">
        <f t="shared" si="79"/>
        <v>41144</v>
      </c>
      <c r="L17" s="18">
        <f t="shared" si="79"/>
        <v>43459</v>
      </c>
      <c r="M17" s="18">
        <f t="shared" si="79"/>
        <v>44151</v>
      </c>
      <c r="N17" s="18">
        <f t="shared" si="79"/>
        <v>40505</v>
      </c>
      <c r="O17" s="18">
        <f t="shared" si="79"/>
        <v>42962</v>
      </c>
      <c r="P17" s="18">
        <f t="shared" si="79"/>
        <v>39503</v>
      </c>
      <c r="Q17" s="18">
        <f t="shared" si="79"/>
        <v>44434</v>
      </c>
      <c r="R17" s="18">
        <f t="shared" si="79"/>
        <v>46275</v>
      </c>
      <c r="S17" s="18"/>
      <c r="T17" s="18"/>
      <c r="U17" s="19">
        <f t="shared" si="79"/>
        <v>53727</v>
      </c>
      <c r="V17" s="19"/>
      <c r="W17" s="19">
        <f t="shared" si="79"/>
        <v>50812</v>
      </c>
      <c r="X17" s="19">
        <f t="shared" ref="X17:AZ17" si="80">SUM(X4:X15)</f>
        <v>50591</v>
      </c>
      <c r="Y17" s="19">
        <f t="shared" si="80"/>
        <v>62266</v>
      </c>
      <c r="Z17" s="19">
        <f t="shared" si="80"/>
        <v>69305</v>
      </c>
      <c r="AA17" s="19">
        <f t="shared" si="80"/>
        <v>75991.56666666668</v>
      </c>
      <c r="AB17" s="19">
        <f t="shared" si="80"/>
        <v>81814</v>
      </c>
      <c r="AC17" s="19">
        <f t="shared" si="80"/>
        <v>72142</v>
      </c>
      <c r="AD17" s="93">
        <f t="shared" si="80"/>
        <v>79218.333333333343</v>
      </c>
      <c r="AE17" s="93">
        <f t="shared" si="80"/>
        <v>82170.000000000015</v>
      </c>
      <c r="AF17" s="93">
        <f t="shared" si="80"/>
        <v>67413.333333333328</v>
      </c>
      <c r="AG17" s="93">
        <f t="shared" si="80"/>
        <v>60013.777777777781</v>
      </c>
      <c r="AH17" s="93">
        <f>SUM(AH4:AH15)</f>
        <v>51878</v>
      </c>
      <c r="AI17" s="93">
        <f t="shared" si="80"/>
        <v>37038</v>
      </c>
      <c r="AJ17" s="93">
        <f t="shared" si="80"/>
        <v>14425</v>
      </c>
      <c r="AK17" s="93">
        <f t="shared" si="80"/>
        <v>0</v>
      </c>
      <c r="AL17" s="93">
        <f t="shared" si="80"/>
        <v>0</v>
      </c>
      <c r="AM17" s="93">
        <f t="shared" si="80"/>
        <v>0</v>
      </c>
      <c r="AN17" s="93">
        <f t="shared" si="80"/>
        <v>0</v>
      </c>
      <c r="AO17" s="93">
        <f t="shared" si="80"/>
        <v>0</v>
      </c>
      <c r="AP17" s="93">
        <f t="shared" si="80"/>
        <v>0</v>
      </c>
      <c r="AQ17" s="93">
        <f t="shared" si="80"/>
        <v>0</v>
      </c>
      <c r="AR17" s="93">
        <f t="shared" si="80"/>
        <v>0</v>
      </c>
      <c r="AS17" s="93">
        <f t="shared" si="80"/>
        <v>0</v>
      </c>
      <c r="AT17" s="93">
        <f t="shared" si="80"/>
        <v>0</v>
      </c>
      <c r="AU17" s="93">
        <f t="shared" si="80"/>
        <v>0</v>
      </c>
      <c r="AV17" s="93">
        <f t="shared" si="80"/>
        <v>0</v>
      </c>
      <c r="AW17" s="93">
        <f t="shared" si="80"/>
        <v>0</v>
      </c>
      <c r="AX17" s="93">
        <f t="shared" si="80"/>
        <v>0</v>
      </c>
      <c r="AY17" s="93">
        <f t="shared" si="80"/>
        <v>0</v>
      </c>
      <c r="AZ17" s="93" t="e">
        <f t="shared" si="80"/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s="96">
        <f t="shared" ref="BJ17" si="81">AVERAGEIF(B17:K17,"&gt;0")</f>
        <v>41522.9</v>
      </c>
      <c r="BK17" s="96">
        <f t="shared" ref="BK17" si="82">AVERAGEIF(C17:L17,"&gt;0")</f>
        <v>42101.7</v>
      </c>
      <c r="BL17" s="96">
        <f t="shared" ref="BL17" si="83">AVERAGEIF(D17:M17,"&gt;0")</f>
        <v>42966.3</v>
      </c>
      <c r="BM17" s="96">
        <f t="shared" ref="BM17" si="84">AVERAGEIF(E17:N17,"&gt;0")</f>
        <v>43187</v>
      </c>
      <c r="BN17" s="96">
        <f t="shared" ref="BN17" si="85">AVERAGEIF(F17:O17,"&gt;0")</f>
        <v>43072.7</v>
      </c>
      <c r="BO17" s="96">
        <f t="shared" ref="BO17" si="86">AVERAGEIF(G17:P17,"&gt;0")</f>
        <v>42838.6</v>
      </c>
      <c r="BP17" s="96">
        <f t="shared" ref="BP17" si="87">AVERAGEIF(H17:Q17,"&gt;0")</f>
        <v>43371.3</v>
      </c>
      <c r="BQ17" s="96">
        <f t="shared" ref="BQ17" si="88">AVERAGEIF(I17:R17,"&gt;0")</f>
        <v>43538.9</v>
      </c>
      <c r="BR17" s="96">
        <f t="shared" ref="BR17" si="89">AVERAGEIF(J17:S17,"&gt;0")</f>
        <v>42891.222222222219</v>
      </c>
      <c r="BS17" s="96">
        <f t="shared" ref="BS17" si="90">AVERAGEIF(K17:T17,"&gt;0")</f>
        <v>42804.125</v>
      </c>
      <c r="BT17" s="96">
        <f t="shared" ref="BT17" si="91">AVERAGEIF(L17:U17,"&gt;0")</f>
        <v>44377</v>
      </c>
      <c r="BU17" s="96">
        <f t="shared" ref="BU17" si="92">AVERAGEIF(M17:V17,"&gt;0")</f>
        <v>44508.142857142855</v>
      </c>
      <c r="BV17" s="96">
        <f t="shared" ref="BV17" si="93">AVERAGEIF(N17:W17,"&gt;0")</f>
        <v>45459.714285714283</v>
      </c>
      <c r="BW17" s="96">
        <f t="shared" ref="BW17" si="94">AVERAGEIF(O17:X17,"&gt;0")</f>
        <v>46900.571428571428</v>
      </c>
      <c r="BX17" s="96">
        <f t="shared" ref="BX17" si="95">AVERAGEIF(P17:Y17,"&gt;0")</f>
        <v>49658.285714285717</v>
      </c>
      <c r="BY17" s="96">
        <f t="shared" ref="BY17" si="96">AVERAGEIF(Q17:Z17,"&gt;0")</f>
        <v>53915.714285714283</v>
      </c>
      <c r="BZ17" s="96">
        <f t="shared" ref="BZ17" si="97">AVERAGEIF(R17:AA17,"&gt;0")</f>
        <v>58423.938095238096</v>
      </c>
      <c r="CA17" s="96">
        <f t="shared" ref="CA17" si="98">AVERAGEIF(S17:AB17,"&gt;0")</f>
        <v>63500.938095238096</v>
      </c>
      <c r="CB17" s="96">
        <f t="shared" ref="CB17" si="99">AVERAGEIF(T17:AC17,"&gt;0")</f>
        <v>64581.070833333331</v>
      </c>
      <c r="CC17" s="96">
        <f t="shared" ref="CC17" si="100">AVERAGEIF(U17:AD17,"&gt;0")</f>
        <v>66207.433333333334</v>
      </c>
      <c r="CD17" s="96">
        <f t="shared" ref="CD17" si="101">AVERAGEIF(V17:AE17,"&gt;0")</f>
        <v>69367.766666666663</v>
      </c>
      <c r="CE17" s="96">
        <f t="shared" ref="CE17" si="102">AVERAGEIF(W17:AF17,"&gt;0")</f>
        <v>69172.323333333334</v>
      </c>
      <c r="CF17" s="96">
        <f t="shared" ref="CF17" si="103">AVERAGEIF(X17:AG17,"&gt;0")</f>
        <v>70092.501111111109</v>
      </c>
      <c r="CG17" s="96">
        <f t="shared" ref="CG17" si="104">AVERAGEIF(Y17:AH17,"&gt;0")</f>
        <v>70221.201111111121</v>
      </c>
      <c r="CH17" s="96">
        <f t="shared" ref="CH17" si="105">AVERAGEIF(Z17:AI17,"&gt;0")</f>
        <v>67698.401111111118</v>
      </c>
      <c r="CI17" s="96">
        <f t="shared" ref="CI17" si="106">AVERAGEIF(AA17:AJ17,"&gt;0")</f>
        <v>62210.401111111118</v>
      </c>
      <c r="CJ17" s="96">
        <f t="shared" ref="CJ17" si="107">AVERAGEIF(AB17:AK17,"&gt;0")</f>
        <v>60679.160493827163</v>
      </c>
      <c r="CK17" s="96">
        <f t="shared" ref="CK17" si="108">AVERAGEIF(AC17:AL17,"&gt;0")</f>
        <v>58037.305555555562</v>
      </c>
      <c r="CL17" s="96">
        <f t="shared" ref="CL17" si="109">AVERAGEIF(AD17:AM17,"&gt;0")</f>
        <v>56022.349206349216</v>
      </c>
      <c r="CM17" s="96">
        <f t="shared" ref="CM17" si="110">AVERAGEIF(AE17:AN17,"&gt;0")</f>
        <v>52156.351851851854</v>
      </c>
      <c r="CN17" s="96">
        <f t="shared" ref="CN17" si="111">AVERAGEIF(AF17:AO17,"&gt;0")</f>
        <v>46153.622222222228</v>
      </c>
      <c r="CO17" s="96">
        <f t="shared" ref="CO17" si="112">AVERAGEIF(AG17:AP17,"&gt;0")</f>
        <v>40838.694444444445</v>
      </c>
      <c r="CP17" s="96">
        <f t="shared" ref="CP17" si="113">AVERAGEIF(AH17:AQ17,"&gt;0")</f>
        <v>34447</v>
      </c>
      <c r="CQ17" s="96">
        <f t="shared" ref="CQ17" si="114">AVERAGEIF(AI17:AR17,"&gt;0")</f>
        <v>25731.5</v>
      </c>
      <c r="CR17" s="96">
        <f t="shared" ref="CR17" si="115">AVERAGEIF(AJ17:AS17,"&gt;0")</f>
        <v>14425</v>
      </c>
      <c r="CS17" s="96" t="e">
        <f t="shared" ref="CS17" si="116">AVERAGEIF(AK17:AT17,"&gt;0")</f>
        <v>#DIV/0!</v>
      </c>
      <c r="CT17" s="96" t="e">
        <f t="shared" ref="CT17" si="117">AVERAGEIF(AL17:AU17,"&gt;0")</f>
        <v>#DIV/0!</v>
      </c>
      <c r="CU17" s="96" t="e">
        <f t="shared" ref="CU17" si="118">AVERAGEIF(AM17:AV17,"&gt;0")</f>
        <v>#DIV/0!</v>
      </c>
      <c r="CV17" s="96" t="e">
        <f t="shared" ref="CV17" si="119">AVERAGEIF(AN17:AW17,"&gt;0")</f>
        <v>#DIV/0!</v>
      </c>
      <c r="CW17" s="96" t="e">
        <f t="shared" ref="CW17" si="120">AVERAGEIF(AO17:AX17,"&gt;0")</f>
        <v>#DIV/0!</v>
      </c>
      <c r="CX17" s="96" t="e">
        <f t="shared" ref="CX17" si="121">AVERAGEIF(AP17:AY17,"&gt;0")</f>
        <v>#DIV/0!</v>
      </c>
      <c r="CY17" s="96" t="e">
        <f t="shared" ref="CY17" si="122">AVERAGEIF(AQ17:AZ17,"&gt;0")</f>
        <v>#DIV/0!</v>
      </c>
    </row>
    <row r="18" spans="1:103" s="1" customFormat="1" ht="20" customHeight="1" x14ac:dyDescent="0.2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2"/>
      <c r="V18" s="62"/>
      <c r="W18" s="62"/>
      <c r="X18" s="62"/>
      <c r="Y18" s="62"/>
      <c r="Z18" s="62"/>
      <c r="AA18" s="62"/>
      <c r="AB18" s="62"/>
      <c r="BA18" s="63"/>
    </row>
    <row r="19" spans="1:103" s="66" customFormat="1" ht="20" customHeight="1" x14ac:dyDescent="0.2">
      <c r="A19" s="64" t="s">
        <v>66</v>
      </c>
      <c r="B19" s="65">
        <f>SUM('Wilderness Area'!B23)</f>
        <v>22700</v>
      </c>
      <c r="C19" s="65">
        <f>SUM('Wilderness Area'!C23)</f>
        <v>22759</v>
      </c>
      <c r="D19" s="65">
        <f>SUM('Wilderness Area'!D23)</f>
        <v>24003</v>
      </c>
      <c r="E19" s="65">
        <f>SUM('Wilderness Area'!E23)</f>
        <v>25128</v>
      </c>
      <c r="F19" s="65">
        <f>SUM('Wilderness Area'!F23)</f>
        <v>26309</v>
      </c>
      <c r="G19" s="65">
        <f>SUM('Wilderness Area'!G23)</f>
        <v>24031</v>
      </c>
      <c r="H19" s="65">
        <f>SUM('Wilderness Area'!H23)</f>
        <v>26212</v>
      </c>
      <c r="I19" s="65">
        <f>SUM('Wilderness Area'!I23)</f>
        <v>27781</v>
      </c>
      <c r="J19" s="65">
        <f>SUM('Wilderness Area'!J23)</f>
        <v>23587</v>
      </c>
      <c r="K19" s="65">
        <f>SUM('Wilderness Area'!K23)</f>
        <v>23830</v>
      </c>
      <c r="L19" s="65">
        <f>SUM('Wilderness Area'!L23)</f>
        <v>23413</v>
      </c>
      <c r="M19" s="65">
        <f>SUM('Wilderness Area'!M23)</f>
        <v>23705</v>
      </c>
      <c r="N19" s="65">
        <f>SUM('Wilderness Area'!N23)</f>
        <v>21909</v>
      </c>
      <c r="O19" s="65">
        <f>SUM('Wilderness Area'!O23)</f>
        <v>22899</v>
      </c>
      <c r="P19" s="65">
        <f>SUM('Wilderness Area'!P23)</f>
        <v>20859</v>
      </c>
      <c r="Q19" s="65">
        <f>SUM('Wilderness Area'!Q23)</f>
        <v>22710</v>
      </c>
      <c r="R19" s="65">
        <f>SUM('Wilderness Area'!R23)</f>
        <v>22612</v>
      </c>
      <c r="S19" s="65"/>
      <c r="T19" s="65"/>
      <c r="U19" s="65">
        <f>SUM('Wilderness Area'!U23)</f>
        <v>29572</v>
      </c>
      <c r="V19" s="65"/>
      <c r="W19" s="65">
        <f>SUM('Wilderness Area'!W23)</f>
        <v>26301</v>
      </c>
      <c r="X19" s="65">
        <f>SUM('Wilderness Area'!X23)</f>
        <v>26842</v>
      </c>
      <c r="Y19" s="65">
        <f>SUM('Wilderness Area'!Y23)</f>
        <v>31677</v>
      </c>
      <c r="Z19" s="65">
        <f>SUM('Wilderness Area'!Z23)</f>
        <v>34060</v>
      </c>
      <c r="AA19" s="65">
        <f>SUM('Wilderness Area'!AA23)</f>
        <v>38800</v>
      </c>
      <c r="AB19" s="65">
        <f>SUM('Wilderness Area'!AB23)</f>
        <v>38311</v>
      </c>
      <c r="AC19" s="65">
        <f>SUM('Wilderness Area'!AC23)</f>
        <v>31552</v>
      </c>
      <c r="AD19" s="65">
        <f>SUM('Wilderness Area'!AD23)</f>
        <v>34595</v>
      </c>
      <c r="AE19" s="65">
        <f>SUM('Wilderness Area'!AE23)</f>
        <v>40765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 s="96">
        <f t="shared" ref="BJ19" si="123">AVERAGEIF(B19:K19,"&gt;0")</f>
        <v>24634</v>
      </c>
      <c r="BK19" s="96">
        <f t="shared" ref="BK19" si="124">AVERAGEIF(C19:L19,"&gt;0")</f>
        <v>24705.3</v>
      </c>
      <c r="BL19" s="96">
        <f t="shared" ref="BL19" si="125">AVERAGEIF(D19:M19,"&gt;0")</f>
        <v>24799.9</v>
      </c>
      <c r="BM19" s="96">
        <f t="shared" ref="BM19" si="126">AVERAGEIF(E19:N19,"&gt;0")</f>
        <v>24590.5</v>
      </c>
      <c r="BN19" s="96">
        <f t="shared" ref="BN19" si="127">AVERAGEIF(F19:O19,"&gt;0")</f>
        <v>24367.599999999999</v>
      </c>
      <c r="BO19" s="96">
        <f t="shared" ref="BO19" si="128">AVERAGEIF(G19:P19,"&gt;0")</f>
        <v>23822.6</v>
      </c>
      <c r="BP19" s="96">
        <f t="shared" ref="BP19" si="129">AVERAGEIF(H19:Q19,"&gt;0")</f>
        <v>23690.5</v>
      </c>
      <c r="BQ19" s="96">
        <f t="shared" ref="BQ19" si="130">AVERAGEIF(I19:R19,"&gt;0")</f>
        <v>23330.5</v>
      </c>
      <c r="BR19" s="96">
        <f t="shared" ref="BR19" si="131">AVERAGEIF(J19:S19,"&gt;0")</f>
        <v>22836</v>
      </c>
      <c r="BS19" s="96">
        <f t="shared" ref="BS19" si="132">AVERAGEIF(K19:T19,"&gt;0")</f>
        <v>22742.125</v>
      </c>
      <c r="BT19" s="96">
        <f t="shared" ref="BT19" si="133">AVERAGEIF(L19:U19,"&gt;0")</f>
        <v>23459.875</v>
      </c>
      <c r="BU19" s="96">
        <f t="shared" ref="BU19" si="134">AVERAGEIF(M19:V19,"&gt;0")</f>
        <v>23466.571428571428</v>
      </c>
      <c r="BV19" s="96">
        <f t="shared" ref="BV19" si="135">AVERAGEIF(N19:W19,"&gt;0")</f>
        <v>23837.428571428572</v>
      </c>
      <c r="BW19" s="96">
        <f t="shared" ref="BW19" si="136">AVERAGEIF(O19:X19,"&gt;0")</f>
        <v>24542.142857142859</v>
      </c>
      <c r="BX19" s="96">
        <f t="shared" ref="BX19" si="137">AVERAGEIF(P19:Y19,"&gt;0")</f>
        <v>25796.142857142859</v>
      </c>
      <c r="BY19" s="96">
        <f t="shared" ref="BY19" si="138">AVERAGEIF(Q19:Z19,"&gt;0")</f>
        <v>27682</v>
      </c>
      <c r="BZ19" s="96">
        <f t="shared" ref="BZ19" si="139">AVERAGEIF(R19:AA19,"&gt;0")</f>
        <v>29980.571428571428</v>
      </c>
      <c r="CA19" s="96">
        <f t="shared" ref="CA19" si="140">AVERAGEIF(S19:AB19,"&gt;0")</f>
        <v>32223.285714285714</v>
      </c>
      <c r="CB19" s="96">
        <f t="shared" ref="CB19" si="141">AVERAGEIF(T19:AC19,"&gt;0")</f>
        <v>32139.375</v>
      </c>
      <c r="CC19" s="96">
        <f t="shared" ref="CC19" si="142">AVERAGEIF(U19:AD19,"&gt;0")</f>
        <v>32412.222222222223</v>
      </c>
      <c r="CD19" s="96">
        <f t="shared" ref="CD19" si="143">AVERAGEIF(V19:AE19,"&gt;0")</f>
        <v>33655.888888888891</v>
      </c>
      <c r="CE19" s="96">
        <f t="shared" ref="CE19" si="144">AVERAGEIF(W19:AF19,"&gt;0")</f>
        <v>33655.888888888891</v>
      </c>
      <c r="CF19" s="96">
        <f t="shared" ref="CF19" si="145">AVERAGEIF(X19:AG19,"&gt;0")</f>
        <v>34575.25</v>
      </c>
      <c r="CG19" s="96">
        <f t="shared" ref="CG19" si="146">AVERAGEIF(Y19:AH19,"&gt;0")</f>
        <v>35680</v>
      </c>
      <c r="CH19" s="96">
        <f t="shared" ref="CH19" si="147">AVERAGEIF(Z19:AI19,"&gt;0")</f>
        <v>36347.166666666664</v>
      </c>
      <c r="CI19" s="96">
        <f t="shared" ref="CI19" si="148">AVERAGEIF(AA19:AJ19,"&gt;0")</f>
        <v>36804.6</v>
      </c>
      <c r="CJ19" s="96">
        <f t="shared" ref="CJ19" si="149">AVERAGEIF(AB19:AK19,"&gt;0")</f>
        <v>36305.75</v>
      </c>
      <c r="CK19" s="96">
        <f t="shared" ref="CK19" si="150">AVERAGEIF(AC19:AL19,"&gt;0")</f>
        <v>35637.333333333336</v>
      </c>
      <c r="CL19" s="96">
        <f t="shared" ref="CL19" si="151">AVERAGEIF(AD19:AM19,"&gt;0")</f>
        <v>37680</v>
      </c>
      <c r="CM19" s="96">
        <f t="shared" ref="CM19" si="152">AVERAGEIF(AE19:AN19,"&gt;0")</f>
        <v>40765</v>
      </c>
      <c r="CN19" s="96" t="e">
        <f t="shared" ref="CN19" si="153">AVERAGEIF(AF19:AO19,"&gt;0")</f>
        <v>#DIV/0!</v>
      </c>
      <c r="CO19" s="96" t="e">
        <f t="shared" ref="CO19" si="154">AVERAGEIF(AG19:AP19,"&gt;0")</f>
        <v>#DIV/0!</v>
      </c>
      <c r="CP19" s="96" t="e">
        <f t="shared" ref="CP19" si="155">AVERAGEIF(AH19:AQ19,"&gt;0")</f>
        <v>#DIV/0!</v>
      </c>
      <c r="CQ19" s="96" t="e">
        <f t="shared" ref="CQ19" si="156">AVERAGEIF(AI19:AR19,"&gt;0")</f>
        <v>#DIV/0!</v>
      </c>
      <c r="CR19" s="96" t="e">
        <f t="shared" ref="CR19" si="157">AVERAGEIF(AJ19:AS19,"&gt;0")</f>
        <v>#DIV/0!</v>
      </c>
      <c r="CS19" s="96" t="e">
        <f t="shared" ref="CS19" si="158">AVERAGEIF(AK19:AT19,"&gt;0")</f>
        <v>#DIV/0!</v>
      </c>
      <c r="CT19" s="96" t="e">
        <f t="shared" ref="CT19" si="159">AVERAGEIF(AL19:AU19,"&gt;0")</f>
        <v>#DIV/0!</v>
      </c>
      <c r="CU19" s="96" t="e">
        <f t="shared" ref="CU19" si="160">AVERAGEIF(AM19:AV19,"&gt;0")</f>
        <v>#DIV/0!</v>
      </c>
      <c r="CV19" s="96" t="e">
        <f t="shared" ref="CV19" si="161">AVERAGEIF(AN19:AW19,"&gt;0")</f>
        <v>#DIV/0!</v>
      </c>
      <c r="CW19" s="96" t="e">
        <f t="shared" ref="CW19" si="162">AVERAGEIF(AO19:AX19,"&gt;0")</f>
        <v>#DIV/0!</v>
      </c>
      <c r="CX19" s="96" t="e">
        <f t="shared" ref="CX19" si="163">AVERAGEIF(AP19:AY19,"&gt;0")</f>
        <v>#DIV/0!</v>
      </c>
      <c r="CY19" s="96" t="e">
        <f t="shared" ref="CY19" si="164">AVERAGEIF(AQ19:AZ19,"&gt;0")</f>
        <v>#DIV/0!</v>
      </c>
    </row>
    <row r="20" spans="1:103" s="69" customFormat="1" ht="20" customHeight="1" x14ac:dyDescent="0.2">
      <c r="A20" s="67" t="s">
        <v>67</v>
      </c>
      <c r="B20" s="68">
        <f>SUM('Wild Forest'!B32)</f>
        <v>14971</v>
      </c>
      <c r="C20" s="68">
        <f>SUM('Wild Forest'!C32)</f>
        <v>12746</v>
      </c>
      <c r="D20" s="68">
        <f>SUM('Wild Forest'!D32)</f>
        <v>14295</v>
      </c>
      <c r="E20" s="68">
        <f>SUM('Wild Forest'!E32)</f>
        <v>18977</v>
      </c>
      <c r="F20" s="68">
        <f>SUM('Wild Forest'!F32)</f>
        <v>15535</v>
      </c>
      <c r="G20" s="68">
        <f>SUM('Wild Forest'!G32)</f>
        <v>15076</v>
      </c>
      <c r="H20" s="68">
        <f>SUM('Wild Forest'!H32)</f>
        <v>18387</v>
      </c>
      <c r="I20" s="68">
        <f>SUM('Wild Forest'!I32)</f>
        <v>21587</v>
      </c>
      <c r="J20" s="68">
        <f>SUM('Wild Forest'!J32)</f>
        <v>20001</v>
      </c>
      <c r="K20" s="68">
        <f>SUM('Wild Forest'!K32)</f>
        <v>17314</v>
      </c>
      <c r="L20" s="68">
        <f>SUM('Wild Forest'!L32)</f>
        <v>20046</v>
      </c>
      <c r="M20" s="68">
        <f>SUM('Wild Forest'!M32)</f>
        <v>20446</v>
      </c>
      <c r="N20" s="68">
        <f>SUM('Wild Forest'!N32)</f>
        <v>18596</v>
      </c>
      <c r="O20" s="68">
        <f>SUM('Wild Forest'!O32)</f>
        <v>20063</v>
      </c>
      <c r="P20" s="68">
        <f>SUM('Wild Forest'!P32)</f>
        <v>18644</v>
      </c>
      <c r="Q20" s="68">
        <f>SUM('Wild Forest'!Q32)</f>
        <v>21724</v>
      </c>
      <c r="R20" s="68">
        <f>SUM('Wild Forest'!R32)</f>
        <v>23663</v>
      </c>
      <c r="S20" s="68"/>
      <c r="T20" s="68"/>
      <c r="U20" s="68">
        <f>SUM('Wild Forest'!U32)</f>
        <v>13357</v>
      </c>
      <c r="V20" s="68"/>
      <c r="W20" s="68">
        <f>SUM('Wild Forest'!W32)</f>
        <v>24511</v>
      </c>
      <c r="X20" s="68">
        <f>SUM('Wild Forest'!X32)</f>
        <v>23749</v>
      </c>
      <c r="Y20" s="68">
        <f>SUM('Wild Forest'!Y32)</f>
        <v>30589</v>
      </c>
      <c r="Z20" s="68">
        <f>SUM('Wild Forest'!Z32)</f>
        <v>35245</v>
      </c>
      <c r="AA20" s="68">
        <f>SUM('Wild Forest'!AA32)</f>
        <v>37191.566666666666</v>
      </c>
      <c r="AB20" s="68">
        <f>SUM('Wild Forest'!AB32)</f>
        <v>43503</v>
      </c>
      <c r="AC20" s="68">
        <f>SUM('Wild Forest'!AC32)</f>
        <v>40335</v>
      </c>
      <c r="AD20" s="68">
        <f>SUM('Wild Forest'!AD32)</f>
        <v>43838.333333333336</v>
      </c>
      <c r="AE20" s="68">
        <f>SUM('Wild Forest'!AE32)</f>
        <v>41039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 s="96">
        <f t="shared" ref="BJ20" si="165">AVERAGEIF(B20:K20,"&gt;0")</f>
        <v>16888.900000000001</v>
      </c>
      <c r="BK20" s="96">
        <f t="shared" ref="BK20" si="166">AVERAGEIF(C20:L20,"&gt;0")</f>
        <v>17396.400000000001</v>
      </c>
      <c r="BL20" s="96">
        <f t="shared" ref="BL20" si="167">AVERAGEIF(D20:M20,"&gt;0")</f>
        <v>18166.400000000001</v>
      </c>
      <c r="BM20" s="96">
        <f t="shared" ref="BM20" si="168">AVERAGEIF(E20:N20,"&gt;0")</f>
        <v>18596.5</v>
      </c>
      <c r="BN20" s="96">
        <f t="shared" ref="BN20" si="169">AVERAGEIF(F20:O20,"&gt;0")</f>
        <v>18705.099999999999</v>
      </c>
      <c r="BO20" s="96">
        <f t="shared" ref="BO20" si="170">AVERAGEIF(G20:P20,"&gt;0")</f>
        <v>19016</v>
      </c>
      <c r="BP20" s="96">
        <f t="shared" ref="BP20" si="171">AVERAGEIF(H20:Q20,"&gt;0")</f>
        <v>19680.8</v>
      </c>
      <c r="BQ20" s="96">
        <f t="shared" ref="BQ20" si="172">AVERAGEIF(I20:R20,"&gt;0")</f>
        <v>20208.400000000001</v>
      </c>
      <c r="BR20" s="96">
        <f t="shared" ref="BR20" si="173">AVERAGEIF(J20:S20,"&gt;0")</f>
        <v>20055.222222222223</v>
      </c>
      <c r="BS20" s="96">
        <f t="shared" ref="BS20" si="174">AVERAGEIF(K20:T20,"&gt;0")</f>
        <v>20062</v>
      </c>
      <c r="BT20" s="96">
        <f t="shared" ref="BT20" si="175">AVERAGEIF(L20:U20,"&gt;0")</f>
        <v>19567.375</v>
      </c>
      <c r="BU20" s="96">
        <f t="shared" ref="BU20" si="176">AVERAGEIF(M20:V20,"&gt;0")</f>
        <v>19499</v>
      </c>
      <c r="BV20" s="96">
        <f t="shared" ref="BV20" si="177">AVERAGEIF(N20:W20,"&gt;0")</f>
        <v>20079.714285714286</v>
      </c>
      <c r="BW20" s="96">
        <f t="shared" ref="BW20" si="178">AVERAGEIF(O20:X20,"&gt;0")</f>
        <v>20815.857142857141</v>
      </c>
      <c r="BX20" s="96">
        <f t="shared" ref="BX20" si="179">AVERAGEIF(P20:Y20,"&gt;0")</f>
        <v>22319.571428571428</v>
      </c>
      <c r="BY20" s="96">
        <f t="shared" ref="BY20" si="180">AVERAGEIF(Q20:Z20,"&gt;0")</f>
        <v>24691.142857142859</v>
      </c>
      <c r="BZ20" s="96">
        <f t="shared" ref="BZ20" si="181">AVERAGEIF(R20:AA20,"&gt;0")</f>
        <v>26900.795238095237</v>
      </c>
      <c r="CA20" s="96">
        <f t="shared" ref="CA20" si="182">AVERAGEIF(S20:AB20,"&gt;0")</f>
        <v>29735.080952380951</v>
      </c>
      <c r="CB20" s="96">
        <f t="shared" ref="CB20" si="183">AVERAGEIF(T20:AC20,"&gt;0")</f>
        <v>31060.070833333331</v>
      </c>
      <c r="CC20" s="96">
        <f t="shared" ref="CC20" si="184">AVERAGEIF(U20:AD20,"&gt;0")</f>
        <v>32479.877777777772</v>
      </c>
      <c r="CD20" s="96">
        <f t="shared" ref="CD20" si="185">AVERAGEIF(V20:AE20,"&gt;0")</f>
        <v>35555.655555555553</v>
      </c>
      <c r="CE20" s="96">
        <f t="shared" ref="CE20" si="186">AVERAGEIF(W20:AF20,"&gt;0")</f>
        <v>35555.655555555553</v>
      </c>
      <c r="CF20" s="96">
        <f t="shared" ref="CF20" si="187">AVERAGEIF(X20:AG20,"&gt;0")</f>
        <v>36936.237500000003</v>
      </c>
      <c r="CG20" s="96">
        <f t="shared" ref="CG20" si="188">AVERAGEIF(Y20:AH20,"&gt;0")</f>
        <v>38820.128571428577</v>
      </c>
      <c r="CH20" s="96">
        <f t="shared" ref="CH20" si="189">AVERAGEIF(Z20:AI20,"&gt;0")</f>
        <v>40191.98333333333</v>
      </c>
      <c r="CI20" s="96">
        <f t="shared" ref="CI20" si="190">AVERAGEIF(AA20:AJ20,"&gt;0")</f>
        <v>41181.379999999997</v>
      </c>
      <c r="CJ20" s="96">
        <f t="shared" ref="CJ20" si="191">AVERAGEIF(AB20:AK20,"&gt;0")</f>
        <v>42178.833333333336</v>
      </c>
      <c r="CK20" s="96">
        <f t="shared" ref="CK20" si="192">AVERAGEIF(AC20:AL20,"&gt;0")</f>
        <v>41737.444444444445</v>
      </c>
      <c r="CL20" s="96">
        <f t="shared" ref="CL20" si="193">AVERAGEIF(AD20:AM20,"&gt;0")</f>
        <v>42438.666666666672</v>
      </c>
      <c r="CM20" s="96">
        <f t="shared" ref="CM20" si="194">AVERAGEIF(AE20:AN20,"&gt;0")</f>
        <v>41039</v>
      </c>
      <c r="CN20" s="96" t="e">
        <f t="shared" ref="CN20" si="195">AVERAGEIF(AF20:AO20,"&gt;0")</f>
        <v>#DIV/0!</v>
      </c>
      <c r="CO20" s="96" t="e">
        <f t="shared" ref="CO20" si="196">AVERAGEIF(AG20:AP20,"&gt;0")</f>
        <v>#DIV/0!</v>
      </c>
      <c r="CP20" s="96" t="e">
        <f t="shared" ref="CP20" si="197">AVERAGEIF(AH20:AQ20,"&gt;0")</f>
        <v>#DIV/0!</v>
      </c>
      <c r="CQ20" s="96" t="e">
        <f t="shared" ref="CQ20" si="198">AVERAGEIF(AI20:AR20,"&gt;0")</f>
        <v>#DIV/0!</v>
      </c>
      <c r="CR20" s="96" t="e">
        <f t="shared" ref="CR20" si="199">AVERAGEIF(AJ20:AS20,"&gt;0")</f>
        <v>#DIV/0!</v>
      </c>
      <c r="CS20" s="96" t="e">
        <f t="shared" ref="CS20" si="200">AVERAGEIF(AK20:AT20,"&gt;0")</f>
        <v>#DIV/0!</v>
      </c>
      <c r="CT20" s="96" t="e">
        <f t="shared" ref="CT20" si="201">AVERAGEIF(AL20:AU20,"&gt;0")</f>
        <v>#DIV/0!</v>
      </c>
      <c r="CU20" s="96" t="e">
        <f t="shared" ref="CU20" si="202">AVERAGEIF(AM20:AV20,"&gt;0")</f>
        <v>#DIV/0!</v>
      </c>
      <c r="CV20" s="96" t="e">
        <f t="shared" ref="CV20" si="203">AVERAGEIF(AN20:AW20,"&gt;0")</f>
        <v>#DIV/0!</v>
      </c>
      <c r="CW20" s="96" t="e">
        <f t="shared" ref="CW20" si="204">AVERAGEIF(AO20:AX20,"&gt;0")</f>
        <v>#DIV/0!</v>
      </c>
      <c r="CX20" s="96" t="e">
        <f t="shared" ref="CX20" si="205">AVERAGEIF(AP20:AY20,"&gt;0")</f>
        <v>#DIV/0!</v>
      </c>
      <c r="CY20" s="96" t="e">
        <f t="shared" ref="CY20" si="206">AVERAGEIF(AQ20:AZ20,"&gt;0")</f>
        <v>#DIV/0!</v>
      </c>
    </row>
    <row r="21" spans="1:103" ht="15" customHeight="1" x14ac:dyDescent="0.2">
      <c r="J21" s="34"/>
      <c r="K21" s="34"/>
      <c r="L21" s="34"/>
      <c r="M21" s="34"/>
      <c r="N21" s="35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  <c r="AB21" s="34"/>
      <c r="AC21" s="34"/>
      <c r="AD21" s="34"/>
      <c r="AE21" s="34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103" ht="20" customHeight="1" x14ac:dyDescent="0.2">
      <c r="J22" s="26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103" ht="20" customHeight="1" x14ac:dyDescent="0.2">
      <c r="J23" s="7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103" ht="20" customHeight="1" x14ac:dyDescent="0.2">
      <c r="A24" s="1"/>
      <c r="B24" s="1"/>
      <c r="C24" s="1"/>
      <c r="J24" s="9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103" ht="20" customHeight="1" x14ac:dyDescent="0.2">
      <c r="A25" s="1"/>
      <c r="B25" s="1"/>
      <c r="J25" s="7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103" ht="20" customHeight="1" x14ac:dyDescent="0.2">
      <c r="F26" s="4"/>
      <c r="J26" s="9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103" ht="20" customHeight="1" x14ac:dyDescent="0.2">
      <c r="J27" s="7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103" ht="20" customHeight="1" x14ac:dyDescent="0.2">
      <c r="D28" s="3"/>
      <c r="E28" s="3"/>
      <c r="F28" s="3"/>
      <c r="G28" s="3"/>
      <c r="H28" s="3"/>
      <c r="I28" s="3"/>
      <c r="J28" s="9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3"/>
      <c r="AG28" s="3"/>
      <c r="AH28" s="5"/>
      <c r="AI28" s="5"/>
      <c r="AJ28" s="3"/>
      <c r="AK28" s="3"/>
      <c r="AL28" s="3"/>
      <c r="AM28" s="5"/>
      <c r="AN28" s="5"/>
      <c r="AO28" s="3"/>
      <c r="AP28" s="3"/>
      <c r="AQ28" s="3"/>
      <c r="AR28" s="5"/>
      <c r="AS28" s="5"/>
      <c r="AT28" s="3"/>
      <c r="AU28" s="3"/>
      <c r="AV28" s="3"/>
      <c r="AW28" s="3"/>
      <c r="AX28" s="3"/>
      <c r="AY28" s="5"/>
      <c r="AZ28" s="5"/>
    </row>
    <row r="29" spans="1:103" ht="20" customHeight="1" x14ac:dyDescent="0.2">
      <c r="J29" s="7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103" ht="20" customHeight="1" x14ac:dyDescent="0.2">
      <c r="A30" s="1"/>
      <c r="B30" s="1"/>
      <c r="C30" s="1"/>
      <c r="J30" s="9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103" ht="20" customHeight="1" x14ac:dyDescent="0.2">
      <c r="A31" s="1"/>
      <c r="B31" s="1"/>
      <c r="C31" s="1"/>
      <c r="J31" s="7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103" ht="20" customHeight="1" x14ac:dyDescent="0.2">
      <c r="A32" s="1"/>
      <c r="B32" s="1"/>
      <c r="C32" s="1"/>
      <c r="J32" s="9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ht="20" customHeight="1" x14ac:dyDescent="0.2">
      <c r="A33" s="1"/>
      <c r="B33" s="1"/>
      <c r="C33" s="1"/>
      <c r="J33" s="7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ht="20" customHeight="1" x14ac:dyDescent="0.2">
      <c r="A34" s="1"/>
      <c r="B34" s="1"/>
      <c r="C34" s="1"/>
      <c r="J34" s="9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20" customHeight="1" x14ac:dyDescent="0.2">
      <c r="A35" s="1"/>
      <c r="B35" s="1"/>
      <c r="C35" s="1"/>
      <c r="J35" s="7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20" customHeight="1" x14ac:dyDescent="0.2">
      <c r="A36" s="1"/>
      <c r="B36" s="1"/>
      <c r="C36" s="1"/>
      <c r="J36" s="125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20" customHeight="1" x14ac:dyDescent="0.2">
      <c r="A37" s="1"/>
      <c r="B37" s="1"/>
      <c r="C37" s="1"/>
      <c r="J37" s="12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20" customHeight="1" x14ac:dyDescent="0.2">
      <c r="A38" s="1"/>
      <c r="B38" s="1"/>
      <c r="C38" s="1"/>
      <c r="J38" s="6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ht="20" customHeight="1" x14ac:dyDescent="0.2">
      <c r="A39" s="1"/>
      <c r="B39" s="1"/>
      <c r="C39" s="1"/>
      <c r="J39" s="64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ht="20" customHeight="1" x14ac:dyDescent="0.2">
      <c r="A40" s="1"/>
      <c r="B40" s="1"/>
      <c r="C40" s="1"/>
      <c r="J40" s="67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20" customHeight="1" x14ac:dyDescent="0.2">
      <c r="A41" s="1"/>
      <c r="B41" s="1"/>
      <c r="C41" s="1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20" customHeight="1" x14ac:dyDescent="0.2">
      <c r="A42" s="1"/>
      <c r="B42" s="1"/>
      <c r="C42" s="1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20" customHeight="1" x14ac:dyDescent="0.2">
      <c r="A43" s="1"/>
      <c r="B43" s="1"/>
      <c r="C43" s="1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ht="20" customHeight="1" x14ac:dyDescent="0.2">
      <c r="A44" s="1"/>
      <c r="B44" s="1"/>
      <c r="C44" s="1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ht="20" customHeight="1" x14ac:dyDescent="0.2">
      <c r="A45" s="1"/>
      <c r="B45" s="1"/>
      <c r="C45" s="1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ht="20" customHeight="1" x14ac:dyDescent="0.2">
      <c r="A46" s="1"/>
      <c r="B46" s="1"/>
      <c r="C46" s="1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ht="20" customHeight="1" x14ac:dyDescent="0.2">
      <c r="A47" s="1"/>
      <c r="B47" s="1"/>
      <c r="C47" s="1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ht="20" customHeight="1" x14ac:dyDescent="0.2">
      <c r="A48" s="1"/>
      <c r="B48" s="1"/>
      <c r="C48" s="1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6" ht="20" customHeight="1" x14ac:dyDescent="0.2">
      <c r="A49" s="1"/>
      <c r="B49" s="1"/>
      <c r="C49" s="1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6" ht="20" customHeight="1" x14ac:dyDescent="0.2">
      <c r="A50" s="1"/>
      <c r="B50" s="1"/>
      <c r="C50" s="1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D50" s="1"/>
    </row>
    <row r="51" spans="1:56" ht="20" customHeight="1" x14ac:dyDescent="0.2">
      <c r="A51" s="1"/>
      <c r="B51" s="1"/>
      <c r="C51" s="1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6" ht="20" customHeight="1" x14ac:dyDescent="0.2">
      <c r="A52" s="1"/>
      <c r="B52" s="1"/>
      <c r="C52" s="1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6" ht="20" customHeight="1" x14ac:dyDescent="0.2">
      <c r="A53" s="1"/>
      <c r="B53" s="1"/>
      <c r="C53" s="1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6" ht="20" customHeight="1" x14ac:dyDescent="0.2">
      <c r="A54" s="1"/>
      <c r="B54" s="1"/>
      <c r="C54" s="1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6" ht="20" customHeight="1" x14ac:dyDescent="0.2">
      <c r="A55" s="1"/>
      <c r="B55" s="1"/>
      <c r="C55" s="1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6" ht="20" customHeight="1" x14ac:dyDescent="0.2">
      <c r="A56" s="1"/>
      <c r="B56" s="1"/>
      <c r="C56" s="1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6" ht="20" customHeight="1" x14ac:dyDescent="0.2">
      <c r="A57" s="1"/>
      <c r="B57" s="1"/>
      <c r="C57" s="1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6" ht="20" customHeight="1" x14ac:dyDescent="0.2">
      <c r="A58" s="1"/>
      <c r="B58" s="1"/>
      <c r="C58" s="1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6" ht="20" customHeight="1" x14ac:dyDescent="0.2">
      <c r="A59" s="1"/>
      <c r="B59" s="1"/>
      <c r="C59" s="1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6" ht="20" customHeight="1" x14ac:dyDescent="0.2">
      <c r="A60" s="1"/>
      <c r="B60" s="1"/>
      <c r="C60" s="1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6" ht="20" customHeight="1" x14ac:dyDescent="0.2">
      <c r="A61" s="2"/>
      <c r="B61" s="1"/>
      <c r="C61" s="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E61" s="6"/>
      <c r="AF61" s="6"/>
      <c r="AG61" s="6"/>
      <c r="AH61" s="5"/>
      <c r="AI61" s="5"/>
      <c r="AJ61" s="6"/>
      <c r="AK61" s="6"/>
      <c r="AL61" s="6"/>
      <c r="AM61" s="5"/>
      <c r="AN61" s="5"/>
      <c r="AO61" s="6"/>
      <c r="AP61" s="6"/>
      <c r="AQ61" s="6"/>
      <c r="AR61" s="5"/>
      <c r="AS61" s="5"/>
      <c r="AT61" s="6"/>
      <c r="AU61" s="6"/>
      <c r="AV61" s="6"/>
      <c r="AW61" s="6"/>
      <c r="AX61" s="6"/>
      <c r="AY61" s="5"/>
      <c r="AZ61" s="5"/>
    </row>
    <row r="62" spans="1:56" ht="20" customHeight="1" x14ac:dyDescent="0.2">
      <c r="A62" s="1"/>
      <c r="B62" s="1"/>
      <c r="C62" s="1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6" ht="20" customHeight="1" x14ac:dyDescent="0.2">
      <c r="A63" s="8"/>
      <c r="B63" s="1"/>
      <c r="C63" s="1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6" ht="20" customHeight="1" x14ac:dyDescent="0.2"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="5" customFormat="1" ht="20" customHeight="1" x14ac:dyDescent="0.2"/>
    <row r="66" s="5" customFormat="1" ht="20" customHeight="1" x14ac:dyDescent="0.2"/>
    <row r="67" s="5" customFormat="1" ht="20" customHeight="1" x14ac:dyDescent="0.2"/>
    <row r="68" s="5" customFormat="1" ht="20" customHeight="1" x14ac:dyDescent="0.2"/>
    <row r="69" s="5" customFormat="1" ht="20" customHeight="1" x14ac:dyDescent="0.2"/>
    <row r="70" s="5" customFormat="1" ht="20" customHeight="1" x14ac:dyDescent="0.2"/>
    <row r="71" s="5" customFormat="1" ht="20" customHeight="1" x14ac:dyDescent="0.2"/>
    <row r="72" s="5" customFormat="1" ht="20" customHeight="1" x14ac:dyDescent="0.2"/>
    <row r="73" s="5" customFormat="1" ht="20" customHeight="1" x14ac:dyDescent="0.2"/>
    <row r="74" s="5" customFormat="1" ht="20" customHeight="1" x14ac:dyDescent="0.2"/>
    <row r="75" s="5" customFormat="1" ht="20" customHeight="1" x14ac:dyDescent="0.2"/>
    <row r="76" s="5" customFormat="1" ht="20" customHeight="1" x14ac:dyDescent="0.2"/>
    <row r="77" s="5" customFormat="1" ht="20" customHeight="1" x14ac:dyDescent="0.2"/>
    <row r="78" s="5" customFormat="1" ht="20" customHeight="1" x14ac:dyDescent="0.2"/>
    <row r="79" s="5" customFormat="1" ht="20" customHeight="1" x14ac:dyDescent="0.2"/>
    <row r="80" s="5" customFormat="1" ht="20" customHeight="1" x14ac:dyDescent="0.2"/>
    <row r="81" s="5" customFormat="1" ht="20" customHeight="1" x14ac:dyDescent="0.2"/>
    <row r="82" s="5" customFormat="1" ht="20" customHeight="1" x14ac:dyDescent="0.2"/>
    <row r="83" s="5" customFormat="1" ht="20" customHeight="1" x14ac:dyDescent="0.2"/>
    <row r="84" s="5" customFormat="1" ht="20" customHeight="1" x14ac:dyDescent="0.2"/>
    <row r="85" s="5" customFormat="1" ht="20" customHeight="1" x14ac:dyDescent="0.2"/>
    <row r="86" s="5" customFormat="1" ht="20" customHeight="1" x14ac:dyDescent="0.2"/>
    <row r="87" s="5" customFormat="1" ht="20" customHeight="1" x14ac:dyDescent="0.2"/>
    <row r="88" s="5" customFormat="1" ht="20" customHeight="1" x14ac:dyDescent="0.2"/>
    <row r="89" s="5" customFormat="1" ht="20" customHeight="1" x14ac:dyDescent="0.2"/>
    <row r="90" s="5" customFormat="1" ht="20" customHeight="1" x14ac:dyDescent="0.2"/>
    <row r="91" s="5" customFormat="1" ht="20" customHeight="1" x14ac:dyDescent="0.2"/>
    <row r="92" s="5" customFormat="1" ht="20" customHeight="1" x14ac:dyDescent="0.2"/>
    <row r="93" s="5" customFormat="1" ht="20" customHeight="1" x14ac:dyDescent="0.2"/>
    <row r="94" s="5" customFormat="1" ht="20" customHeight="1" x14ac:dyDescent="0.2"/>
    <row r="95" s="5" customFormat="1" ht="20" customHeight="1" x14ac:dyDescent="0.2"/>
    <row r="96" s="5" customFormat="1" ht="20" customHeight="1" x14ac:dyDescent="0.2"/>
    <row r="97" s="5" customFormat="1" ht="20" customHeight="1" x14ac:dyDescent="0.2"/>
    <row r="98" s="5" customFormat="1" ht="20" customHeight="1" x14ac:dyDescent="0.2"/>
    <row r="99" s="5" customFormat="1" ht="20" customHeight="1" x14ac:dyDescent="0.2"/>
    <row r="100" s="5" customFormat="1" ht="20" customHeight="1" x14ac:dyDescent="0.2"/>
    <row r="101" s="5" customFormat="1" ht="20" customHeight="1" x14ac:dyDescent="0.2"/>
    <row r="102" s="5" customFormat="1" ht="20" customHeight="1" x14ac:dyDescent="0.2"/>
    <row r="103" s="5" customFormat="1" ht="20" customHeight="1" x14ac:dyDescent="0.2"/>
    <row r="104" s="5" customFormat="1" ht="20" customHeight="1" x14ac:dyDescent="0.2"/>
    <row r="105" s="5" customFormat="1" ht="20" customHeight="1" x14ac:dyDescent="0.2"/>
    <row r="106" s="5" customFormat="1" ht="20" customHeight="1" x14ac:dyDescent="0.2"/>
    <row r="107" s="5" customFormat="1" ht="20" customHeight="1" x14ac:dyDescent="0.2"/>
    <row r="108" s="5" customFormat="1" ht="20" customHeight="1" x14ac:dyDescent="0.2"/>
    <row r="109" s="5" customFormat="1" ht="20" customHeight="1" x14ac:dyDescent="0.2"/>
    <row r="110" s="5" customFormat="1" ht="20" customHeight="1" x14ac:dyDescent="0.2"/>
    <row r="111" s="5" customFormat="1" ht="20" customHeight="1" x14ac:dyDescent="0.2"/>
    <row r="112" s="5" customFormat="1" ht="20" customHeight="1" x14ac:dyDescent="0.2"/>
    <row r="113" s="5" customFormat="1" ht="20" customHeight="1" x14ac:dyDescent="0.2"/>
    <row r="114" s="5" customFormat="1" ht="20" customHeight="1" x14ac:dyDescent="0.2"/>
    <row r="115" s="5" customFormat="1" ht="20" customHeight="1" x14ac:dyDescent="0.2"/>
    <row r="116" s="5" customFormat="1" ht="20" customHeight="1" x14ac:dyDescent="0.2"/>
    <row r="117" s="5" customFormat="1" ht="20" customHeight="1" x14ac:dyDescent="0.2"/>
    <row r="118" s="5" customFormat="1" ht="20" customHeight="1" x14ac:dyDescent="0.2"/>
    <row r="119" s="5" customFormat="1" ht="20" customHeight="1" x14ac:dyDescent="0.2"/>
    <row r="120" s="5" customFormat="1" ht="20" customHeight="1" x14ac:dyDescent="0.2"/>
    <row r="121" s="5" customFormat="1" ht="20" customHeight="1" x14ac:dyDescent="0.2"/>
    <row r="122" s="5" customFormat="1" ht="20" customHeight="1" x14ac:dyDescent="0.2"/>
    <row r="123" s="5" customFormat="1" ht="20" customHeight="1" x14ac:dyDescent="0.2"/>
    <row r="124" s="5" customFormat="1" ht="20" customHeight="1" x14ac:dyDescent="0.2"/>
    <row r="125" s="5" customFormat="1" ht="20" customHeight="1" x14ac:dyDescent="0.2"/>
    <row r="126" s="5" customFormat="1" ht="20" customHeight="1" x14ac:dyDescent="0.2"/>
    <row r="127" s="5" customFormat="1" ht="20" customHeight="1" x14ac:dyDescent="0.2"/>
    <row r="128" s="5" customFormat="1" ht="20" customHeight="1" x14ac:dyDescent="0.2"/>
    <row r="129" s="5" customFormat="1" ht="20" customHeight="1" x14ac:dyDescent="0.2"/>
    <row r="130" s="5" customFormat="1" ht="20" customHeight="1" x14ac:dyDescent="0.2"/>
    <row r="131" s="5" customFormat="1" ht="20" customHeight="1" x14ac:dyDescent="0.2"/>
    <row r="132" s="5" customFormat="1" ht="20" customHeight="1" x14ac:dyDescent="0.2"/>
    <row r="133" s="5" customFormat="1" ht="20" customHeight="1" x14ac:dyDescent="0.2"/>
    <row r="134" s="5" customFormat="1" ht="20" customHeight="1" x14ac:dyDescent="0.2"/>
    <row r="135" s="5" customFormat="1" ht="20" customHeight="1" x14ac:dyDescent="0.2"/>
    <row r="136" s="5" customFormat="1" ht="20" customHeight="1" x14ac:dyDescent="0.2"/>
    <row r="137" s="5" customFormat="1" ht="20" customHeight="1" x14ac:dyDescent="0.2"/>
    <row r="138" s="5" customFormat="1" ht="20" customHeight="1" x14ac:dyDescent="0.2"/>
    <row r="139" s="5" customFormat="1" ht="20" customHeight="1" x14ac:dyDescent="0.2"/>
    <row r="140" s="5" customFormat="1" ht="20" customHeight="1" x14ac:dyDescent="0.2"/>
    <row r="141" s="5" customFormat="1" ht="20" customHeight="1" x14ac:dyDescent="0.2"/>
    <row r="142" s="5" customFormat="1" ht="20" customHeight="1" x14ac:dyDescent="0.2"/>
    <row r="143" s="5" customFormat="1" ht="20" customHeight="1" x14ac:dyDescent="0.2"/>
    <row r="144" s="5" customFormat="1" ht="20" customHeight="1" x14ac:dyDescent="0.2"/>
    <row r="145" s="5" customFormat="1" ht="20" customHeight="1" x14ac:dyDescent="0.2"/>
    <row r="146" s="5" customFormat="1" ht="20" customHeight="1" x14ac:dyDescent="0.2"/>
    <row r="147" s="5" customFormat="1" ht="20" customHeight="1" x14ac:dyDescent="0.2"/>
    <row r="148" s="5" customFormat="1" ht="20" customHeight="1" x14ac:dyDescent="0.2"/>
    <row r="149" s="5" customFormat="1" ht="20" customHeight="1" x14ac:dyDescent="0.2"/>
    <row r="150" s="5" customFormat="1" ht="20" customHeight="1" x14ac:dyDescent="0.2"/>
    <row r="151" s="5" customFormat="1" ht="20" customHeight="1" x14ac:dyDescent="0.2"/>
    <row r="152" s="5" customFormat="1" ht="20" customHeight="1" x14ac:dyDescent="0.2"/>
    <row r="153" s="5" customFormat="1" ht="20" customHeight="1" x14ac:dyDescent="0.2"/>
    <row r="154" s="5" customFormat="1" ht="20" customHeight="1" x14ac:dyDescent="0.2"/>
    <row r="155" s="5" customFormat="1" ht="20" customHeight="1" x14ac:dyDescent="0.2"/>
    <row r="156" s="5" customFormat="1" ht="20" customHeight="1" x14ac:dyDescent="0.2"/>
    <row r="157" s="5" customFormat="1" ht="20" customHeight="1" x14ac:dyDescent="0.2"/>
    <row r="158" s="5" customFormat="1" ht="20" customHeight="1" x14ac:dyDescent="0.2"/>
    <row r="159" s="5" customFormat="1" ht="20" customHeight="1" x14ac:dyDescent="0.2"/>
    <row r="160" s="5" customFormat="1" ht="20" customHeight="1" x14ac:dyDescent="0.2"/>
    <row r="161" s="5" customFormat="1" ht="20" customHeight="1" x14ac:dyDescent="0.2"/>
    <row r="162" s="5" customFormat="1" ht="20" customHeight="1" x14ac:dyDescent="0.2"/>
    <row r="163" s="5" customFormat="1" ht="20" customHeight="1" x14ac:dyDescent="0.2"/>
    <row r="164" s="5" customFormat="1" ht="20" customHeight="1" x14ac:dyDescent="0.2"/>
    <row r="165" s="5" customFormat="1" ht="20" customHeight="1" x14ac:dyDescent="0.2"/>
    <row r="166" s="5" customFormat="1" ht="20" customHeight="1" x14ac:dyDescent="0.2"/>
    <row r="167" s="5" customFormat="1" ht="20" customHeight="1" x14ac:dyDescent="0.2"/>
    <row r="168" s="5" customFormat="1" ht="20" customHeight="1" x14ac:dyDescent="0.2"/>
    <row r="169" s="5" customFormat="1" ht="20" customHeight="1" x14ac:dyDescent="0.2"/>
    <row r="170" s="5" customFormat="1" ht="20" customHeight="1" x14ac:dyDescent="0.2"/>
    <row r="171" s="5" customFormat="1" ht="20" customHeight="1" x14ac:dyDescent="0.2"/>
    <row r="172" s="5" customFormat="1" ht="20" customHeight="1" x14ac:dyDescent="0.2"/>
    <row r="173" s="5" customFormat="1" ht="20" customHeight="1" x14ac:dyDescent="0.2"/>
    <row r="174" s="5" customFormat="1" ht="20" customHeight="1" x14ac:dyDescent="0.2"/>
    <row r="175" s="5" customFormat="1" ht="20" customHeight="1" x14ac:dyDescent="0.2"/>
    <row r="176" s="5" customFormat="1" ht="20" customHeight="1" x14ac:dyDescent="0.2"/>
    <row r="177" s="5" customFormat="1" ht="20" customHeight="1" x14ac:dyDescent="0.2"/>
    <row r="178" s="5" customFormat="1" ht="20" customHeight="1" x14ac:dyDescent="0.2"/>
    <row r="179" s="5" customFormat="1" ht="20" customHeight="1" x14ac:dyDescent="0.2"/>
    <row r="180" s="5" customFormat="1" ht="20" customHeight="1" x14ac:dyDescent="0.2"/>
    <row r="181" s="5" customFormat="1" ht="20" customHeight="1" x14ac:dyDescent="0.2"/>
    <row r="182" s="5" customFormat="1" ht="20" customHeight="1" x14ac:dyDescent="0.2"/>
    <row r="183" s="5" customFormat="1" ht="20" customHeight="1" x14ac:dyDescent="0.2"/>
    <row r="184" s="5" customFormat="1" ht="20" customHeight="1" x14ac:dyDescent="0.2"/>
    <row r="185" s="5" customFormat="1" ht="20" customHeight="1" x14ac:dyDescent="0.2"/>
    <row r="186" s="5" customFormat="1" ht="20" customHeight="1" x14ac:dyDescent="0.2"/>
    <row r="187" s="5" customFormat="1" ht="20" customHeight="1" x14ac:dyDescent="0.2"/>
    <row r="188" s="5" customFormat="1" ht="20" customHeight="1" x14ac:dyDescent="0.2"/>
    <row r="189" s="5" customFormat="1" ht="20" customHeight="1" x14ac:dyDescent="0.2"/>
    <row r="190" s="5" customFormat="1" ht="20" customHeight="1" x14ac:dyDescent="0.2"/>
    <row r="191" s="5" customFormat="1" ht="20" customHeight="1" x14ac:dyDescent="0.2"/>
    <row r="192" s="5" customFormat="1" ht="20" customHeight="1" x14ac:dyDescent="0.2"/>
    <row r="193" s="5" customFormat="1" ht="20" customHeight="1" x14ac:dyDescent="0.2"/>
    <row r="194" s="5" customFormat="1" ht="20" customHeight="1" x14ac:dyDescent="0.2"/>
    <row r="195" s="5" customFormat="1" ht="20" customHeight="1" x14ac:dyDescent="0.2"/>
    <row r="196" s="5" customFormat="1" ht="20" customHeight="1" x14ac:dyDescent="0.2"/>
    <row r="197" s="5" customFormat="1" ht="20" customHeight="1" x14ac:dyDescent="0.2"/>
    <row r="198" s="5" customFormat="1" ht="20" customHeight="1" x14ac:dyDescent="0.2"/>
    <row r="199" s="5" customFormat="1" ht="20" customHeight="1" x14ac:dyDescent="0.2"/>
    <row r="200" s="5" customFormat="1" ht="20" customHeight="1" x14ac:dyDescent="0.2"/>
    <row r="201" s="5" customFormat="1" ht="20" customHeight="1" x14ac:dyDescent="0.2"/>
    <row r="202" s="5" customFormat="1" ht="20" customHeight="1" x14ac:dyDescent="0.2"/>
    <row r="203" s="5" customFormat="1" ht="20" customHeight="1" x14ac:dyDescent="0.2"/>
    <row r="204" s="5" customFormat="1" ht="20" customHeight="1" x14ac:dyDescent="0.2"/>
    <row r="205" s="5" customFormat="1" ht="20" customHeight="1" x14ac:dyDescent="0.2"/>
    <row r="206" s="5" customFormat="1" ht="20" customHeight="1" x14ac:dyDescent="0.2"/>
    <row r="207" s="5" customFormat="1" ht="20" customHeight="1" x14ac:dyDescent="0.2"/>
    <row r="208" s="5" customFormat="1" ht="20" customHeight="1" x14ac:dyDescent="0.2"/>
    <row r="209" s="5" customFormat="1" ht="20" customHeight="1" x14ac:dyDescent="0.2"/>
    <row r="210" s="5" customFormat="1" ht="20" customHeight="1" x14ac:dyDescent="0.2"/>
    <row r="211" s="5" customFormat="1" ht="20" customHeight="1" x14ac:dyDescent="0.2"/>
    <row r="212" s="5" customFormat="1" ht="20" customHeight="1" x14ac:dyDescent="0.2"/>
    <row r="213" s="5" customFormat="1" ht="20" customHeight="1" x14ac:dyDescent="0.2"/>
    <row r="214" s="5" customFormat="1" ht="20" customHeight="1" x14ac:dyDescent="0.2"/>
    <row r="215" s="5" customFormat="1" ht="20" customHeight="1" x14ac:dyDescent="0.2"/>
    <row r="216" s="5" customFormat="1" ht="20" customHeight="1" x14ac:dyDescent="0.2"/>
    <row r="217" s="5" customFormat="1" ht="20" customHeight="1" x14ac:dyDescent="0.2"/>
    <row r="218" s="5" customFormat="1" ht="20" customHeight="1" x14ac:dyDescent="0.2"/>
    <row r="219" s="5" customFormat="1" ht="20" customHeight="1" x14ac:dyDescent="0.2"/>
    <row r="220" s="5" customFormat="1" ht="20" customHeight="1" x14ac:dyDescent="0.2"/>
    <row r="221" s="5" customFormat="1" ht="20" customHeight="1" x14ac:dyDescent="0.2"/>
    <row r="222" s="5" customFormat="1" ht="20" customHeight="1" x14ac:dyDescent="0.2"/>
    <row r="223" s="5" customFormat="1" ht="20" customHeight="1" x14ac:dyDescent="0.2"/>
    <row r="224" s="5" customFormat="1" ht="20" customHeight="1" x14ac:dyDescent="0.2"/>
    <row r="225" s="5" customFormat="1" ht="20" customHeight="1" x14ac:dyDescent="0.2"/>
    <row r="226" s="5" customFormat="1" ht="20" customHeight="1" x14ac:dyDescent="0.2"/>
    <row r="227" s="5" customFormat="1" ht="20" customHeight="1" x14ac:dyDescent="0.2"/>
    <row r="228" s="5" customFormat="1" ht="20" customHeight="1" x14ac:dyDescent="0.2"/>
    <row r="229" s="5" customFormat="1" ht="20" customHeight="1" x14ac:dyDescent="0.2"/>
    <row r="230" s="5" customFormat="1" ht="20" customHeight="1" x14ac:dyDescent="0.2"/>
    <row r="231" s="5" customFormat="1" ht="20" customHeight="1" x14ac:dyDescent="0.2"/>
    <row r="232" s="5" customFormat="1" ht="20" customHeight="1" x14ac:dyDescent="0.2"/>
    <row r="233" s="5" customFormat="1" ht="20" customHeight="1" x14ac:dyDescent="0.2"/>
    <row r="234" s="5" customFormat="1" ht="20" customHeight="1" x14ac:dyDescent="0.2"/>
    <row r="235" s="5" customFormat="1" ht="20" customHeight="1" x14ac:dyDescent="0.2"/>
    <row r="236" s="5" customFormat="1" ht="20" customHeight="1" x14ac:dyDescent="0.2"/>
    <row r="237" s="5" customFormat="1" ht="20" customHeight="1" x14ac:dyDescent="0.2"/>
    <row r="238" s="5" customFormat="1" ht="20" customHeight="1" x14ac:dyDescent="0.2"/>
    <row r="239" s="5" customFormat="1" ht="20" customHeight="1" x14ac:dyDescent="0.2"/>
    <row r="240" s="5" customFormat="1" ht="20" customHeight="1" x14ac:dyDescent="0.2"/>
    <row r="241" s="5" customFormat="1" ht="20" customHeight="1" x14ac:dyDescent="0.2"/>
    <row r="242" s="5" customFormat="1" ht="20" customHeight="1" x14ac:dyDescent="0.2"/>
    <row r="243" s="5" customFormat="1" ht="20" customHeight="1" x14ac:dyDescent="0.2"/>
    <row r="244" s="5" customFormat="1" ht="20" customHeight="1" x14ac:dyDescent="0.2"/>
    <row r="245" s="5" customFormat="1" ht="20" customHeight="1" x14ac:dyDescent="0.2"/>
    <row r="246" s="5" customFormat="1" ht="20" customHeight="1" x14ac:dyDescent="0.2"/>
    <row r="247" s="5" customFormat="1" ht="20" customHeight="1" x14ac:dyDescent="0.2"/>
    <row r="248" s="5" customFormat="1" ht="20" customHeight="1" x14ac:dyDescent="0.2"/>
    <row r="249" s="5" customFormat="1" ht="20" customHeight="1" x14ac:dyDescent="0.2"/>
    <row r="250" s="5" customFormat="1" ht="20" customHeight="1" x14ac:dyDescent="0.2"/>
    <row r="251" s="5" customFormat="1" ht="20" customHeight="1" x14ac:dyDescent="0.2"/>
    <row r="252" s="5" customFormat="1" ht="20" customHeight="1" x14ac:dyDescent="0.2"/>
    <row r="253" s="5" customFormat="1" ht="20" customHeight="1" x14ac:dyDescent="0.2"/>
    <row r="254" s="5" customFormat="1" ht="20" customHeight="1" x14ac:dyDescent="0.2"/>
    <row r="255" s="5" customFormat="1" ht="20" customHeight="1" x14ac:dyDescent="0.2"/>
    <row r="256" s="5" customFormat="1" ht="20" customHeight="1" x14ac:dyDescent="0.2"/>
    <row r="257" s="5" customFormat="1" ht="20" customHeight="1" x14ac:dyDescent="0.2"/>
    <row r="258" s="5" customFormat="1" ht="20" customHeight="1" x14ac:dyDescent="0.2"/>
    <row r="259" s="5" customFormat="1" ht="20" customHeight="1" x14ac:dyDescent="0.2"/>
    <row r="260" s="5" customFormat="1" ht="20" customHeight="1" x14ac:dyDescent="0.2"/>
    <row r="261" s="5" customFormat="1" ht="20" customHeight="1" x14ac:dyDescent="0.2"/>
    <row r="262" s="5" customFormat="1" ht="20" customHeight="1" x14ac:dyDescent="0.2"/>
    <row r="263" s="5" customFormat="1" ht="20" customHeight="1" x14ac:dyDescent="0.2"/>
    <row r="264" s="5" customFormat="1" ht="20" customHeight="1" x14ac:dyDescent="0.2"/>
    <row r="265" s="5" customFormat="1" ht="20" customHeight="1" x14ac:dyDescent="0.2"/>
    <row r="266" s="5" customFormat="1" ht="20" customHeight="1" x14ac:dyDescent="0.2"/>
    <row r="267" s="5" customFormat="1" ht="20" customHeight="1" x14ac:dyDescent="0.2"/>
    <row r="268" s="5" customFormat="1" ht="20" customHeight="1" x14ac:dyDescent="0.2"/>
    <row r="269" s="5" customFormat="1" ht="20" customHeight="1" x14ac:dyDescent="0.2"/>
    <row r="270" s="5" customFormat="1" ht="20" customHeight="1" x14ac:dyDescent="0.2"/>
    <row r="271" s="5" customFormat="1" ht="20" customHeight="1" x14ac:dyDescent="0.2"/>
    <row r="272" s="5" customFormat="1" ht="20" customHeight="1" x14ac:dyDescent="0.2"/>
    <row r="273" s="5" customFormat="1" ht="20" customHeight="1" x14ac:dyDescent="0.2"/>
    <row r="274" s="5" customFormat="1" ht="20" customHeight="1" x14ac:dyDescent="0.2"/>
    <row r="275" s="5" customFormat="1" ht="20" customHeight="1" x14ac:dyDescent="0.2"/>
    <row r="276" s="5" customFormat="1" ht="20" customHeight="1" x14ac:dyDescent="0.2"/>
    <row r="277" s="5" customFormat="1" ht="20" customHeight="1" x14ac:dyDescent="0.2"/>
    <row r="278" s="5" customFormat="1" ht="20" customHeight="1" x14ac:dyDescent="0.2"/>
    <row r="279" s="5" customFormat="1" ht="20" customHeight="1" x14ac:dyDescent="0.2"/>
    <row r="280" s="5" customFormat="1" ht="20" customHeight="1" x14ac:dyDescent="0.2"/>
    <row r="281" s="5" customFormat="1" ht="20" customHeight="1" x14ac:dyDescent="0.2"/>
    <row r="282" s="5" customFormat="1" ht="20" customHeight="1" x14ac:dyDescent="0.2"/>
    <row r="283" s="5" customFormat="1" ht="20" customHeight="1" x14ac:dyDescent="0.2"/>
    <row r="284" s="5" customFormat="1" ht="20" customHeight="1" x14ac:dyDescent="0.2"/>
    <row r="285" s="5" customFormat="1" ht="20" customHeight="1" x14ac:dyDescent="0.2"/>
    <row r="286" s="5" customFormat="1" ht="20" customHeight="1" x14ac:dyDescent="0.2"/>
    <row r="287" s="5" customFormat="1" ht="20" customHeight="1" x14ac:dyDescent="0.2"/>
    <row r="288" s="5" customFormat="1" ht="20" customHeight="1" x14ac:dyDescent="0.2"/>
    <row r="289" s="5" customFormat="1" ht="20" customHeight="1" x14ac:dyDescent="0.2"/>
    <row r="290" s="5" customFormat="1" ht="20" customHeight="1" x14ac:dyDescent="0.2"/>
    <row r="291" s="5" customFormat="1" ht="20" customHeight="1" x14ac:dyDescent="0.2"/>
    <row r="292" s="5" customFormat="1" ht="20" customHeight="1" x14ac:dyDescent="0.2"/>
    <row r="293" s="5" customFormat="1" ht="20" customHeight="1" x14ac:dyDescent="0.2"/>
    <row r="294" s="5" customFormat="1" ht="20" customHeight="1" x14ac:dyDescent="0.2"/>
    <row r="295" s="5" customFormat="1" ht="20" customHeight="1" x14ac:dyDescent="0.2"/>
    <row r="296" s="5" customFormat="1" ht="20" customHeight="1" x14ac:dyDescent="0.2"/>
    <row r="297" s="5" customFormat="1" ht="20" customHeight="1" x14ac:dyDescent="0.2"/>
    <row r="298" s="5" customFormat="1" ht="20" customHeight="1" x14ac:dyDescent="0.2"/>
    <row r="299" s="5" customFormat="1" ht="20" customHeight="1" x14ac:dyDescent="0.2"/>
    <row r="300" s="5" customFormat="1" ht="20" customHeight="1" x14ac:dyDescent="0.2"/>
    <row r="301" s="5" customFormat="1" ht="20" customHeight="1" x14ac:dyDescent="0.2"/>
    <row r="302" s="5" customFormat="1" ht="20" customHeight="1" x14ac:dyDescent="0.2"/>
    <row r="303" s="5" customFormat="1" ht="20" customHeight="1" x14ac:dyDescent="0.2"/>
    <row r="304" s="5" customFormat="1" ht="20" customHeight="1" x14ac:dyDescent="0.2"/>
    <row r="305" s="5" customFormat="1" ht="20" customHeight="1" x14ac:dyDescent="0.2"/>
    <row r="306" s="5" customFormat="1" ht="20" customHeight="1" x14ac:dyDescent="0.2"/>
    <row r="307" s="5" customFormat="1" ht="20" customHeight="1" x14ac:dyDescent="0.2"/>
    <row r="308" s="5" customFormat="1" ht="20" customHeight="1" x14ac:dyDescent="0.2"/>
    <row r="309" s="5" customFormat="1" ht="20" customHeight="1" x14ac:dyDescent="0.2"/>
    <row r="310" s="5" customFormat="1" ht="20" customHeight="1" x14ac:dyDescent="0.2"/>
    <row r="311" s="5" customFormat="1" ht="20" customHeight="1" x14ac:dyDescent="0.2"/>
    <row r="312" s="5" customFormat="1" ht="20" customHeight="1" x14ac:dyDescent="0.2"/>
    <row r="313" s="5" customFormat="1" ht="20" customHeight="1" x14ac:dyDescent="0.2"/>
    <row r="314" s="5" customFormat="1" ht="20" customHeight="1" x14ac:dyDescent="0.2"/>
    <row r="315" s="5" customFormat="1" ht="20" customHeight="1" x14ac:dyDescent="0.2"/>
    <row r="316" s="5" customFormat="1" ht="20" customHeight="1" x14ac:dyDescent="0.2"/>
    <row r="317" s="5" customFormat="1" ht="20" customHeight="1" x14ac:dyDescent="0.2"/>
    <row r="318" s="5" customFormat="1" ht="20" customHeight="1" x14ac:dyDescent="0.2"/>
    <row r="319" s="5" customFormat="1" ht="20" customHeight="1" x14ac:dyDescent="0.2"/>
    <row r="320" s="5" customFormat="1" ht="20" customHeight="1" x14ac:dyDescent="0.2"/>
    <row r="321" s="5" customFormat="1" ht="20" customHeight="1" x14ac:dyDescent="0.2"/>
    <row r="322" s="5" customFormat="1" ht="20" customHeight="1" x14ac:dyDescent="0.2"/>
    <row r="323" s="5" customFormat="1" ht="20" customHeight="1" x14ac:dyDescent="0.2"/>
    <row r="324" s="5" customFormat="1" ht="20" customHeight="1" x14ac:dyDescent="0.2"/>
    <row r="325" s="5" customFormat="1" ht="20" customHeight="1" x14ac:dyDescent="0.2"/>
    <row r="326" s="5" customFormat="1" ht="20" customHeight="1" x14ac:dyDescent="0.2"/>
    <row r="327" s="5" customFormat="1" ht="20" customHeight="1" x14ac:dyDescent="0.2"/>
    <row r="328" s="5" customFormat="1" ht="20" customHeight="1" x14ac:dyDescent="0.2"/>
    <row r="329" s="5" customFormat="1" ht="20" customHeight="1" x14ac:dyDescent="0.2"/>
    <row r="330" s="5" customFormat="1" ht="20" customHeight="1" x14ac:dyDescent="0.2"/>
    <row r="331" s="5" customFormat="1" ht="20" customHeight="1" x14ac:dyDescent="0.2"/>
    <row r="332" s="5" customFormat="1" ht="20" customHeight="1" x14ac:dyDescent="0.2"/>
    <row r="333" s="5" customFormat="1" ht="20" customHeight="1" x14ac:dyDescent="0.2"/>
    <row r="334" s="5" customFormat="1" ht="20" customHeight="1" x14ac:dyDescent="0.2"/>
    <row r="335" s="5" customFormat="1" ht="20" customHeight="1" x14ac:dyDescent="0.2"/>
    <row r="336" s="5" customFormat="1" ht="20" customHeight="1" x14ac:dyDescent="0.2"/>
    <row r="337" s="5" customFormat="1" ht="20" customHeight="1" x14ac:dyDescent="0.2"/>
    <row r="338" s="5" customFormat="1" ht="20" customHeight="1" x14ac:dyDescent="0.2"/>
    <row r="339" s="5" customFormat="1" ht="20" customHeight="1" x14ac:dyDescent="0.2"/>
    <row r="340" s="5" customFormat="1" ht="20" customHeight="1" x14ac:dyDescent="0.2"/>
    <row r="341" s="5" customFormat="1" ht="20" customHeight="1" x14ac:dyDescent="0.2"/>
    <row r="342" s="5" customFormat="1" ht="20" customHeight="1" x14ac:dyDescent="0.2"/>
    <row r="343" s="5" customFormat="1" ht="20" customHeight="1" x14ac:dyDescent="0.2"/>
    <row r="344" s="5" customFormat="1" ht="20" customHeight="1" x14ac:dyDescent="0.2"/>
    <row r="345" s="5" customFormat="1" ht="20" customHeight="1" x14ac:dyDescent="0.2"/>
    <row r="346" s="5" customFormat="1" ht="20" customHeight="1" x14ac:dyDescent="0.2"/>
    <row r="347" s="5" customFormat="1" ht="20" customHeight="1" x14ac:dyDescent="0.2"/>
    <row r="348" s="5" customFormat="1" ht="20" customHeight="1" x14ac:dyDescent="0.2"/>
    <row r="349" s="5" customFormat="1" ht="20" customHeight="1" x14ac:dyDescent="0.2"/>
    <row r="350" s="5" customFormat="1" ht="20" customHeight="1" x14ac:dyDescent="0.2"/>
    <row r="351" s="5" customFormat="1" ht="20" customHeight="1" x14ac:dyDescent="0.2"/>
    <row r="352" s="5" customFormat="1" ht="20" customHeight="1" x14ac:dyDescent="0.2"/>
    <row r="353" s="5" customFormat="1" ht="20" customHeight="1" x14ac:dyDescent="0.2"/>
    <row r="354" s="5" customFormat="1" ht="20" customHeight="1" x14ac:dyDescent="0.2"/>
    <row r="355" s="5" customFormat="1" ht="20" customHeight="1" x14ac:dyDescent="0.2"/>
    <row r="356" s="5" customFormat="1" ht="20" customHeight="1" x14ac:dyDescent="0.2"/>
    <row r="357" s="5" customFormat="1" ht="20" customHeight="1" x14ac:dyDescent="0.2"/>
    <row r="358" s="5" customFormat="1" ht="20" customHeight="1" x14ac:dyDescent="0.2"/>
    <row r="359" s="5" customFormat="1" ht="20" customHeight="1" x14ac:dyDescent="0.2"/>
    <row r="360" s="5" customFormat="1" ht="20" customHeight="1" x14ac:dyDescent="0.2"/>
    <row r="361" s="5" customFormat="1" ht="20" customHeight="1" x14ac:dyDescent="0.2"/>
    <row r="362" s="5" customFormat="1" ht="20" customHeight="1" x14ac:dyDescent="0.2"/>
    <row r="363" s="5" customFormat="1" ht="20" customHeight="1" x14ac:dyDescent="0.2"/>
    <row r="364" s="5" customFormat="1" ht="20" customHeight="1" x14ac:dyDescent="0.2"/>
    <row r="365" s="5" customFormat="1" ht="20" customHeight="1" x14ac:dyDescent="0.2"/>
    <row r="366" s="5" customFormat="1" ht="20" customHeight="1" x14ac:dyDescent="0.2"/>
    <row r="367" s="5" customFormat="1" ht="20" customHeight="1" x14ac:dyDescent="0.2"/>
    <row r="368" s="5" customFormat="1" ht="20" customHeight="1" x14ac:dyDescent="0.2"/>
    <row r="369" s="5" customFormat="1" ht="20" customHeight="1" x14ac:dyDescent="0.2"/>
    <row r="370" s="5" customFormat="1" ht="20" customHeight="1" x14ac:dyDescent="0.2"/>
    <row r="371" s="5" customFormat="1" ht="20" customHeight="1" x14ac:dyDescent="0.2"/>
    <row r="372" s="5" customFormat="1" ht="20" customHeight="1" x14ac:dyDescent="0.2"/>
    <row r="373" s="5" customFormat="1" ht="20" customHeight="1" x14ac:dyDescent="0.2"/>
    <row r="374" s="5" customFormat="1" ht="20" customHeight="1" x14ac:dyDescent="0.2"/>
    <row r="375" s="5" customFormat="1" ht="20" customHeight="1" x14ac:dyDescent="0.2"/>
    <row r="376" s="5" customFormat="1" ht="20" customHeight="1" x14ac:dyDescent="0.2"/>
    <row r="377" s="5" customFormat="1" ht="20" customHeight="1" x14ac:dyDescent="0.2"/>
    <row r="378" s="5" customFormat="1" ht="20" customHeight="1" x14ac:dyDescent="0.2"/>
    <row r="379" s="5" customFormat="1" ht="20" customHeight="1" x14ac:dyDescent="0.2"/>
    <row r="380" s="5" customFormat="1" ht="20" customHeight="1" x14ac:dyDescent="0.2"/>
    <row r="381" s="5" customFormat="1" ht="20" customHeight="1" x14ac:dyDescent="0.2"/>
    <row r="382" s="5" customFormat="1" ht="20" customHeight="1" x14ac:dyDescent="0.2"/>
    <row r="383" s="5" customFormat="1" ht="20" customHeight="1" x14ac:dyDescent="0.2"/>
    <row r="384" s="5" customFormat="1" ht="20" customHeight="1" x14ac:dyDescent="0.2"/>
    <row r="385" s="5" customFormat="1" ht="20" customHeight="1" x14ac:dyDescent="0.2"/>
    <row r="386" s="5" customFormat="1" ht="20" customHeight="1" x14ac:dyDescent="0.2"/>
    <row r="387" s="5" customFormat="1" ht="20" customHeight="1" x14ac:dyDescent="0.2"/>
    <row r="388" s="5" customFormat="1" ht="20" customHeight="1" x14ac:dyDescent="0.2"/>
    <row r="389" s="5" customFormat="1" ht="20" customHeight="1" x14ac:dyDescent="0.2"/>
    <row r="390" s="5" customFormat="1" ht="20" customHeight="1" x14ac:dyDescent="0.2"/>
    <row r="391" s="5" customFormat="1" ht="20" customHeight="1" x14ac:dyDescent="0.2"/>
    <row r="392" s="5" customFormat="1" ht="20" customHeight="1" x14ac:dyDescent="0.2"/>
    <row r="393" s="5" customFormat="1" ht="20" customHeight="1" x14ac:dyDescent="0.2"/>
    <row r="394" s="5" customFormat="1" ht="20" customHeight="1" x14ac:dyDescent="0.2"/>
    <row r="395" s="5" customFormat="1" ht="20" customHeight="1" x14ac:dyDescent="0.2"/>
    <row r="396" s="5" customFormat="1" ht="20" customHeight="1" x14ac:dyDescent="0.2"/>
    <row r="397" s="5" customFormat="1" ht="20" customHeight="1" x14ac:dyDescent="0.2"/>
    <row r="398" s="5" customFormat="1" ht="20" customHeight="1" x14ac:dyDescent="0.2"/>
    <row r="399" s="5" customFormat="1" ht="20" customHeight="1" x14ac:dyDescent="0.2"/>
    <row r="400" s="5" customFormat="1" ht="20" customHeight="1" x14ac:dyDescent="0.2"/>
    <row r="401" s="5" customFormat="1" ht="20" customHeight="1" x14ac:dyDescent="0.2"/>
    <row r="402" s="5" customFormat="1" ht="20" customHeight="1" x14ac:dyDescent="0.2"/>
    <row r="403" s="5" customFormat="1" ht="20" customHeight="1" x14ac:dyDescent="0.2"/>
    <row r="404" s="5" customFormat="1" ht="20" customHeight="1" x14ac:dyDescent="0.2"/>
    <row r="405" s="5" customFormat="1" ht="20" customHeight="1" x14ac:dyDescent="0.2"/>
    <row r="406" s="5" customFormat="1" ht="20" customHeight="1" x14ac:dyDescent="0.2"/>
    <row r="407" s="5" customFormat="1" ht="20" customHeight="1" x14ac:dyDescent="0.2"/>
    <row r="408" s="5" customFormat="1" ht="20" customHeight="1" x14ac:dyDescent="0.2"/>
    <row r="409" s="5" customFormat="1" ht="20" customHeight="1" x14ac:dyDescent="0.2"/>
    <row r="410" s="5" customFormat="1" ht="20" customHeight="1" x14ac:dyDescent="0.2"/>
    <row r="411" s="5" customFormat="1" ht="20" customHeight="1" x14ac:dyDescent="0.2"/>
    <row r="412" s="5" customFormat="1" ht="20" customHeight="1" x14ac:dyDescent="0.2"/>
    <row r="413" s="5" customFormat="1" ht="20" customHeight="1" x14ac:dyDescent="0.2"/>
    <row r="414" s="5" customFormat="1" ht="20" customHeight="1" x14ac:dyDescent="0.2"/>
    <row r="415" s="5" customFormat="1" ht="20" customHeight="1" x14ac:dyDescent="0.2"/>
    <row r="416" s="5" customFormat="1" ht="20" customHeight="1" x14ac:dyDescent="0.2"/>
    <row r="417" s="5" customFormat="1" ht="20" customHeight="1" x14ac:dyDescent="0.2"/>
    <row r="418" s="5" customFormat="1" ht="20" customHeight="1" x14ac:dyDescent="0.2"/>
    <row r="419" s="5" customFormat="1" ht="20" customHeight="1" x14ac:dyDescent="0.2"/>
    <row r="420" s="5" customFormat="1" ht="20" customHeight="1" x14ac:dyDescent="0.2"/>
    <row r="421" s="5" customFormat="1" ht="20" customHeight="1" x14ac:dyDescent="0.2"/>
    <row r="422" s="5" customFormat="1" ht="20" customHeight="1" x14ac:dyDescent="0.2"/>
    <row r="423" s="5" customFormat="1" ht="20" customHeight="1" x14ac:dyDescent="0.2"/>
    <row r="424" s="5" customFormat="1" ht="20" customHeight="1" x14ac:dyDescent="0.2"/>
    <row r="425" s="5" customFormat="1" ht="20" customHeight="1" x14ac:dyDescent="0.2"/>
    <row r="426" s="5" customFormat="1" ht="20" customHeight="1" x14ac:dyDescent="0.2"/>
    <row r="427" s="5" customFormat="1" ht="20" customHeight="1" x14ac:dyDescent="0.2"/>
    <row r="428" s="5" customFormat="1" ht="20" customHeight="1" x14ac:dyDescent="0.2"/>
    <row r="429" s="5" customFormat="1" ht="20" customHeight="1" x14ac:dyDescent="0.2"/>
    <row r="430" s="5" customFormat="1" ht="20" customHeight="1" x14ac:dyDescent="0.2"/>
    <row r="431" s="5" customFormat="1" ht="20" customHeight="1" x14ac:dyDescent="0.2"/>
    <row r="432" s="5" customFormat="1" ht="20" customHeight="1" x14ac:dyDescent="0.2"/>
    <row r="433" s="5" customFormat="1" ht="20" customHeight="1" x14ac:dyDescent="0.2"/>
    <row r="434" s="5" customFormat="1" ht="20" customHeight="1" x14ac:dyDescent="0.2"/>
    <row r="435" s="5" customFormat="1" ht="20" customHeight="1" x14ac:dyDescent="0.2"/>
    <row r="436" s="5" customFormat="1" ht="20" customHeight="1" x14ac:dyDescent="0.2"/>
    <row r="437" s="5" customFormat="1" ht="20" customHeight="1" x14ac:dyDescent="0.2"/>
    <row r="438" s="5" customFormat="1" ht="20" customHeight="1" x14ac:dyDescent="0.2"/>
    <row r="439" s="5" customFormat="1" ht="20" customHeight="1" x14ac:dyDescent="0.2"/>
    <row r="440" s="5" customFormat="1" ht="20" customHeight="1" x14ac:dyDescent="0.2"/>
    <row r="441" s="5" customFormat="1" ht="20" customHeight="1" x14ac:dyDescent="0.2"/>
    <row r="442" s="5" customFormat="1" ht="20" customHeight="1" x14ac:dyDescent="0.2"/>
    <row r="443" s="5" customFormat="1" ht="20" customHeight="1" x14ac:dyDescent="0.2"/>
    <row r="444" s="5" customFormat="1" ht="20" customHeight="1" x14ac:dyDescent="0.2"/>
    <row r="445" s="5" customFormat="1" ht="20" customHeight="1" x14ac:dyDescent="0.2"/>
    <row r="446" s="5" customFormat="1" ht="20" customHeight="1" x14ac:dyDescent="0.2"/>
    <row r="447" s="5" customFormat="1" ht="20" customHeight="1" x14ac:dyDescent="0.2"/>
    <row r="448" s="5" customFormat="1" ht="20" customHeight="1" x14ac:dyDescent="0.2"/>
    <row r="449" s="5" customFormat="1" ht="20" customHeight="1" x14ac:dyDescent="0.2"/>
    <row r="450" s="5" customFormat="1" ht="20" customHeight="1" x14ac:dyDescent="0.2"/>
    <row r="451" s="5" customFormat="1" ht="20" customHeight="1" x14ac:dyDescent="0.2"/>
    <row r="452" s="5" customFormat="1" ht="20" customHeight="1" x14ac:dyDescent="0.2"/>
    <row r="453" s="5" customFormat="1" ht="20" customHeight="1" x14ac:dyDescent="0.2"/>
    <row r="454" s="5" customFormat="1" ht="20" customHeight="1" x14ac:dyDescent="0.2"/>
    <row r="455" s="5" customFormat="1" ht="20" customHeight="1" x14ac:dyDescent="0.2"/>
    <row r="456" s="5" customFormat="1" ht="20" customHeight="1" x14ac:dyDescent="0.2"/>
    <row r="457" s="5" customFormat="1" ht="20" customHeight="1" x14ac:dyDescent="0.2"/>
    <row r="458" s="5" customFormat="1" ht="20" customHeight="1" x14ac:dyDescent="0.2"/>
    <row r="459" s="5" customFormat="1" ht="20" customHeight="1" x14ac:dyDescent="0.2"/>
    <row r="460" s="5" customFormat="1" ht="20" customHeight="1" x14ac:dyDescent="0.2"/>
    <row r="461" s="5" customFormat="1" ht="20" customHeight="1" x14ac:dyDescent="0.2"/>
    <row r="462" s="5" customFormat="1" ht="20" customHeight="1" x14ac:dyDescent="0.2"/>
    <row r="463" s="5" customFormat="1" ht="20" customHeight="1" x14ac:dyDescent="0.2"/>
    <row r="464" s="5" customFormat="1" ht="20" customHeight="1" x14ac:dyDescent="0.2"/>
    <row r="465" s="5" customFormat="1" ht="20" customHeight="1" x14ac:dyDescent="0.2"/>
    <row r="466" s="5" customFormat="1" ht="20" customHeight="1" x14ac:dyDescent="0.2"/>
    <row r="467" s="5" customFormat="1" ht="20" customHeight="1" x14ac:dyDescent="0.2"/>
    <row r="468" s="5" customFormat="1" ht="20" customHeight="1" x14ac:dyDescent="0.2"/>
    <row r="469" s="5" customFormat="1" ht="20" customHeight="1" x14ac:dyDescent="0.2"/>
    <row r="470" s="5" customFormat="1" ht="20" customHeight="1" x14ac:dyDescent="0.2"/>
    <row r="471" s="5" customFormat="1" ht="20" customHeight="1" x14ac:dyDescent="0.2"/>
    <row r="472" s="5" customFormat="1" ht="20" customHeight="1" x14ac:dyDescent="0.2"/>
    <row r="473" s="5" customFormat="1" ht="20" customHeight="1" x14ac:dyDescent="0.2"/>
    <row r="474" s="5" customFormat="1" ht="20" customHeight="1" x14ac:dyDescent="0.2"/>
    <row r="475" s="5" customFormat="1" ht="20" customHeight="1" x14ac:dyDescent="0.2"/>
    <row r="476" s="5" customFormat="1" ht="20" customHeight="1" x14ac:dyDescent="0.2"/>
    <row r="477" s="5" customFormat="1" ht="20" customHeight="1" x14ac:dyDescent="0.2"/>
    <row r="478" s="5" customFormat="1" ht="20" customHeight="1" x14ac:dyDescent="0.2"/>
    <row r="479" s="5" customFormat="1" ht="20" customHeight="1" x14ac:dyDescent="0.2"/>
    <row r="480" s="5" customFormat="1" ht="20" customHeight="1" x14ac:dyDescent="0.2"/>
    <row r="481" s="5" customFormat="1" ht="20" customHeight="1" x14ac:dyDescent="0.2"/>
    <row r="482" s="5" customFormat="1" ht="20" customHeight="1" x14ac:dyDescent="0.2"/>
    <row r="483" s="5" customFormat="1" ht="20" customHeight="1" x14ac:dyDescent="0.2"/>
    <row r="484" s="5" customFormat="1" ht="20" customHeight="1" x14ac:dyDescent="0.2"/>
    <row r="485" s="5" customFormat="1" ht="20" customHeight="1" x14ac:dyDescent="0.2"/>
    <row r="486" s="5" customFormat="1" ht="20" customHeight="1" x14ac:dyDescent="0.2"/>
    <row r="487" s="5" customFormat="1" ht="20" customHeight="1" x14ac:dyDescent="0.2"/>
    <row r="488" s="5" customFormat="1" ht="20" customHeight="1" x14ac:dyDescent="0.2"/>
    <row r="489" s="5" customFormat="1" ht="20" customHeight="1" x14ac:dyDescent="0.2"/>
    <row r="490" s="5" customFormat="1" ht="20" customHeight="1" x14ac:dyDescent="0.2"/>
    <row r="491" s="5" customFormat="1" ht="20" customHeight="1" x14ac:dyDescent="0.2"/>
    <row r="492" s="5" customFormat="1" ht="20" customHeight="1" x14ac:dyDescent="0.2"/>
    <row r="493" s="5" customFormat="1" ht="20" customHeight="1" x14ac:dyDescent="0.2"/>
    <row r="494" s="5" customFormat="1" ht="20" customHeight="1" x14ac:dyDescent="0.2"/>
    <row r="495" s="5" customFormat="1" ht="20" customHeight="1" x14ac:dyDescent="0.2"/>
    <row r="496" s="5" customFormat="1" ht="20" customHeight="1" x14ac:dyDescent="0.2"/>
    <row r="497" s="5" customFormat="1" ht="20" customHeight="1" x14ac:dyDescent="0.2"/>
    <row r="498" s="5" customFormat="1" ht="20" customHeight="1" x14ac:dyDescent="0.2"/>
    <row r="499" s="5" customFormat="1" ht="20" customHeight="1" x14ac:dyDescent="0.2"/>
    <row r="500" s="5" customFormat="1" ht="20" customHeight="1" x14ac:dyDescent="0.2"/>
    <row r="501" s="5" customFormat="1" ht="20" customHeight="1" x14ac:dyDescent="0.2"/>
    <row r="502" s="5" customFormat="1" ht="20" customHeight="1" x14ac:dyDescent="0.2"/>
    <row r="503" s="5" customFormat="1" ht="20" customHeight="1" x14ac:dyDescent="0.2"/>
    <row r="504" s="5" customFormat="1" ht="20" customHeight="1" x14ac:dyDescent="0.2"/>
    <row r="505" s="5" customFormat="1" ht="20" customHeight="1" x14ac:dyDescent="0.2"/>
    <row r="506" s="5" customFormat="1" ht="20" customHeight="1" x14ac:dyDescent="0.2"/>
    <row r="507" s="5" customFormat="1" ht="20" customHeight="1" x14ac:dyDescent="0.2"/>
    <row r="508" s="5" customFormat="1" ht="20" customHeight="1" x14ac:dyDescent="0.2"/>
    <row r="509" s="5" customFormat="1" ht="20" customHeight="1" x14ac:dyDescent="0.2"/>
    <row r="510" s="5" customFormat="1" ht="20" customHeight="1" x14ac:dyDescent="0.2"/>
    <row r="511" s="5" customFormat="1" ht="20" customHeight="1" x14ac:dyDescent="0.2"/>
    <row r="512" s="5" customFormat="1" ht="20" customHeight="1" x14ac:dyDescent="0.2"/>
    <row r="513" s="5" customFormat="1" ht="20" customHeight="1" x14ac:dyDescent="0.2"/>
    <row r="514" s="5" customFormat="1" ht="20" customHeight="1" x14ac:dyDescent="0.2"/>
    <row r="515" s="5" customFormat="1" ht="20" customHeight="1" x14ac:dyDescent="0.2"/>
    <row r="516" s="5" customFormat="1" ht="20" customHeight="1" x14ac:dyDescent="0.2"/>
    <row r="517" s="5" customFormat="1" ht="20" customHeight="1" x14ac:dyDescent="0.2"/>
    <row r="518" s="5" customFormat="1" ht="20" customHeight="1" x14ac:dyDescent="0.2"/>
    <row r="519" s="5" customFormat="1" ht="20" customHeight="1" x14ac:dyDescent="0.2"/>
    <row r="520" s="5" customFormat="1" ht="20" customHeight="1" x14ac:dyDescent="0.2"/>
    <row r="521" s="5" customFormat="1" ht="20" customHeight="1" x14ac:dyDescent="0.2"/>
    <row r="522" s="5" customFormat="1" ht="20" customHeight="1" x14ac:dyDescent="0.2"/>
    <row r="523" s="5" customFormat="1" ht="20" customHeight="1" x14ac:dyDescent="0.2"/>
    <row r="524" s="5" customFormat="1" ht="20" customHeight="1" x14ac:dyDescent="0.2"/>
    <row r="525" s="5" customFormat="1" ht="20" customHeight="1" x14ac:dyDescent="0.2"/>
    <row r="526" s="5" customFormat="1" ht="20" customHeight="1" x14ac:dyDescent="0.2"/>
    <row r="527" s="5" customFormat="1" ht="20" customHeight="1" x14ac:dyDescent="0.2"/>
    <row r="528" s="5" customFormat="1" ht="20" customHeight="1" x14ac:dyDescent="0.2"/>
    <row r="529" s="5" customFormat="1" ht="20" customHeight="1" x14ac:dyDescent="0.2"/>
    <row r="530" s="5" customFormat="1" ht="20" customHeight="1" x14ac:dyDescent="0.2"/>
    <row r="531" s="5" customFormat="1" ht="20" customHeight="1" x14ac:dyDescent="0.2"/>
    <row r="532" s="5" customFormat="1" ht="20" customHeight="1" x14ac:dyDescent="0.2"/>
    <row r="533" s="5" customFormat="1" ht="20" customHeight="1" x14ac:dyDescent="0.2"/>
    <row r="534" s="5" customFormat="1" ht="20" customHeight="1" x14ac:dyDescent="0.2"/>
    <row r="535" s="5" customFormat="1" ht="20" customHeight="1" x14ac:dyDescent="0.2"/>
    <row r="536" s="5" customFormat="1" ht="20" customHeight="1" x14ac:dyDescent="0.2"/>
    <row r="537" s="5" customFormat="1" ht="20" customHeight="1" x14ac:dyDescent="0.2"/>
    <row r="538" s="5" customFormat="1" ht="20" customHeight="1" x14ac:dyDescent="0.2"/>
    <row r="539" s="5" customFormat="1" ht="20" customHeight="1" x14ac:dyDescent="0.2"/>
    <row r="540" s="5" customFormat="1" ht="20" customHeight="1" x14ac:dyDescent="0.2"/>
    <row r="541" s="5" customFormat="1" ht="20" customHeight="1" x14ac:dyDescent="0.2"/>
    <row r="542" s="5" customFormat="1" ht="20" customHeight="1" x14ac:dyDescent="0.2"/>
    <row r="543" s="5" customFormat="1" ht="20" customHeight="1" x14ac:dyDescent="0.2"/>
    <row r="544" s="5" customFormat="1" ht="20" customHeight="1" x14ac:dyDescent="0.2"/>
    <row r="545" s="5" customFormat="1" ht="20" customHeight="1" x14ac:dyDescent="0.2"/>
    <row r="546" s="5" customFormat="1" ht="20" customHeight="1" x14ac:dyDescent="0.2"/>
    <row r="547" s="5" customFormat="1" ht="20" customHeight="1" x14ac:dyDescent="0.2"/>
    <row r="548" s="5" customFormat="1" ht="20" customHeight="1" x14ac:dyDescent="0.2"/>
    <row r="549" s="5" customFormat="1" ht="20" customHeight="1" x14ac:dyDescent="0.2"/>
    <row r="550" s="5" customFormat="1" ht="20" customHeight="1" x14ac:dyDescent="0.2"/>
    <row r="551" s="5" customFormat="1" ht="20" customHeight="1" x14ac:dyDescent="0.2"/>
    <row r="552" s="5" customFormat="1" ht="20" customHeight="1" x14ac:dyDescent="0.2"/>
    <row r="553" s="5" customFormat="1" ht="20" customHeight="1" x14ac:dyDescent="0.2"/>
    <row r="554" s="5" customFormat="1" ht="20" customHeight="1" x14ac:dyDescent="0.2"/>
    <row r="555" s="5" customFormat="1" ht="20" customHeight="1" x14ac:dyDescent="0.2"/>
    <row r="556" s="5" customFormat="1" ht="20" customHeight="1" x14ac:dyDescent="0.2"/>
    <row r="557" s="5" customFormat="1" ht="20" customHeight="1" x14ac:dyDescent="0.2"/>
    <row r="558" s="5" customFormat="1" ht="20" customHeight="1" x14ac:dyDescent="0.2"/>
    <row r="559" s="5" customFormat="1" ht="20" customHeight="1" x14ac:dyDescent="0.2"/>
    <row r="560" s="5" customFormat="1" ht="20" customHeight="1" x14ac:dyDescent="0.2"/>
    <row r="561" s="5" customFormat="1" ht="20" customHeight="1" x14ac:dyDescent="0.2"/>
    <row r="562" s="5" customFormat="1" ht="20" customHeight="1" x14ac:dyDescent="0.2"/>
    <row r="563" s="5" customFormat="1" ht="20" customHeight="1" x14ac:dyDescent="0.2"/>
    <row r="564" s="5" customFormat="1" ht="20" customHeight="1" x14ac:dyDescent="0.2"/>
    <row r="565" s="5" customFormat="1" ht="20" customHeight="1" x14ac:dyDescent="0.2"/>
    <row r="566" s="5" customFormat="1" ht="20" customHeight="1" x14ac:dyDescent="0.2"/>
    <row r="567" s="5" customFormat="1" ht="20" customHeight="1" x14ac:dyDescent="0.2"/>
    <row r="568" s="5" customFormat="1" ht="20" customHeight="1" x14ac:dyDescent="0.2"/>
    <row r="569" s="5" customFormat="1" ht="20" customHeight="1" x14ac:dyDescent="0.2"/>
    <row r="570" s="5" customFormat="1" ht="20" customHeight="1" x14ac:dyDescent="0.2"/>
    <row r="571" s="5" customFormat="1" ht="20" customHeight="1" x14ac:dyDescent="0.2"/>
    <row r="572" s="5" customFormat="1" ht="20" customHeight="1" x14ac:dyDescent="0.2"/>
    <row r="573" s="5" customFormat="1" ht="20" customHeight="1" x14ac:dyDescent="0.2"/>
    <row r="574" s="5" customFormat="1" ht="20" customHeight="1" x14ac:dyDescent="0.2"/>
    <row r="575" s="5" customFormat="1" ht="20" customHeight="1" x14ac:dyDescent="0.2"/>
    <row r="576" s="5" customFormat="1" ht="20" customHeight="1" x14ac:dyDescent="0.2"/>
    <row r="577" s="5" customFormat="1" ht="20" customHeight="1" x14ac:dyDescent="0.2"/>
    <row r="578" s="5" customFormat="1" ht="20" customHeight="1" x14ac:dyDescent="0.2"/>
    <row r="579" s="5" customFormat="1" ht="20" customHeight="1" x14ac:dyDescent="0.2"/>
    <row r="580" s="5" customFormat="1" ht="20" customHeight="1" x14ac:dyDescent="0.2"/>
    <row r="581" s="5" customFormat="1" ht="20" customHeight="1" x14ac:dyDescent="0.2"/>
    <row r="582" s="5" customFormat="1" ht="20" customHeight="1" x14ac:dyDescent="0.2"/>
    <row r="583" s="5" customFormat="1" ht="20" customHeight="1" x14ac:dyDescent="0.2"/>
    <row r="584" s="5" customFormat="1" ht="20" customHeight="1" x14ac:dyDescent="0.2"/>
    <row r="585" s="5" customFormat="1" ht="20" customHeight="1" x14ac:dyDescent="0.2"/>
    <row r="586" s="5" customFormat="1" ht="20" customHeight="1" x14ac:dyDescent="0.2"/>
    <row r="587" s="5" customFormat="1" ht="20" customHeight="1" x14ac:dyDescent="0.2"/>
    <row r="588" s="5" customFormat="1" ht="20" customHeight="1" x14ac:dyDescent="0.2"/>
    <row r="589" s="5" customFormat="1" ht="20" customHeight="1" x14ac:dyDescent="0.2"/>
    <row r="590" s="5" customFormat="1" ht="20" customHeight="1" x14ac:dyDescent="0.2"/>
    <row r="591" s="5" customFormat="1" ht="20" customHeight="1" x14ac:dyDescent="0.2"/>
    <row r="592" s="5" customFormat="1" ht="20" customHeight="1" x14ac:dyDescent="0.2"/>
    <row r="593" s="5" customFormat="1" ht="20" customHeight="1" x14ac:dyDescent="0.2"/>
    <row r="594" s="5" customFormat="1" ht="20" customHeight="1" x14ac:dyDescent="0.2"/>
    <row r="595" s="5" customFormat="1" ht="20" customHeight="1" x14ac:dyDescent="0.2"/>
    <row r="596" s="5" customFormat="1" ht="20" customHeight="1" x14ac:dyDescent="0.2"/>
    <row r="597" s="5" customFormat="1" ht="20" customHeight="1" x14ac:dyDescent="0.2"/>
    <row r="598" s="5" customFormat="1" ht="20" customHeight="1" x14ac:dyDescent="0.2"/>
    <row r="599" s="5" customFormat="1" ht="20" customHeight="1" x14ac:dyDescent="0.2"/>
    <row r="600" s="5" customFormat="1" ht="20" customHeight="1" x14ac:dyDescent="0.2"/>
    <row r="601" s="5" customFormat="1" ht="20" customHeight="1" x14ac:dyDescent="0.2"/>
    <row r="602" s="5" customFormat="1" ht="20" customHeight="1" x14ac:dyDescent="0.2"/>
    <row r="603" s="5" customFormat="1" ht="20" customHeight="1" x14ac:dyDescent="0.2"/>
    <row r="604" s="5" customFormat="1" ht="20" customHeight="1" x14ac:dyDescent="0.2"/>
    <row r="605" s="5" customFormat="1" ht="20" customHeight="1" x14ac:dyDescent="0.2"/>
    <row r="606" s="5" customFormat="1" ht="20" customHeight="1" x14ac:dyDescent="0.2"/>
    <row r="607" s="5" customFormat="1" ht="20" customHeight="1" x14ac:dyDescent="0.2"/>
    <row r="608" s="5" customFormat="1" ht="20" customHeight="1" x14ac:dyDescent="0.2"/>
    <row r="609" s="5" customFormat="1" ht="20" customHeight="1" x14ac:dyDescent="0.2"/>
    <row r="610" s="5" customFormat="1" ht="20" customHeight="1" x14ac:dyDescent="0.2"/>
    <row r="611" s="5" customFormat="1" ht="20" customHeight="1" x14ac:dyDescent="0.2"/>
    <row r="612" s="5" customFormat="1" ht="20" customHeight="1" x14ac:dyDescent="0.2"/>
    <row r="613" s="5" customFormat="1" ht="20" customHeight="1" x14ac:dyDescent="0.2"/>
    <row r="614" s="5" customFormat="1" ht="20" customHeight="1" x14ac:dyDescent="0.2"/>
    <row r="615" s="5" customFormat="1" ht="20" customHeight="1" x14ac:dyDescent="0.2"/>
    <row r="616" s="5" customFormat="1" ht="20" customHeight="1" x14ac:dyDescent="0.2"/>
    <row r="617" s="5" customFormat="1" ht="20" customHeight="1" x14ac:dyDescent="0.2"/>
    <row r="618" s="5" customFormat="1" ht="20" customHeight="1" x14ac:dyDescent="0.2"/>
    <row r="619" s="5" customFormat="1" ht="20" customHeight="1" x14ac:dyDescent="0.2"/>
    <row r="620" s="5" customFormat="1" ht="20" customHeight="1" x14ac:dyDescent="0.2"/>
    <row r="621" s="5" customFormat="1" ht="20" customHeight="1" x14ac:dyDescent="0.2"/>
    <row r="622" s="5" customFormat="1" ht="20" customHeight="1" x14ac:dyDescent="0.2"/>
    <row r="623" s="5" customFormat="1" ht="20" customHeight="1" x14ac:dyDescent="0.2"/>
    <row r="624" s="5" customFormat="1" ht="20" customHeight="1" x14ac:dyDescent="0.2"/>
    <row r="625" s="5" customFormat="1" ht="20" customHeight="1" x14ac:dyDescent="0.2"/>
    <row r="626" s="5" customFormat="1" ht="20" customHeight="1" x14ac:dyDescent="0.2"/>
    <row r="627" s="5" customFormat="1" ht="20" customHeight="1" x14ac:dyDescent="0.2"/>
    <row r="628" s="5" customFormat="1" ht="20" customHeight="1" x14ac:dyDescent="0.2"/>
    <row r="629" s="5" customFormat="1" ht="20" customHeight="1" x14ac:dyDescent="0.2"/>
    <row r="630" s="5" customFormat="1" ht="20" customHeight="1" x14ac:dyDescent="0.2"/>
    <row r="631" s="5" customFormat="1" ht="20" customHeight="1" x14ac:dyDescent="0.2"/>
    <row r="632" s="5" customFormat="1" ht="20" customHeight="1" x14ac:dyDescent="0.2"/>
    <row r="633" s="5" customFormat="1" ht="20" customHeight="1" x14ac:dyDescent="0.2"/>
    <row r="634" s="5" customFormat="1" ht="20" customHeight="1" x14ac:dyDescent="0.2"/>
    <row r="635" s="5" customFormat="1" ht="20" customHeight="1" x14ac:dyDescent="0.2"/>
    <row r="636" s="5" customFormat="1" ht="20" customHeight="1" x14ac:dyDescent="0.2"/>
    <row r="637" s="5" customFormat="1" ht="20" customHeight="1" x14ac:dyDescent="0.2"/>
    <row r="638" s="5" customFormat="1" ht="20" customHeight="1" x14ac:dyDescent="0.2"/>
    <row r="639" s="5" customFormat="1" ht="20" customHeight="1" x14ac:dyDescent="0.2"/>
    <row r="640" s="5" customFormat="1" ht="20" customHeight="1" x14ac:dyDescent="0.2"/>
    <row r="641" s="5" customFormat="1" ht="20" customHeight="1" x14ac:dyDescent="0.2"/>
    <row r="642" s="5" customFormat="1" ht="20" customHeight="1" x14ac:dyDescent="0.2"/>
    <row r="643" s="5" customFormat="1" ht="20" customHeight="1" x14ac:dyDescent="0.2"/>
    <row r="644" s="5" customFormat="1" ht="20" customHeight="1" x14ac:dyDescent="0.2"/>
    <row r="645" s="5" customFormat="1" ht="20" customHeight="1" x14ac:dyDescent="0.2"/>
    <row r="646" s="5" customFormat="1" ht="20" customHeight="1" x14ac:dyDescent="0.2"/>
    <row r="647" s="5" customFormat="1" ht="20" customHeight="1" x14ac:dyDescent="0.2"/>
    <row r="648" s="5" customFormat="1" ht="20" customHeight="1" x14ac:dyDescent="0.2"/>
    <row r="649" s="5" customFormat="1" ht="20" customHeight="1" x14ac:dyDescent="0.2"/>
    <row r="650" s="5" customFormat="1" ht="20" customHeight="1" x14ac:dyDescent="0.2"/>
    <row r="651" s="5" customFormat="1" ht="20" customHeight="1" x14ac:dyDescent="0.2"/>
    <row r="652" s="5" customFormat="1" ht="20" customHeight="1" x14ac:dyDescent="0.2"/>
    <row r="653" s="5" customFormat="1" ht="20" customHeight="1" x14ac:dyDescent="0.2"/>
    <row r="654" s="5" customFormat="1" ht="20" customHeight="1" x14ac:dyDescent="0.2"/>
    <row r="655" s="5" customFormat="1" ht="20" customHeight="1" x14ac:dyDescent="0.2"/>
    <row r="656" s="5" customFormat="1" ht="20" customHeight="1" x14ac:dyDescent="0.2"/>
    <row r="657" s="5" customFormat="1" ht="20" customHeight="1" x14ac:dyDescent="0.2"/>
    <row r="658" s="5" customFormat="1" ht="20" customHeight="1" x14ac:dyDescent="0.2"/>
    <row r="659" s="5" customFormat="1" ht="20" customHeight="1" x14ac:dyDescent="0.2"/>
    <row r="660" s="5" customFormat="1" ht="20" customHeight="1" x14ac:dyDescent="0.2"/>
    <row r="661" s="5" customFormat="1" ht="20" customHeight="1" x14ac:dyDescent="0.2"/>
    <row r="662" s="5" customFormat="1" ht="20" customHeight="1" x14ac:dyDescent="0.2"/>
    <row r="663" s="5" customFormat="1" ht="20" customHeight="1" x14ac:dyDescent="0.2"/>
    <row r="664" s="5" customFormat="1" ht="20" customHeight="1" x14ac:dyDescent="0.2"/>
    <row r="665" s="5" customFormat="1" ht="20" customHeight="1" x14ac:dyDescent="0.2"/>
    <row r="666" s="5" customFormat="1" ht="20" customHeight="1" x14ac:dyDescent="0.2"/>
    <row r="667" s="5" customFormat="1" ht="20" customHeight="1" x14ac:dyDescent="0.2"/>
    <row r="668" s="5" customFormat="1" ht="20" customHeight="1" x14ac:dyDescent="0.2"/>
    <row r="669" s="5" customFormat="1" ht="20" customHeight="1" x14ac:dyDescent="0.2"/>
    <row r="670" s="5" customFormat="1" ht="20" customHeight="1" x14ac:dyDescent="0.2"/>
    <row r="671" s="5" customFormat="1" ht="20" customHeight="1" x14ac:dyDescent="0.2"/>
    <row r="672" s="5" customFormat="1" ht="20" customHeight="1" x14ac:dyDescent="0.2"/>
    <row r="673" s="5" customFormat="1" ht="20" customHeight="1" x14ac:dyDescent="0.2"/>
    <row r="674" s="5" customFormat="1" ht="20" customHeight="1" x14ac:dyDescent="0.2"/>
    <row r="675" s="5" customFormat="1" ht="20" customHeight="1" x14ac:dyDescent="0.2"/>
    <row r="676" s="5" customFormat="1" ht="20" customHeight="1" x14ac:dyDescent="0.2"/>
    <row r="677" s="5" customFormat="1" ht="20" customHeight="1" x14ac:dyDescent="0.2"/>
    <row r="678" s="5" customFormat="1" ht="20" customHeight="1" x14ac:dyDescent="0.2"/>
    <row r="679" s="5" customFormat="1" ht="20" customHeight="1" x14ac:dyDescent="0.2"/>
    <row r="680" s="5" customFormat="1" ht="20" customHeight="1" x14ac:dyDescent="0.2"/>
    <row r="681" s="5" customFormat="1" ht="20" customHeight="1" x14ac:dyDescent="0.2"/>
    <row r="682" s="5" customFormat="1" ht="20" customHeight="1" x14ac:dyDescent="0.2"/>
    <row r="683" s="5" customFormat="1" ht="20" customHeight="1" x14ac:dyDescent="0.2"/>
    <row r="684" s="5" customFormat="1" ht="20" customHeight="1" x14ac:dyDescent="0.2"/>
    <row r="685" s="5" customFormat="1" ht="20" customHeight="1" x14ac:dyDescent="0.2"/>
    <row r="686" s="5" customFormat="1" ht="20" customHeight="1" x14ac:dyDescent="0.2"/>
    <row r="687" s="5" customFormat="1" ht="20" customHeight="1" x14ac:dyDescent="0.2"/>
    <row r="688" s="5" customFormat="1" ht="20" customHeight="1" x14ac:dyDescent="0.2"/>
    <row r="689" s="5" customFormat="1" ht="20" customHeight="1" x14ac:dyDescent="0.2"/>
    <row r="690" s="5" customFormat="1" ht="20" customHeight="1" x14ac:dyDescent="0.2"/>
    <row r="691" s="5" customFormat="1" ht="20" customHeight="1" x14ac:dyDescent="0.2"/>
    <row r="692" s="5" customFormat="1" ht="20" customHeight="1" x14ac:dyDescent="0.2"/>
    <row r="693" s="5" customFormat="1" ht="20" customHeight="1" x14ac:dyDescent="0.2"/>
    <row r="694" s="5" customFormat="1" ht="20" customHeight="1" x14ac:dyDescent="0.2"/>
    <row r="695" s="5" customFormat="1" ht="20" customHeight="1" x14ac:dyDescent="0.2"/>
    <row r="696" s="5" customFormat="1" ht="20" customHeight="1" x14ac:dyDescent="0.2"/>
    <row r="697" s="5" customFormat="1" ht="20" customHeight="1" x14ac:dyDescent="0.2"/>
    <row r="698" s="5" customFormat="1" ht="20" customHeight="1" x14ac:dyDescent="0.2"/>
    <row r="699" s="5" customFormat="1" ht="20" customHeight="1" x14ac:dyDescent="0.2"/>
    <row r="700" s="5" customFormat="1" ht="20" customHeight="1" x14ac:dyDescent="0.2"/>
    <row r="701" s="5" customFormat="1" ht="20" customHeight="1" x14ac:dyDescent="0.2"/>
    <row r="702" s="5" customFormat="1" ht="20" customHeight="1" x14ac:dyDescent="0.2"/>
    <row r="703" s="5" customFormat="1" ht="20" customHeight="1" x14ac:dyDescent="0.2"/>
    <row r="704" s="5" customFormat="1" ht="20" customHeight="1" x14ac:dyDescent="0.2"/>
    <row r="705" s="5" customFormat="1" ht="20" customHeight="1" x14ac:dyDescent="0.2"/>
    <row r="706" s="5" customFormat="1" ht="20" customHeight="1" x14ac:dyDescent="0.2"/>
    <row r="707" s="5" customFormat="1" ht="20" customHeight="1" x14ac:dyDescent="0.2"/>
    <row r="708" s="5" customFormat="1" ht="20" customHeight="1" x14ac:dyDescent="0.2"/>
    <row r="709" s="5" customFormat="1" ht="20" customHeight="1" x14ac:dyDescent="0.2"/>
    <row r="710" s="5" customFormat="1" ht="20" customHeight="1" x14ac:dyDescent="0.2"/>
    <row r="711" s="5" customFormat="1" ht="20" customHeight="1" x14ac:dyDescent="0.2"/>
    <row r="712" s="5" customFormat="1" ht="20" customHeight="1" x14ac:dyDescent="0.2"/>
    <row r="713" s="5" customFormat="1" ht="20" customHeight="1" x14ac:dyDescent="0.2"/>
    <row r="714" s="5" customFormat="1" ht="20" customHeight="1" x14ac:dyDescent="0.2"/>
    <row r="715" s="5" customFormat="1" ht="20" customHeight="1" x14ac:dyDescent="0.2"/>
    <row r="716" s="5" customFormat="1" ht="20" customHeight="1" x14ac:dyDescent="0.2"/>
    <row r="717" s="5" customFormat="1" ht="20" customHeight="1" x14ac:dyDescent="0.2"/>
    <row r="718" s="5" customFormat="1" ht="20" customHeight="1" x14ac:dyDescent="0.2"/>
    <row r="719" s="5" customFormat="1" ht="20" customHeight="1" x14ac:dyDescent="0.2"/>
    <row r="720" s="5" customFormat="1" ht="20" customHeight="1" x14ac:dyDescent="0.2"/>
    <row r="721" s="5" customFormat="1" ht="20" customHeight="1" x14ac:dyDescent="0.2"/>
    <row r="722" s="5" customFormat="1" ht="20" customHeight="1" x14ac:dyDescent="0.2"/>
    <row r="723" s="5" customFormat="1" ht="20" customHeight="1" x14ac:dyDescent="0.2"/>
    <row r="724" s="5" customFormat="1" ht="20" customHeight="1" x14ac:dyDescent="0.2"/>
    <row r="725" s="5" customFormat="1" ht="20" customHeight="1" x14ac:dyDescent="0.2"/>
    <row r="726" s="5" customFormat="1" ht="20" customHeight="1" x14ac:dyDescent="0.2"/>
    <row r="727" s="5" customFormat="1" ht="20" customHeight="1" x14ac:dyDescent="0.2"/>
    <row r="728" s="5" customFormat="1" ht="20" customHeight="1" x14ac:dyDescent="0.2"/>
    <row r="729" s="5" customFormat="1" ht="20" customHeight="1" x14ac:dyDescent="0.2"/>
    <row r="730" s="5" customFormat="1" ht="20" customHeight="1" x14ac:dyDescent="0.2"/>
    <row r="731" s="5" customFormat="1" ht="20" customHeight="1" x14ac:dyDescent="0.2"/>
    <row r="732" s="5" customFormat="1" ht="20" customHeight="1" x14ac:dyDescent="0.2"/>
    <row r="733" s="5" customFormat="1" ht="20" customHeight="1" x14ac:dyDescent="0.2"/>
    <row r="734" s="5" customFormat="1" ht="20" customHeight="1" x14ac:dyDescent="0.2"/>
    <row r="735" s="5" customFormat="1" ht="20" customHeight="1" x14ac:dyDescent="0.2"/>
    <row r="736" s="5" customFormat="1" ht="20" customHeight="1" x14ac:dyDescent="0.2"/>
    <row r="737" s="5" customFormat="1" ht="20" customHeight="1" x14ac:dyDescent="0.2"/>
    <row r="738" s="5" customFormat="1" ht="20" customHeight="1" x14ac:dyDescent="0.2"/>
    <row r="739" s="5" customFormat="1" ht="20" customHeight="1" x14ac:dyDescent="0.2"/>
    <row r="740" s="5" customFormat="1" ht="20" customHeight="1" x14ac:dyDescent="0.2"/>
    <row r="741" s="5" customFormat="1" ht="20" customHeight="1" x14ac:dyDescent="0.2"/>
    <row r="742" s="5" customFormat="1" ht="20" customHeight="1" x14ac:dyDescent="0.2"/>
    <row r="743" s="5" customFormat="1" ht="20" customHeight="1" x14ac:dyDescent="0.2"/>
    <row r="744" s="5" customFormat="1" ht="20" customHeight="1" x14ac:dyDescent="0.2"/>
    <row r="745" s="5" customFormat="1" ht="20" customHeight="1" x14ac:dyDescent="0.2"/>
    <row r="746" s="5" customFormat="1" ht="20" customHeight="1" x14ac:dyDescent="0.2"/>
    <row r="747" s="5" customFormat="1" ht="20" customHeight="1" x14ac:dyDescent="0.2"/>
    <row r="748" s="5" customFormat="1" ht="20" customHeight="1" x14ac:dyDescent="0.2"/>
    <row r="749" s="5" customFormat="1" ht="20" customHeight="1" x14ac:dyDescent="0.2"/>
    <row r="750" s="5" customFormat="1" ht="20" customHeight="1" x14ac:dyDescent="0.2"/>
    <row r="751" s="5" customFormat="1" ht="20" customHeight="1" x14ac:dyDescent="0.2"/>
    <row r="752" s="5" customFormat="1" ht="20" customHeight="1" x14ac:dyDescent="0.2"/>
    <row r="753" s="5" customFormat="1" ht="20" customHeight="1" x14ac:dyDescent="0.2"/>
    <row r="754" s="5" customFormat="1" ht="20" customHeight="1" x14ac:dyDescent="0.2"/>
    <row r="755" s="5" customFormat="1" ht="20" customHeight="1" x14ac:dyDescent="0.2"/>
    <row r="756" s="5" customFormat="1" ht="20" customHeight="1" x14ac:dyDescent="0.2"/>
    <row r="757" s="5" customFormat="1" ht="20" customHeight="1" x14ac:dyDescent="0.2"/>
    <row r="758" s="5" customFormat="1" ht="20" customHeight="1" x14ac:dyDescent="0.2"/>
    <row r="759" s="5" customFormat="1" ht="20" customHeight="1" x14ac:dyDescent="0.2"/>
    <row r="760" s="5" customFormat="1" ht="20" customHeight="1" x14ac:dyDescent="0.2"/>
    <row r="761" s="5" customFormat="1" ht="20" customHeight="1" x14ac:dyDescent="0.2"/>
    <row r="762" s="5" customFormat="1" ht="20" customHeight="1" x14ac:dyDescent="0.2"/>
    <row r="763" s="5" customFormat="1" ht="20" customHeight="1" x14ac:dyDescent="0.2"/>
    <row r="764" s="5" customFormat="1" ht="20" customHeight="1" x14ac:dyDescent="0.2"/>
    <row r="765" s="5" customFormat="1" ht="20" customHeight="1" x14ac:dyDescent="0.2"/>
    <row r="766" s="5" customFormat="1" ht="20" customHeight="1" x14ac:dyDescent="0.2"/>
    <row r="767" s="5" customFormat="1" ht="20" customHeight="1" x14ac:dyDescent="0.2"/>
    <row r="768" s="5" customFormat="1" ht="20" customHeight="1" x14ac:dyDescent="0.2"/>
    <row r="769" s="5" customFormat="1" ht="20" customHeight="1" x14ac:dyDescent="0.2"/>
    <row r="770" s="5" customFormat="1" ht="20" customHeight="1" x14ac:dyDescent="0.2"/>
    <row r="771" s="5" customFormat="1" ht="20" customHeight="1" x14ac:dyDescent="0.2"/>
    <row r="772" s="5" customFormat="1" ht="20" customHeight="1" x14ac:dyDescent="0.2"/>
    <row r="773" s="5" customFormat="1" ht="20" customHeight="1" x14ac:dyDescent="0.2"/>
    <row r="774" s="5" customFormat="1" ht="20" customHeight="1" x14ac:dyDescent="0.2"/>
    <row r="775" s="5" customFormat="1" ht="20" customHeight="1" x14ac:dyDescent="0.2"/>
    <row r="776" s="5" customFormat="1" ht="20" customHeight="1" x14ac:dyDescent="0.2"/>
    <row r="777" s="5" customFormat="1" ht="20" customHeight="1" x14ac:dyDescent="0.2"/>
    <row r="778" s="5" customFormat="1" ht="20" customHeight="1" x14ac:dyDescent="0.2"/>
    <row r="779" s="5" customFormat="1" ht="20" customHeight="1" x14ac:dyDescent="0.2"/>
    <row r="780" s="5" customFormat="1" ht="20" customHeight="1" x14ac:dyDescent="0.2"/>
    <row r="781" s="5" customFormat="1" ht="20" customHeight="1" x14ac:dyDescent="0.2"/>
    <row r="782" s="5" customFormat="1" ht="20" customHeight="1" x14ac:dyDescent="0.2"/>
    <row r="783" s="5" customFormat="1" ht="20" customHeight="1" x14ac:dyDescent="0.2"/>
    <row r="784" s="5" customFormat="1" ht="20" customHeight="1" x14ac:dyDescent="0.2"/>
    <row r="785" s="5" customFormat="1" ht="20" customHeight="1" x14ac:dyDescent="0.2"/>
    <row r="786" s="5" customFormat="1" ht="20" customHeight="1" x14ac:dyDescent="0.2"/>
    <row r="787" s="5" customFormat="1" ht="20" customHeight="1" x14ac:dyDescent="0.2"/>
    <row r="788" s="5" customFormat="1" ht="20" customHeight="1" x14ac:dyDescent="0.2"/>
    <row r="789" s="5" customFormat="1" ht="20" customHeight="1" x14ac:dyDescent="0.2"/>
    <row r="790" s="5" customFormat="1" ht="20" customHeight="1" x14ac:dyDescent="0.2"/>
    <row r="791" s="5" customFormat="1" ht="20" customHeight="1" x14ac:dyDescent="0.2"/>
    <row r="792" s="5" customFormat="1" ht="20" customHeight="1" x14ac:dyDescent="0.2"/>
    <row r="793" s="5" customFormat="1" ht="20" customHeight="1" x14ac:dyDescent="0.2"/>
    <row r="794" s="5" customFormat="1" ht="20" customHeight="1" x14ac:dyDescent="0.2"/>
    <row r="795" s="5" customFormat="1" ht="20" customHeight="1" x14ac:dyDescent="0.2"/>
    <row r="796" s="5" customFormat="1" ht="20" customHeight="1" x14ac:dyDescent="0.2"/>
    <row r="797" s="5" customFormat="1" ht="20" customHeight="1" x14ac:dyDescent="0.2"/>
    <row r="798" s="5" customFormat="1" ht="20" customHeight="1" x14ac:dyDescent="0.2"/>
    <row r="799" s="5" customFormat="1" ht="20" customHeight="1" x14ac:dyDescent="0.2"/>
    <row r="800" s="5" customFormat="1" ht="20" customHeight="1" x14ac:dyDescent="0.2"/>
    <row r="801" s="5" customFormat="1" ht="20" customHeight="1" x14ac:dyDescent="0.2"/>
    <row r="802" s="5" customFormat="1" ht="20" customHeight="1" x14ac:dyDescent="0.2"/>
    <row r="803" s="5" customFormat="1" ht="20" customHeight="1" x14ac:dyDescent="0.2"/>
    <row r="804" s="5" customFormat="1" ht="20" customHeight="1" x14ac:dyDescent="0.2"/>
    <row r="805" s="5" customFormat="1" ht="20" customHeight="1" x14ac:dyDescent="0.2"/>
    <row r="806" s="5" customFormat="1" ht="20" customHeight="1" x14ac:dyDescent="0.2"/>
    <row r="807" s="5" customFormat="1" ht="20" customHeight="1" x14ac:dyDescent="0.2"/>
    <row r="808" s="5" customFormat="1" ht="20" customHeight="1" x14ac:dyDescent="0.2"/>
    <row r="809" s="5" customFormat="1" ht="20" customHeight="1" x14ac:dyDescent="0.2"/>
    <row r="810" s="5" customFormat="1" ht="20" customHeight="1" x14ac:dyDescent="0.2"/>
    <row r="811" s="5" customFormat="1" ht="20" customHeight="1" x14ac:dyDescent="0.2"/>
    <row r="812" s="5" customFormat="1" ht="20" customHeight="1" x14ac:dyDescent="0.2"/>
    <row r="813" s="5" customFormat="1" ht="20" customHeight="1" x14ac:dyDescent="0.2"/>
    <row r="814" s="5" customFormat="1" ht="20" customHeight="1" x14ac:dyDescent="0.2"/>
    <row r="815" s="5" customFormat="1" ht="20" customHeight="1" x14ac:dyDescent="0.2"/>
    <row r="816" s="5" customFormat="1" ht="20" customHeight="1" x14ac:dyDescent="0.2"/>
    <row r="817" s="5" customFormat="1" ht="20" customHeight="1" x14ac:dyDescent="0.2"/>
    <row r="818" s="5" customFormat="1" ht="20" customHeight="1" x14ac:dyDescent="0.2"/>
    <row r="819" s="5" customFormat="1" ht="20" customHeight="1" x14ac:dyDescent="0.2"/>
    <row r="820" s="5" customFormat="1" ht="20" customHeight="1" x14ac:dyDescent="0.2"/>
    <row r="821" s="5" customFormat="1" ht="20" customHeight="1" x14ac:dyDescent="0.2"/>
    <row r="822" s="5" customFormat="1" ht="20" customHeight="1" x14ac:dyDescent="0.2"/>
    <row r="823" s="5" customFormat="1" ht="20" customHeight="1" x14ac:dyDescent="0.2"/>
    <row r="824" s="5" customFormat="1" ht="20" customHeight="1" x14ac:dyDescent="0.2"/>
    <row r="825" s="5" customFormat="1" ht="20" customHeight="1" x14ac:dyDescent="0.2"/>
    <row r="826" s="5" customFormat="1" ht="20" customHeight="1" x14ac:dyDescent="0.2"/>
    <row r="827" s="5" customFormat="1" ht="20" customHeight="1" x14ac:dyDescent="0.2"/>
    <row r="828" s="5" customFormat="1" ht="20" customHeight="1" x14ac:dyDescent="0.2"/>
    <row r="829" s="5" customFormat="1" ht="20" customHeight="1" x14ac:dyDescent="0.2"/>
    <row r="830" s="5" customFormat="1" ht="20" customHeight="1" x14ac:dyDescent="0.2"/>
    <row r="831" s="5" customFormat="1" ht="20" customHeight="1" x14ac:dyDescent="0.2"/>
    <row r="832" s="5" customFormat="1" ht="20" customHeight="1" x14ac:dyDescent="0.2"/>
    <row r="833" s="5" customFormat="1" ht="20" customHeight="1" x14ac:dyDescent="0.2"/>
    <row r="834" s="5" customFormat="1" ht="20" customHeight="1" x14ac:dyDescent="0.2"/>
    <row r="835" s="5" customFormat="1" ht="20" customHeight="1" x14ac:dyDescent="0.2"/>
    <row r="836" s="5" customFormat="1" ht="20" customHeight="1" x14ac:dyDescent="0.2"/>
    <row r="837" s="5" customFormat="1" ht="20" customHeight="1" x14ac:dyDescent="0.2"/>
    <row r="838" s="5" customFormat="1" ht="20" customHeight="1" x14ac:dyDescent="0.2"/>
    <row r="839" s="5" customFormat="1" ht="20" customHeight="1" x14ac:dyDescent="0.2"/>
    <row r="840" s="5" customFormat="1" ht="20" customHeight="1" x14ac:dyDescent="0.2"/>
    <row r="841" s="5" customFormat="1" ht="20" customHeight="1" x14ac:dyDescent="0.2"/>
    <row r="842" s="5" customFormat="1" ht="20" customHeight="1" x14ac:dyDescent="0.2"/>
    <row r="843" s="5" customFormat="1" ht="20" customHeight="1" x14ac:dyDescent="0.2"/>
    <row r="844" s="5" customFormat="1" ht="20" customHeight="1" x14ac:dyDescent="0.2"/>
    <row r="845" s="5" customFormat="1" ht="20" customHeight="1" x14ac:dyDescent="0.2"/>
    <row r="846" s="5" customFormat="1" ht="20" customHeight="1" x14ac:dyDescent="0.2"/>
    <row r="847" s="5" customFormat="1" ht="20" customHeight="1" x14ac:dyDescent="0.2"/>
    <row r="848" s="5" customFormat="1" ht="20" customHeight="1" x14ac:dyDescent="0.2"/>
    <row r="849" s="5" customFormat="1" ht="20" customHeight="1" x14ac:dyDescent="0.2"/>
    <row r="850" s="5" customFormat="1" ht="20" customHeight="1" x14ac:dyDescent="0.2"/>
    <row r="851" s="5" customFormat="1" ht="20" customHeight="1" x14ac:dyDescent="0.2"/>
    <row r="852" s="5" customFormat="1" ht="20" customHeight="1" x14ac:dyDescent="0.2"/>
    <row r="853" s="5" customFormat="1" ht="20" customHeight="1" x14ac:dyDescent="0.2"/>
    <row r="854" s="5" customFormat="1" ht="20" customHeight="1" x14ac:dyDescent="0.2"/>
    <row r="855" s="5" customFormat="1" ht="20" customHeight="1" x14ac:dyDescent="0.2"/>
    <row r="856" s="5" customFormat="1" ht="20" customHeight="1" x14ac:dyDescent="0.2"/>
    <row r="857" s="5" customFormat="1" ht="20" customHeight="1" x14ac:dyDescent="0.2"/>
    <row r="858" s="5" customFormat="1" ht="20" customHeight="1" x14ac:dyDescent="0.2"/>
    <row r="859" s="5" customFormat="1" ht="20" customHeight="1" x14ac:dyDescent="0.2"/>
    <row r="860" s="5" customFormat="1" ht="20" customHeight="1" x14ac:dyDescent="0.2"/>
    <row r="861" s="5" customFormat="1" ht="20" customHeight="1" x14ac:dyDescent="0.2"/>
    <row r="862" s="5" customFormat="1" ht="20" customHeight="1" x14ac:dyDescent="0.2"/>
    <row r="863" s="5" customFormat="1" ht="20" customHeight="1" x14ac:dyDescent="0.2"/>
    <row r="864" s="5" customFormat="1" ht="20" customHeight="1" x14ac:dyDescent="0.2"/>
    <row r="865" s="5" customFormat="1" ht="20" customHeight="1" x14ac:dyDescent="0.2"/>
    <row r="866" s="5" customFormat="1" ht="20" customHeight="1" x14ac:dyDescent="0.2"/>
    <row r="867" s="5" customFormat="1" ht="20" customHeight="1" x14ac:dyDescent="0.2"/>
    <row r="868" s="5" customFormat="1" ht="20" customHeight="1" x14ac:dyDescent="0.2"/>
    <row r="869" s="5" customFormat="1" ht="20" customHeight="1" x14ac:dyDescent="0.2"/>
    <row r="870" s="5" customFormat="1" ht="20" customHeight="1" x14ac:dyDescent="0.2"/>
    <row r="871" s="5" customFormat="1" ht="20" customHeight="1" x14ac:dyDescent="0.2"/>
    <row r="872" s="5" customFormat="1" ht="20" customHeight="1" x14ac:dyDescent="0.2"/>
    <row r="873" s="5" customFormat="1" ht="20" customHeight="1" x14ac:dyDescent="0.2"/>
    <row r="874" s="5" customFormat="1" ht="20" customHeight="1" x14ac:dyDescent="0.2"/>
    <row r="875" s="5" customFormat="1" ht="20" customHeight="1" x14ac:dyDescent="0.2"/>
    <row r="876" s="5" customFormat="1" ht="20" customHeight="1" x14ac:dyDescent="0.2"/>
    <row r="877" s="5" customFormat="1" ht="20" customHeight="1" x14ac:dyDescent="0.2"/>
    <row r="878" s="5" customFormat="1" ht="20" customHeight="1" x14ac:dyDescent="0.2"/>
    <row r="879" s="5" customFormat="1" ht="20" customHeight="1" x14ac:dyDescent="0.2"/>
    <row r="880" s="5" customFormat="1" ht="20" customHeight="1" x14ac:dyDescent="0.2"/>
    <row r="881" s="5" customFormat="1" ht="20" customHeight="1" x14ac:dyDescent="0.2"/>
    <row r="882" s="5" customFormat="1" ht="20" customHeight="1" x14ac:dyDescent="0.2"/>
    <row r="883" s="5" customFormat="1" ht="20" customHeight="1" x14ac:dyDescent="0.2"/>
    <row r="884" s="5" customFormat="1" ht="20" customHeight="1" x14ac:dyDescent="0.2"/>
    <row r="885" s="5" customFormat="1" ht="20" customHeight="1" x14ac:dyDescent="0.2"/>
    <row r="886" s="5" customFormat="1" ht="20" customHeight="1" x14ac:dyDescent="0.2"/>
    <row r="887" s="5" customFormat="1" ht="20" customHeight="1" x14ac:dyDescent="0.2"/>
    <row r="888" s="5" customFormat="1" ht="20" customHeight="1" x14ac:dyDescent="0.2"/>
    <row r="889" s="5" customFormat="1" ht="20" customHeight="1" x14ac:dyDescent="0.2"/>
    <row r="890" s="5" customFormat="1" ht="20" customHeight="1" x14ac:dyDescent="0.2"/>
    <row r="891" s="5" customFormat="1" ht="20" customHeight="1" x14ac:dyDescent="0.2"/>
    <row r="892" s="5" customFormat="1" ht="20" customHeight="1" x14ac:dyDescent="0.2"/>
    <row r="893" s="5" customFormat="1" ht="20" customHeight="1" x14ac:dyDescent="0.2"/>
    <row r="894" s="5" customFormat="1" ht="20" customHeight="1" x14ac:dyDescent="0.2"/>
    <row r="895" s="5" customFormat="1" ht="20" customHeight="1" x14ac:dyDescent="0.2"/>
    <row r="896" s="5" customFormat="1" ht="20" customHeight="1" x14ac:dyDescent="0.2"/>
    <row r="897" s="5" customFormat="1" ht="20" customHeight="1" x14ac:dyDescent="0.2"/>
    <row r="898" s="5" customFormat="1" ht="20" customHeight="1" x14ac:dyDescent="0.2"/>
    <row r="899" s="5" customFormat="1" ht="20" customHeight="1" x14ac:dyDescent="0.2"/>
    <row r="900" s="5" customFormat="1" ht="20" customHeight="1" x14ac:dyDescent="0.2"/>
    <row r="901" s="5" customFormat="1" ht="20" customHeight="1" x14ac:dyDescent="0.2"/>
    <row r="902" s="5" customFormat="1" ht="20" customHeight="1" x14ac:dyDescent="0.2"/>
    <row r="903" s="5" customFormat="1" ht="20" customHeight="1" x14ac:dyDescent="0.2"/>
    <row r="904" s="5" customFormat="1" ht="20" customHeight="1" x14ac:dyDescent="0.2"/>
    <row r="905" s="5" customFormat="1" ht="20" customHeight="1" x14ac:dyDescent="0.2"/>
    <row r="906" s="5" customFormat="1" ht="20" customHeight="1" x14ac:dyDescent="0.2"/>
    <row r="907" s="5" customFormat="1" ht="20" customHeight="1" x14ac:dyDescent="0.2"/>
    <row r="908" s="5" customFormat="1" ht="20" customHeight="1" x14ac:dyDescent="0.2"/>
    <row r="909" s="5" customFormat="1" ht="20" customHeight="1" x14ac:dyDescent="0.2"/>
    <row r="910" s="5" customFormat="1" ht="20" customHeight="1" x14ac:dyDescent="0.2"/>
    <row r="911" s="5" customFormat="1" ht="20" customHeight="1" x14ac:dyDescent="0.2"/>
    <row r="912" s="5" customFormat="1" ht="20" customHeight="1" x14ac:dyDescent="0.2"/>
    <row r="913" s="5" customFormat="1" ht="20" customHeight="1" x14ac:dyDescent="0.2"/>
    <row r="914" s="5" customFormat="1" ht="20" customHeight="1" x14ac:dyDescent="0.2"/>
    <row r="915" s="5" customFormat="1" ht="20" customHeight="1" x14ac:dyDescent="0.2"/>
    <row r="916" s="5" customFormat="1" ht="20" customHeight="1" x14ac:dyDescent="0.2"/>
    <row r="917" s="5" customFormat="1" ht="20" customHeight="1" x14ac:dyDescent="0.2"/>
    <row r="918" s="5" customFormat="1" ht="20" customHeight="1" x14ac:dyDescent="0.2"/>
    <row r="919" s="5" customFormat="1" ht="20" customHeight="1" x14ac:dyDescent="0.2"/>
    <row r="920" s="5" customFormat="1" ht="20" customHeight="1" x14ac:dyDescent="0.2"/>
    <row r="921" s="5" customFormat="1" ht="20" customHeight="1" x14ac:dyDescent="0.2"/>
    <row r="922" s="5" customFormat="1" ht="20" customHeight="1" x14ac:dyDescent="0.2"/>
    <row r="923" s="5" customFormat="1" ht="20" customHeight="1" x14ac:dyDescent="0.2"/>
    <row r="924" s="5" customFormat="1" ht="20" customHeight="1" x14ac:dyDescent="0.2"/>
    <row r="925" s="5" customFormat="1" ht="20" customHeight="1" x14ac:dyDescent="0.2"/>
    <row r="926" s="5" customFormat="1" ht="20" customHeight="1" x14ac:dyDescent="0.2"/>
    <row r="927" s="5" customFormat="1" ht="20" customHeight="1" x14ac:dyDescent="0.2"/>
    <row r="928" s="5" customFormat="1" ht="20" customHeight="1" x14ac:dyDescent="0.2"/>
    <row r="929" s="5" customFormat="1" ht="20" customHeight="1" x14ac:dyDescent="0.2"/>
    <row r="930" s="5" customFormat="1" ht="20" customHeight="1" x14ac:dyDescent="0.2"/>
    <row r="931" s="5" customFormat="1" ht="20" customHeight="1" x14ac:dyDescent="0.2"/>
    <row r="932" s="5" customFormat="1" ht="20" customHeight="1" x14ac:dyDescent="0.2"/>
    <row r="933" s="5" customFormat="1" ht="20" customHeight="1" x14ac:dyDescent="0.2"/>
    <row r="934" s="5" customFormat="1" ht="20" customHeight="1" x14ac:dyDescent="0.2"/>
    <row r="935" s="5" customFormat="1" ht="20" customHeight="1" x14ac:dyDescent="0.2"/>
    <row r="936" s="5" customFormat="1" ht="20" customHeight="1" x14ac:dyDescent="0.2"/>
    <row r="937" s="5" customFormat="1" ht="20" customHeight="1" x14ac:dyDescent="0.2"/>
    <row r="938" s="5" customFormat="1" ht="20" customHeight="1" x14ac:dyDescent="0.2"/>
    <row r="939" s="5" customFormat="1" ht="20" customHeight="1" x14ac:dyDescent="0.2"/>
    <row r="940" s="5" customFormat="1" ht="20" customHeight="1" x14ac:dyDescent="0.2"/>
    <row r="941" s="5" customFormat="1" ht="20" customHeight="1" x14ac:dyDescent="0.2"/>
    <row r="942" s="5" customFormat="1" ht="20" customHeight="1" x14ac:dyDescent="0.2"/>
    <row r="943" s="5" customFormat="1" ht="20" customHeight="1" x14ac:dyDescent="0.2"/>
    <row r="944" s="5" customFormat="1" ht="20" customHeight="1" x14ac:dyDescent="0.2"/>
    <row r="945" s="5" customFormat="1" ht="20" customHeight="1" x14ac:dyDescent="0.2"/>
    <row r="946" s="5" customFormat="1" ht="20" customHeight="1" x14ac:dyDescent="0.2"/>
    <row r="947" s="5" customFormat="1" ht="20" customHeight="1" x14ac:dyDescent="0.2"/>
    <row r="948" s="5" customFormat="1" ht="20" customHeight="1" x14ac:dyDescent="0.2"/>
    <row r="949" s="5" customFormat="1" ht="20" customHeight="1" x14ac:dyDescent="0.2"/>
    <row r="950" s="5" customFormat="1" ht="20" customHeight="1" x14ac:dyDescent="0.2"/>
    <row r="951" s="5" customFormat="1" ht="20" customHeight="1" x14ac:dyDescent="0.2"/>
    <row r="952" s="5" customFormat="1" ht="20" customHeight="1" x14ac:dyDescent="0.2"/>
    <row r="953" s="5" customFormat="1" ht="20" customHeight="1" x14ac:dyDescent="0.2"/>
    <row r="954" s="5" customFormat="1" ht="20" customHeight="1" x14ac:dyDescent="0.2"/>
    <row r="955" s="5" customFormat="1" ht="20" customHeight="1" x14ac:dyDescent="0.2"/>
    <row r="956" s="5" customFormat="1" ht="20" customHeight="1" x14ac:dyDescent="0.2"/>
    <row r="957" s="5" customFormat="1" ht="20" customHeight="1" x14ac:dyDescent="0.2"/>
    <row r="958" s="5" customFormat="1" ht="20" customHeight="1" x14ac:dyDescent="0.2"/>
    <row r="959" s="5" customFormat="1" ht="20" customHeight="1" x14ac:dyDescent="0.2"/>
    <row r="960" s="5" customFormat="1" ht="20" customHeight="1" x14ac:dyDescent="0.2"/>
    <row r="961" s="5" customFormat="1" ht="20" customHeight="1" x14ac:dyDescent="0.2"/>
    <row r="962" s="5" customFormat="1" ht="20" customHeight="1" x14ac:dyDescent="0.2"/>
    <row r="963" s="5" customFormat="1" ht="20" customHeight="1" x14ac:dyDescent="0.2"/>
    <row r="964" s="5" customFormat="1" ht="20" customHeight="1" x14ac:dyDescent="0.2"/>
    <row r="965" s="5" customFormat="1" ht="20" customHeight="1" x14ac:dyDescent="0.2"/>
    <row r="966" s="5" customFormat="1" ht="20" customHeight="1" x14ac:dyDescent="0.2"/>
    <row r="967" s="5" customFormat="1" ht="20" customHeight="1" x14ac:dyDescent="0.2"/>
    <row r="968" s="5" customFormat="1" ht="20" customHeight="1" x14ac:dyDescent="0.2"/>
    <row r="969" s="5" customFormat="1" ht="20" customHeight="1" x14ac:dyDescent="0.2"/>
    <row r="970" s="5" customFormat="1" ht="20" customHeight="1" x14ac:dyDescent="0.2"/>
    <row r="971" s="5" customFormat="1" ht="20" customHeight="1" x14ac:dyDescent="0.2"/>
    <row r="972" s="5" customFormat="1" ht="20" customHeight="1" x14ac:dyDescent="0.2"/>
    <row r="973" s="5" customFormat="1" ht="20" customHeight="1" x14ac:dyDescent="0.2"/>
    <row r="974" s="5" customFormat="1" ht="20" customHeight="1" x14ac:dyDescent="0.2"/>
    <row r="975" s="5" customFormat="1" ht="20" customHeight="1" x14ac:dyDescent="0.2"/>
    <row r="976" s="5" customFormat="1" ht="20" customHeight="1" x14ac:dyDescent="0.2"/>
    <row r="977" s="5" customFormat="1" ht="20" customHeight="1" x14ac:dyDescent="0.2"/>
    <row r="978" s="5" customFormat="1" ht="20" customHeight="1" x14ac:dyDescent="0.2"/>
    <row r="979" s="5" customFormat="1" ht="20" customHeight="1" x14ac:dyDescent="0.2"/>
    <row r="980" s="5" customFormat="1" ht="20" customHeight="1" x14ac:dyDescent="0.2"/>
    <row r="981" s="5" customFormat="1" ht="20" customHeight="1" x14ac:dyDescent="0.2"/>
    <row r="982" s="5" customFormat="1" ht="20" customHeight="1" x14ac:dyDescent="0.2"/>
    <row r="983" s="5" customFormat="1" ht="20" customHeight="1" x14ac:dyDescent="0.2"/>
    <row r="984" s="5" customFormat="1" ht="20" customHeight="1" x14ac:dyDescent="0.2"/>
    <row r="985" s="5" customFormat="1" ht="20" customHeight="1" x14ac:dyDescent="0.2"/>
    <row r="986" s="5" customFormat="1" ht="20" customHeight="1" x14ac:dyDescent="0.2"/>
    <row r="987" s="5" customFormat="1" ht="20" customHeight="1" x14ac:dyDescent="0.2"/>
    <row r="988" s="5" customFormat="1" ht="20" customHeight="1" x14ac:dyDescent="0.2"/>
    <row r="989" s="5" customFormat="1" ht="20" customHeight="1" x14ac:dyDescent="0.2"/>
    <row r="990" s="5" customFormat="1" ht="20" customHeight="1" x14ac:dyDescent="0.2"/>
    <row r="991" s="5" customFormat="1" ht="20" customHeight="1" x14ac:dyDescent="0.2"/>
    <row r="992" s="5" customFormat="1" ht="20" customHeight="1" x14ac:dyDescent="0.2"/>
    <row r="993" s="5" customFormat="1" ht="20" customHeight="1" x14ac:dyDescent="0.2"/>
    <row r="994" s="5" customFormat="1" ht="20" customHeight="1" x14ac:dyDescent="0.2"/>
    <row r="995" s="5" customFormat="1" ht="20" customHeight="1" x14ac:dyDescent="0.2"/>
    <row r="996" s="5" customFormat="1" ht="20" customHeight="1" x14ac:dyDescent="0.2"/>
    <row r="997" s="5" customFormat="1" ht="20" customHeight="1" x14ac:dyDescent="0.2"/>
    <row r="998" s="5" customFormat="1" ht="20" customHeight="1" x14ac:dyDescent="0.2"/>
    <row r="999" s="5" customFormat="1" ht="20" customHeight="1" x14ac:dyDescent="0.2"/>
    <row r="1000" s="5" customFormat="1" ht="20" customHeight="1" x14ac:dyDescent="0.2"/>
    <row r="1001" s="5" customFormat="1" ht="20" customHeight="1" x14ac:dyDescent="0.2"/>
    <row r="1002" s="5" customFormat="1" ht="20" customHeight="1" x14ac:dyDescent="0.2"/>
    <row r="1003" s="5" customFormat="1" ht="20" customHeight="1" x14ac:dyDescent="0.2"/>
    <row r="1004" s="5" customFormat="1" ht="20" customHeight="1" x14ac:dyDescent="0.2"/>
    <row r="1005" s="5" customFormat="1" ht="20" customHeight="1" x14ac:dyDescent="0.2"/>
    <row r="1006" s="5" customFormat="1" ht="20" customHeight="1" x14ac:dyDescent="0.2"/>
    <row r="1007" s="5" customFormat="1" ht="20" customHeight="1" x14ac:dyDescent="0.2"/>
    <row r="1008" s="5" customFormat="1" ht="20" customHeight="1" x14ac:dyDescent="0.2"/>
    <row r="1009" s="5" customFormat="1" ht="20" customHeight="1" x14ac:dyDescent="0.2"/>
    <row r="1010" s="5" customFormat="1" ht="20" customHeight="1" x14ac:dyDescent="0.2"/>
    <row r="1011" s="5" customFormat="1" ht="20" customHeight="1" x14ac:dyDescent="0.2"/>
    <row r="1012" s="5" customFormat="1" ht="20" customHeight="1" x14ac:dyDescent="0.2"/>
    <row r="1013" s="5" customFormat="1" ht="20" customHeight="1" x14ac:dyDescent="0.2"/>
    <row r="1014" s="5" customFormat="1" ht="20" customHeight="1" x14ac:dyDescent="0.2"/>
    <row r="1015" s="5" customFormat="1" ht="20" customHeight="1" x14ac:dyDescent="0.2"/>
    <row r="1016" s="5" customFormat="1" ht="20" customHeight="1" x14ac:dyDescent="0.2"/>
    <row r="1017" s="5" customFormat="1" ht="20" customHeight="1" x14ac:dyDescent="0.2"/>
    <row r="1018" s="5" customFormat="1" ht="20" customHeight="1" x14ac:dyDescent="0.2"/>
    <row r="1019" s="5" customFormat="1" ht="20" customHeight="1" x14ac:dyDescent="0.2"/>
    <row r="1020" s="5" customFormat="1" ht="20" customHeight="1" x14ac:dyDescent="0.2"/>
    <row r="1021" s="5" customFormat="1" ht="20" customHeight="1" x14ac:dyDescent="0.2"/>
    <row r="1022" s="5" customFormat="1" ht="20" customHeight="1" x14ac:dyDescent="0.2"/>
    <row r="1023" s="5" customFormat="1" ht="20" customHeight="1" x14ac:dyDescent="0.2"/>
    <row r="1024" s="5" customFormat="1" ht="20" customHeight="1" x14ac:dyDescent="0.2"/>
    <row r="1025" s="5" customFormat="1" ht="20" customHeight="1" x14ac:dyDescent="0.2"/>
    <row r="1026" s="5" customFormat="1" ht="20" customHeight="1" x14ac:dyDescent="0.2"/>
    <row r="1027" s="5" customFormat="1" ht="20" customHeight="1" x14ac:dyDescent="0.2"/>
    <row r="1028" s="5" customFormat="1" ht="20" customHeight="1" x14ac:dyDescent="0.2"/>
    <row r="1029" s="5" customFormat="1" ht="20" customHeight="1" x14ac:dyDescent="0.2"/>
    <row r="1030" s="5" customFormat="1" ht="20" customHeight="1" x14ac:dyDescent="0.2"/>
    <row r="1031" s="5" customFormat="1" ht="20" customHeight="1" x14ac:dyDescent="0.2"/>
    <row r="1032" s="5" customFormat="1" ht="20" customHeight="1" x14ac:dyDescent="0.2"/>
    <row r="1033" s="5" customFormat="1" ht="20" customHeight="1" x14ac:dyDescent="0.2"/>
    <row r="1034" s="5" customFormat="1" ht="20" customHeight="1" x14ac:dyDescent="0.2"/>
    <row r="1035" s="5" customFormat="1" ht="20" customHeight="1" x14ac:dyDescent="0.2"/>
    <row r="1036" s="5" customFormat="1" ht="20" customHeight="1" x14ac:dyDescent="0.2"/>
    <row r="1037" s="5" customFormat="1" ht="20" customHeight="1" x14ac:dyDescent="0.2"/>
    <row r="1038" s="5" customFormat="1" ht="20" customHeight="1" x14ac:dyDescent="0.2"/>
    <row r="1039" s="5" customFormat="1" ht="20" customHeight="1" x14ac:dyDescent="0.2"/>
    <row r="1040" s="5" customFormat="1" ht="20" customHeight="1" x14ac:dyDescent="0.2"/>
    <row r="1041" s="5" customFormat="1" ht="20" customHeight="1" x14ac:dyDescent="0.2"/>
    <row r="1042" s="5" customFormat="1" ht="20" customHeight="1" x14ac:dyDescent="0.2"/>
    <row r="1043" s="5" customFormat="1" ht="20" customHeight="1" x14ac:dyDescent="0.2"/>
    <row r="1044" s="5" customFormat="1" ht="20" customHeight="1" x14ac:dyDescent="0.2"/>
    <row r="1045" s="5" customFormat="1" ht="20" customHeight="1" x14ac:dyDescent="0.2"/>
    <row r="1046" s="5" customFormat="1" ht="20" customHeight="1" x14ac:dyDescent="0.2"/>
    <row r="1047" s="5" customFormat="1" ht="20" customHeight="1" x14ac:dyDescent="0.2"/>
    <row r="1048" s="5" customFormat="1" ht="20" customHeight="1" x14ac:dyDescent="0.2"/>
    <row r="1049" s="5" customFormat="1" ht="20" customHeight="1" x14ac:dyDescent="0.2"/>
    <row r="1050" s="5" customFormat="1" ht="20" customHeight="1" x14ac:dyDescent="0.2"/>
    <row r="1051" s="5" customFormat="1" ht="20" customHeight="1" x14ac:dyDescent="0.2"/>
    <row r="1052" s="5" customFormat="1" ht="20" customHeight="1" x14ac:dyDescent="0.2"/>
    <row r="1053" s="5" customFormat="1" ht="20" customHeight="1" x14ac:dyDescent="0.2"/>
    <row r="1054" s="5" customFormat="1" ht="20" customHeight="1" x14ac:dyDescent="0.2"/>
    <row r="1055" s="5" customFormat="1" ht="20" customHeight="1" x14ac:dyDescent="0.2"/>
    <row r="1056" s="5" customFormat="1" ht="20" customHeight="1" x14ac:dyDescent="0.2"/>
    <row r="1057" s="5" customFormat="1" ht="20" customHeight="1" x14ac:dyDescent="0.2"/>
    <row r="1058" s="5" customFormat="1" ht="20" customHeight="1" x14ac:dyDescent="0.2"/>
    <row r="1059" s="5" customFormat="1" ht="20" customHeight="1" x14ac:dyDescent="0.2"/>
    <row r="1060" s="5" customFormat="1" ht="20" customHeight="1" x14ac:dyDescent="0.2"/>
    <row r="1061" s="5" customFormat="1" ht="20" customHeight="1" x14ac:dyDescent="0.2"/>
    <row r="1062" s="5" customFormat="1" ht="20" customHeight="1" x14ac:dyDescent="0.2"/>
    <row r="1063" s="5" customFormat="1" ht="20" customHeight="1" x14ac:dyDescent="0.2"/>
    <row r="1064" s="5" customFormat="1" ht="20" customHeight="1" x14ac:dyDescent="0.2"/>
    <row r="1065" s="5" customFormat="1" ht="20" customHeight="1" x14ac:dyDescent="0.2"/>
    <row r="1066" s="5" customFormat="1" ht="20" customHeight="1" x14ac:dyDescent="0.2"/>
    <row r="1067" s="5" customFormat="1" ht="20" customHeight="1" x14ac:dyDescent="0.2"/>
    <row r="1068" s="5" customFormat="1" ht="20" customHeight="1" x14ac:dyDescent="0.2"/>
    <row r="1069" s="5" customFormat="1" ht="20" customHeight="1" x14ac:dyDescent="0.2"/>
    <row r="1070" s="5" customFormat="1" ht="20" customHeight="1" x14ac:dyDescent="0.2"/>
    <row r="1071" s="5" customFormat="1" ht="20" customHeight="1" x14ac:dyDescent="0.2"/>
    <row r="1072" s="5" customFormat="1" ht="20" customHeight="1" x14ac:dyDescent="0.2"/>
    <row r="1073" s="5" customFormat="1" ht="20" customHeight="1" x14ac:dyDescent="0.2"/>
    <row r="1074" s="5" customFormat="1" ht="20" customHeight="1" x14ac:dyDescent="0.2"/>
    <row r="1075" s="5" customFormat="1" ht="20" customHeight="1" x14ac:dyDescent="0.2"/>
    <row r="1076" s="5" customFormat="1" ht="20" customHeight="1" x14ac:dyDescent="0.2"/>
    <row r="1077" s="5" customFormat="1" ht="20" customHeight="1" x14ac:dyDescent="0.2"/>
    <row r="1078" s="5" customFormat="1" ht="20" customHeight="1" x14ac:dyDescent="0.2"/>
    <row r="1079" s="5" customFormat="1" ht="20" customHeight="1" x14ac:dyDescent="0.2"/>
    <row r="1080" s="5" customFormat="1" ht="20" customHeight="1" x14ac:dyDescent="0.2"/>
    <row r="1081" s="5" customFormat="1" ht="20" customHeight="1" x14ac:dyDescent="0.2"/>
  </sheetData>
  <pageMargins left="0.7" right="0.7" top="1" bottom="0.7" header="0.5" footer="0.5"/>
  <pageSetup paperSize="5" scale="10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transitionEvaluation="1" codeName="Sheet37">
    <pageSetUpPr fitToPage="1"/>
  </sheetPr>
  <dimension ref="A1:CY93"/>
  <sheetViews>
    <sheetView defaultGridColor="0" topLeftCell="A11" colorId="22" zoomScale="70" zoomScaleNormal="70" workbookViewId="0">
      <pane xSplit="1" topLeftCell="B1" activePane="topRight" state="frozen"/>
      <selection pane="topRight" activeCell="AE18" sqref="AE18"/>
    </sheetView>
  </sheetViews>
  <sheetFormatPr baseColWidth="10" defaultColWidth="9.42578125" defaultRowHeight="20" customHeight="1" x14ac:dyDescent="0.2"/>
  <cols>
    <col min="1" max="1" width="41.28515625" style="5" customWidth="1"/>
    <col min="2" max="2" width="7.7109375" style="5" customWidth="1"/>
    <col min="3" max="3" width="8.28515625" style="5" customWidth="1"/>
    <col min="4" max="4" width="8.7109375" style="5" customWidth="1"/>
    <col min="5" max="5" width="8.28515625" style="5" customWidth="1"/>
    <col min="6" max="6" width="8.42578125" style="79" customWidth="1"/>
    <col min="7" max="7" width="7.28515625" style="5" customWidth="1"/>
    <col min="8" max="8" width="7.28515625" style="80" customWidth="1"/>
    <col min="9" max="9" width="8.7109375" style="56" customWidth="1"/>
    <col min="10" max="10" width="19.28515625" style="56" customWidth="1"/>
    <col min="11" max="21" width="8.7109375" style="56" customWidth="1"/>
    <col min="22" max="22" width="5.140625" style="56" customWidth="1"/>
    <col min="23" max="26" width="8.7109375" style="56" customWidth="1"/>
    <col min="27" max="28" width="8.42578125" style="56" customWidth="1"/>
    <col min="29" max="29" width="9" customWidth="1"/>
    <col min="30" max="30" width="10" style="5" customWidth="1"/>
    <col min="31" max="52" width="9.42578125" customWidth="1"/>
    <col min="53" max="53" width="24.5703125" style="5" customWidth="1"/>
    <col min="54" max="61" width="9.42578125" style="5" customWidth="1"/>
    <col min="62" max="62" width="9" style="5" customWidth="1"/>
    <col min="63" max="71" width="9.42578125" style="5" customWidth="1"/>
    <col min="72" max="72" width="8" style="5" customWidth="1"/>
    <col min="73" max="73" width="9.28515625" style="5" customWidth="1"/>
    <col min="74" max="75" width="9.42578125" style="5" customWidth="1"/>
    <col min="76" max="76" width="8.85546875" style="5" customWidth="1"/>
    <col min="77" max="77" width="8.28515625" style="5" customWidth="1"/>
    <col min="78" max="80" width="9.42578125" style="5" customWidth="1"/>
    <col min="81" max="82" width="9.42578125" style="5"/>
    <col min="83" max="103" width="9.42578125" style="5" hidden="1" customWidth="1"/>
    <col min="104" max="16384" width="9.42578125" style="5"/>
  </cols>
  <sheetData>
    <row r="1" spans="1:103" s="34" customFormat="1" ht="76.5" customHeight="1" x14ac:dyDescent="0.4">
      <c r="A1" s="154" t="s">
        <v>126</v>
      </c>
      <c r="B1" s="155"/>
      <c r="C1" s="155"/>
      <c r="D1" s="156"/>
      <c r="E1" s="156"/>
      <c r="F1" s="157"/>
      <c r="G1" s="158"/>
      <c r="H1" s="159"/>
      <c r="I1" s="156"/>
      <c r="J1" s="156"/>
      <c r="K1" s="156"/>
      <c r="L1" s="156"/>
      <c r="M1" s="156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B1" s="35"/>
      <c r="BF1" s="35"/>
    </row>
    <row r="2" spans="1:103" s="34" customFormat="1" ht="25" customHeight="1" x14ac:dyDescent="0.25">
      <c r="A2" s="36"/>
      <c r="C2" s="37"/>
      <c r="D2" s="33"/>
      <c r="E2" s="33"/>
      <c r="F2" s="85"/>
      <c r="G2" s="33"/>
      <c r="H2" s="86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B2" s="35"/>
      <c r="BC2" s="35"/>
      <c r="BF2" s="35"/>
    </row>
    <row r="3" spans="1:103" s="29" customFormat="1" ht="20" customHeight="1" x14ac:dyDescent="0.2">
      <c r="A3" s="26" t="s">
        <v>76</v>
      </c>
      <c r="B3" s="27">
        <v>1991</v>
      </c>
      <c r="C3" s="27">
        <v>1992</v>
      </c>
      <c r="D3" s="27">
        <v>1993</v>
      </c>
      <c r="E3" s="41">
        <v>1994</v>
      </c>
      <c r="F3" s="27">
        <v>1995</v>
      </c>
      <c r="G3" s="27">
        <v>1996</v>
      </c>
      <c r="H3" s="27">
        <v>1997</v>
      </c>
      <c r="I3" s="81">
        <v>1998</v>
      </c>
      <c r="J3" s="50">
        <v>1999</v>
      </c>
      <c r="K3" s="50">
        <v>2000</v>
      </c>
      <c r="L3" s="50">
        <v>2001</v>
      </c>
      <c r="M3" s="50">
        <v>2002</v>
      </c>
      <c r="N3" s="50">
        <v>2003</v>
      </c>
      <c r="O3" s="50">
        <v>2004</v>
      </c>
      <c r="P3" s="50">
        <v>2005</v>
      </c>
      <c r="Q3" s="50">
        <v>2006</v>
      </c>
      <c r="R3" s="50">
        <v>2007</v>
      </c>
      <c r="S3" s="50">
        <v>2008</v>
      </c>
      <c r="T3" s="50">
        <v>2009</v>
      </c>
      <c r="U3" s="51">
        <v>2010</v>
      </c>
      <c r="V3" s="51">
        <v>2011</v>
      </c>
      <c r="W3" s="51">
        <v>2012</v>
      </c>
      <c r="X3" s="51">
        <v>2013</v>
      </c>
      <c r="Y3" s="51">
        <v>2014</v>
      </c>
      <c r="Z3" s="51">
        <v>2015</v>
      </c>
      <c r="AA3" s="51">
        <v>2016</v>
      </c>
      <c r="AB3" s="51">
        <v>2017</v>
      </c>
      <c r="AC3" s="77">
        <v>2018</v>
      </c>
      <c r="AD3" s="51">
        <v>2019</v>
      </c>
      <c r="AE3" s="51">
        <v>2020</v>
      </c>
      <c r="AF3" s="51">
        <v>2021</v>
      </c>
      <c r="AG3" s="51">
        <v>2022</v>
      </c>
      <c r="AH3" s="51">
        <v>2023</v>
      </c>
      <c r="AI3" s="77">
        <v>2024</v>
      </c>
      <c r="AJ3" s="51">
        <v>2025</v>
      </c>
      <c r="AK3" s="51">
        <v>2026</v>
      </c>
      <c r="AL3" s="51">
        <v>2027</v>
      </c>
      <c r="AM3" s="51">
        <v>2028</v>
      </c>
      <c r="AN3" s="51">
        <v>2029</v>
      </c>
      <c r="AO3" s="77">
        <v>2030</v>
      </c>
      <c r="AP3" s="51">
        <v>2031</v>
      </c>
      <c r="AQ3" s="51">
        <v>2032</v>
      </c>
      <c r="AR3" s="51">
        <v>2033</v>
      </c>
      <c r="AS3" s="51">
        <v>2034</v>
      </c>
      <c r="AT3" s="51">
        <v>2035</v>
      </c>
      <c r="AU3" s="77">
        <v>2036</v>
      </c>
      <c r="AV3" s="51">
        <v>2037</v>
      </c>
      <c r="AW3" s="51">
        <v>2038</v>
      </c>
      <c r="AX3" s="51">
        <v>2039</v>
      </c>
      <c r="AY3" s="51">
        <v>2040</v>
      </c>
      <c r="AZ3" s="51">
        <v>2041</v>
      </c>
      <c r="BA3" s="38" t="s">
        <v>75</v>
      </c>
      <c r="BY3" s="38"/>
      <c r="BZ3" s="38" t="s">
        <v>87</v>
      </c>
    </row>
    <row r="4" spans="1:103" ht="20" customHeight="1" x14ac:dyDescent="0.2">
      <c r="A4" s="47"/>
      <c r="B4" s="14"/>
      <c r="C4" s="14"/>
      <c r="D4" s="14"/>
      <c r="E4" s="42"/>
      <c r="F4" s="42"/>
      <c r="H4" s="13"/>
      <c r="I4" s="8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3"/>
      <c r="V4" s="53"/>
      <c r="W4" s="53"/>
      <c r="X4" s="53"/>
      <c r="Y4" s="53"/>
      <c r="Z4" s="53"/>
      <c r="AA4" s="53"/>
      <c r="AB4" s="53"/>
      <c r="AC4" s="53"/>
      <c r="AD4" s="53"/>
      <c r="AE4" s="47"/>
      <c r="AF4" s="14"/>
      <c r="AG4" s="14"/>
      <c r="AH4" s="14"/>
      <c r="AI4" s="42"/>
      <c r="AJ4" s="42"/>
      <c r="AK4" s="5"/>
      <c r="AL4" s="13"/>
      <c r="AM4" s="8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3"/>
      <c r="AZ4" s="53"/>
      <c r="BA4" s="53"/>
      <c r="BB4" s="90">
        <v>1992</v>
      </c>
      <c r="BC4" s="90">
        <v>1993</v>
      </c>
      <c r="BD4" s="90">
        <v>1994</v>
      </c>
      <c r="BE4" s="90">
        <v>1995</v>
      </c>
      <c r="BF4" s="90">
        <v>1996</v>
      </c>
      <c r="BG4" s="90">
        <v>1997</v>
      </c>
      <c r="BH4" s="90">
        <v>1998</v>
      </c>
      <c r="BI4" s="90">
        <v>1999</v>
      </c>
      <c r="BJ4" s="90">
        <v>2000</v>
      </c>
      <c r="BK4" s="90">
        <v>2001</v>
      </c>
      <c r="BL4" s="90">
        <v>2002</v>
      </c>
      <c r="BM4" s="90">
        <v>2003</v>
      </c>
      <c r="BN4" s="90">
        <v>2004</v>
      </c>
      <c r="BO4" s="90">
        <v>2005</v>
      </c>
      <c r="BP4" s="90">
        <v>2006</v>
      </c>
      <c r="BQ4" s="90">
        <v>2007</v>
      </c>
      <c r="BR4" s="90">
        <v>2008</v>
      </c>
      <c r="BS4" s="90">
        <v>2009</v>
      </c>
      <c r="BT4" s="90">
        <v>2010</v>
      </c>
      <c r="BU4" s="90">
        <v>2011</v>
      </c>
      <c r="BV4" s="90">
        <v>2012</v>
      </c>
      <c r="BW4" s="90">
        <v>2013</v>
      </c>
      <c r="BX4" s="91">
        <v>2014</v>
      </c>
      <c r="BY4" s="90">
        <v>2015</v>
      </c>
      <c r="BZ4" s="90">
        <v>2016</v>
      </c>
      <c r="CA4" s="90">
        <v>2017</v>
      </c>
      <c r="CB4" s="90">
        <v>2018</v>
      </c>
      <c r="CC4" s="90">
        <v>2019</v>
      </c>
      <c r="CD4" s="90">
        <v>2020</v>
      </c>
      <c r="CE4" s="90">
        <v>2021</v>
      </c>
      <c r="CF4" s="90">
        <v>2022</v>
      </c>
      <c r="CG4" s="90">
        <v>2023</v>
      </c>
      <c r="CH4" s="90">
        <v>2024</v>
      </c>
      <c r="CI4" s="90">
        <v>2025</v>
      </c>
      <c r="CJ4" s="90">
        <v>2026</v>
      </c>
      <c r="CK4" s="90">
        <v>2027</v>
      </c>
      <c r="CL4" s="90">
        <v>2028</v>
      </c>
      <c r="CM4" s="90">
        <v>2029</v>
      </c>
      <c r="CN4" s="90">
        <v>2030</v>
      </c>
      <c r="CO4" s="90">
        <v>2031</v>
      </c>
      <c r="CP4" s="90">
        <v>2032</v>
      </c>
      <c r="CQ4" s="90">
        <v>2033</v>
      </c>
      <c r="CR4" s="90">
        <v>2034</v>
      </c>
      <c r="CS4" s="90">
        <v>2035</v>
      </c>
      <c r="CT4" s="90">
        <v>2036</v>
      </c>
      <c r="CU4" s="90">
        <v>2037</v>
      </c>
      <c r="CV4" s="90">
        <v>2038</v>
      </c>
      <c r="CW4" s="90">
        <v>2039</v>
      </c>
      <c r="CX4" s="90">
        <v>2040</v>
      </c>
      <c r="CY4" s="90">
        <v>2041</v>
      </c>
    </row>
    <row r="5" spans="1:103" s="10" customFormat="1" ht="20" customHeight="1" x14ac:dyDescent="0.2">
      <c r="A5" s="48" t="s">
        <v>17</v>
      </c>
      <c r="B5" s="83">
        <f>SUM('Biscuit Brook'!B18)</f>
        <v>794</v>
      </c>
      <c r="C5" s="83">
        <f>SUM('Biscuit Brook'!C18)</f>
        <v>747</v>
      </c>
      <c r="D5" s="83">
        <f>SUM('Biscuit Brook'!D18)</f>
        <v>832</v>
      </c>
      <c r="E5" s="83">
        <f>SUM('Biscuit Brook'!E18)</f>
        <v>741</v>
      </c>
      <c r="F5" s="83">
        <f>SUM('Biscuit Brook'!F18)</f>
        <v>790</v>
      </c>
      <c r="G5" s="83">
        <f>SUM('Biscuit Brook'!G18)</f>
        <v>802</v>
      </c>
      <c r="H5" s="83">
        <f>SUM('Biscuit Brook'!H18)</f>
        <v>735</v>
      </c>
      <c r="I5" s="83">
        <f>SUM('Biscuit Brook'!I18)</f>
        <v>1001</v>
      </c>
      <c r="J5" s="54">
        <f>SUM('Biscuit Brook'!J18)</f>
        <v>741</v>
      </c>
      <c r="K5" s="54">
        <f>SUM('Biscuit Brook'!K18)</f>
        <v>882</v>
      </c>
      <c r="L5" s="54">
        <f>SUM('Biscuit Brook'!L18)</f>
        <v>782</v>
      </c>
      <c r="M5" s="54">
        <f>SUM('Biscuit Brook'!M18)</f>
        <v>867</v>
      </c>
      <c r="N5" s="54">
        <f>SUM('Biscuit Brook'!N18)</f>
        <v>587</v>
      </c>
      <c r="O5" s="54">
        <f>SUM('Biscuit Brook'!O18)</f>
        <v>782</v>
      </c>
      <c r="P5" s="54">
        <f>SUM('Biscuit Brook'!P18)</f>
        <v>696</v>
      </c>
      <c r="Q5" s="54">
        <f>SUM('Biscuit Brook'!Q18)</f>
        <v>723</v>
      </c>
      <c r="R5" s="54">
        <f>SUM('Biscuit Brook'!R18)</f>
        <v>744</v>
      </c>
      <c r="S5" s="54"/>
      <c r="T5" s="54"/>
      <c r="U5" s="54">
        <f>SUM('Biscuit Brook'!U18)</f>
        <v>562</v>
      </c>
      <c r="V5" s="54"/>
      <c r="W5" s="54">
        <f>SUM('Biscuit Brook'!W18)</f>
        <v>928</v>
      </c>
      <c r="X5" s="54">
        <f>SUM('Biscuit Brook'!X18)</f>
        <v>890</v>
      </c>
      <c r="Y5" s="54">
        <f>SUM('Biscuit Brook'!Y18)</f>
        <v>954</v>
      </c>
      <c r="Z5" s="54">
        <f>SUM('Biscuit Brook'!Z18)</f>
        <v>1096</v>
      </c>
      <c r="AA5" s="54">
        <f>SUM('Biscuit Brook'!AA18)</f>
        <v>1283</v>
      </c>
      <c r="AB5" s="54">
        <f>SUM('Biscuit Brook'!AB18)</f>
        <v>1014</v>
      </c>
      <c r="AC5" s="54">
        <f>SUM('Biscuit Brook'!AC18)</f>
        <v>1039</v>
      </c>
      <c r="AD5" s="54">
        <f>SUM('Biscuit Brook'!AD18)</f>
        <v>1206</v>
      </c>
      <c r="AE5" s="54">
        <f>SUM('Biscuit Brook'!AE18)</f>
        <v>1842</v>
      </c>
      <c r="AF5" s="54">
        <f>SUM('Biscuit Brook'!AF18)</f>
        <v>1592</v>
      </c>
      <c r="AG5" s="54">
        <f>SUM('Biscuit Brook'!AG18)</f>
        <v>1347</v>
      </c>
      <c r="AH5" s="54">
        <f>SUM('Biscuit Brook'!AH18)</f>
        <v>768</v>
      </c>
      <c r="AI5" s="54">
        <f>SUM('Biscuit Brook'!AI18)</f>
        <v>0</v>
      </c>
      <c r="AJ5" s="54">
        <f>SUM('Biscuit Brook'!AJ18)</f>
        <v>0</v>
      </c>
      <c r="AK5" s="54">
        <f>SUM('Biscuit Brook'!AK18)</f>
        <v>0</v>
      </c>
      <c r="AL5" s="54">
        <f>SUM('Biscuit Brook'!AL18)</f>
        <v>0</v>
      </c>
      <c r="AM5" s="54">
        <f>SUM('Biscuit Brook'!AM18)</f>
        <v>0</v>
      </c>
      <c r="AN5" s="54">
        <f>SUM('Biscuit Brook'!AN18)</f>
        <v>0</v>
      </c>
      <c r="AO5" s="54">
        <f>SUM('Biscuit Brook'!AO18)</f>
        <v>0</v>
      </c>
      <c r="AP5" s="54">
        <f>SUM('Biscuit Brook'!AP18)</f>
        <v>0</v>
      </c>
      <c r="AQ5" s="54">
        <f>SUM('Biscuit Brook'!AQ18)</f>
        <v>0</v>
      </c>
      <c r="AR5" s="54">
        <f>SUM('Biscuit Brook'!AR18)</f>
        <v>0</v>
      </c>
      <c r="AS5" s="54">
        <f>SUM('Biscuit Brook'!AS18)</f>
        <v>0</v>
      </c>
      <c r="AT5" s="54">
        <f>SUM('Biscuit Brook'!AT18)</f>
        <v>0</v>
      </c>
      <c r="AU5" s="54">
        <f>SUM('Biscuit Brook'!AU18)</f>
        <v>0</v>
      </c>
      <c r="AV5" s="54">
        <f>SUM('Biscuit Brook'!AV18)</f>
        <v>0</v>
      </c>
      <c r="AW5" s="54">
        <f>SUM('Biscuit Brook'!AW18)</f>
        <v>0</v>
      </c>
      <c r="AX5" s="54">
        <f>SUM('Biscuit Brook'!AX18)</f>
        <v>0</v>
      </c>
      <c r="AY5" s="54">
        <f>SUM('Biscuit Brook'!AY18)</f>
        <v>0</v>
      </c>
      <c r="AZ5" s="54">
        <f>SUM('Biscuit Brook'!AZ18)</f>
        <v>0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AVERAGEIF(B5:K5,"&gt;0")</f>
        <v>806.5</v>
      </c>
      <c r="BK5">
        <f t="shared" ref="BK5:CY5" si="0">AVERAGEIF(C5:L5,"&gt;0")</f>
        <v>805.3</v>
      </c>
      <c r="BL5">
        <f t="shared" si="0"/>
        <v>817.3</v>
      </c>
      <c r="BM5">
        <f t="shared" si="0"/>
        <v>792.8</v>
      </c>
      <c r="BN5">
        <f t="shared" si="0"/>
        <v>796.9</v>
      </c>
      <c r="BO5">
        <f t="shared" si="0"/>
        <v>787.5</v>
      </c>
      <c r="BP5">
        <f t="shared" si="0"/>
        <v>779.6</v>
      </c>
      <c r="BQ5">
        <f t="shared" si="0"/>
        <v>780.5</v>
      </c>
      <c r="BR5">
        <f t="shared" si="0"/>
        <v>756</v>
      </c>
      <c r="BS5">
        <f t="shared" si="0"/>
        <v>757.875</v>
      </c>
      <c r="BT5">
        <f t="shared" si="0"/>
        <v>717.875</v>
      </c>
      <c r="BU5">
        <f t="shared" si="0"/>
        <v>708.71428571428567</v>
      </c>
      <c r="BV5">
        <f t="shared" si="0"/>
        <v>717.42857142857144</v>
      </c>
      <c r="BW5">
        <f t="shared" si="0"/>
        <v>760.71428571428567</v>
      </c>
      <c r="BX5">
        <f t="shared" si="0"/>
        <v>785.28571428571433</v>
      </c>
      <c r="BY5">
        <f t="shared" si="0"/>
        <v>842.42857142857144</v>
      </c>
      <c r="BZ5">
        <f t="shared" si="0"/>
        <v>922.42857142857144</v>
      </c>
      <c r="CA5">
        <f t="shared" si="0"/>
        <v>961</v>
      </c>
      <c r="CB5">
        <f t="shared" si="0"/>
        <v>970.75</v>
      </c>
      <c r="CC5">
        <f t="shared" si="0"/>
        <v>996.88888888888891</v>
      </c>
      <c r="CD5">
        <f t="shared" si="0"/>
        <v>1139.1111111111111</v>
      </c>
      <c r="CE5">
        <f t="shared" si="0"/>
        <v>1184.4000000000001</v>
      </c>
      <c r="CF5">
        <f t="shared" si="0"/>
        <v>1226.3</v>
      </c>
      <c r="CG5">
        <f t="shared" si="0"/>
        <v>1214.0999999999999</v>
      </c>
      <c r="CH5">
        <f t="shared" si="0"/>
        <v>1243</v>
      </c>
      <c r="CI5">
        <f t="shared" si="0"/>
        <v>1261.375</v>
      </c>
      <c r="CJ5">
        <f t="shared" si="0"/>
        <v>1258.2857142857142</v>
      </c>
      <c r="CK5">
        <f t="shared" si="0"/>
        <v>1299</v>
      </c>
      <c r="CL5">
        <f t="shared" si="0"/>
        <v>1351</v>
      </c>
      <c r="CM5">
        <f t="shared" si="0"/>
        <v>1387.25</v>
      </c>
      <c r="CN5">
        <f t="shared" si="0"/>
        <v>1235.6666666666667</v>
      </c>
      <c r="CO5">
        <f t="shared" si="0"/>
        <v>1057.5</v>
      </c>
      <c r="CP5">
        <f t="shared" si="0"/>
        <v>768</v>
      </c>
      <c r="CQ5" t="e">
        <f t="shared" si="0"/>
        <v>#DIV/0!</v>
      </c>
      <c r="CR5" t="e">
        <f t="shared" si="0"/>
        <v>#DIV/0!</v>
      </c>
      <c r="CS5" t="e">
        <f t="shared" si="0"/>
        <v>#DIV/0!</v>
      </c>
      <c r="CT5" t="e">
        <f t="shared" si="0"/>
        <v>#DIV/0!</v>
      </c>
      <c r="CU5" t="e">
        <f t="shared" si="0"/>
        <v>#DIV/0!</v>
      </c>
      <c r="CV5" t="e">
        <f t="shared" si="0"/>
        <v>#DIV/0!</v>
      </c>
      <c r="CW5" t="e">
        <f t="shared" si="0"/>
        <v>#DIV/0!</v>
      </c>
      <c r="CX5" t="e">
        <f t="shared" si="0"/>
        <v>#DIV/0!</v>
      </c>
      <c r="CY5" t="e">
        <f t="shared" si="0"/>
        <v>#DIV/0!</v>
      </c>
    </row>
    <row r="6" spans="1:103" ht="20" customHeight="1" x14ac:dyDescent="0.2">
      <c r="A6" s="49" t="s">
        <v>117</v>
      </c>
      <c r="B6" s="82">
        <f>SUM('Hardenburgh- MH Trail'!B18)</f>
        <v>270</v>
      </c>
      <c r="C6" s="82">
        <f>SUM('Hardenburgh- MH Trail'!C18)</f>
        <v>288</v>
      </c>
      <c r="D6" s="82">
        <f>SUM('Hardenburgh- MH Trail'!D18)</f>
        <v>306</v>
      </c>
      <c r="E6" s="82">
        <f>SUM('Hardenburgh- MH Trail'!E18)</f>
        <v>316</v>
      </c>
      <c r="F6" s="82">
        <f>SUM('Hardenburgh- MH Trail'!F18)</f>
        <v>275</v>
      </c>
      <c r="G6" s="82">
        <f>SUM('Hardenburgh- MH Trail'!G18)</f>
        <v>233</v>
      </c>
      <c r="H6" s="82">
        <f>SUM('Hardenburgh- MH Trail'!H18)</f>
        <v>172</v>
      </c>
      <c r="I6" s="82">
        <f>SUM('Hardenburgh- MH Trail'!I18)</f>
        <v>168</v>
      </c>
      <c r="J6" s="52">
        <f>SUM('Hardenburgh- MH Trail'!J18)</f>
        <v>654</v>
      </c>
      <c r="K6" s="52">
        <f>SUM('Hardenburgh- MH Trail'!K18)</f>
        <v>134</v>
      </c>
      <c r="L6" s="52">
        <f>SUM('Hardenburgh- MH Trail'!L18)</f>
        <v>130</v>
      </c>
      <c r="M6" s="52">
        <f>SUM('Hardenburgh- MH Trail'!M18)</f>
        <v>236</v>
      </c>
      <c r="N6" s="52">
        <f>SUM('Hardenburgh- MH Trail'!N18)</f>
        <v>266</v>
      </c>
      <c r="O6" s="52">
        <f>SUM('Hardenburgh- MH Trail'!O18)</f>
        <v>152</v>
      </c>
      <c r="P6" s="52">
        <f>SUM('Hardenburgh- MH Trail'!P18)</f>
        <v>170</v>
      </c>
      <c r="Q6" s="52">
        <f>SUM('Hardenburgh- MH Trail'!Q18)</f>
        <v>158</v>
      </c>
      <c r="R6" s="52">
        <f>SUM('Hardenburgh- MH Trail'!R18)</f>
        <v>109</v>
      </c>
      <c r="S6" s="52"/>
      <c r="T6" s="52"/>
      <c r="U6" s="52">
        <f>SUM('Hardenburgh- MH Trail'!U18)</f>
        <v>76</v>
      </c>
      <c r="V6" s="52"/>
      <c r="W6" s="52"/>
      <c r="X6" s="52"/>
      <c r="Y6" s="52">
        <f>SUM('Hardenburgh- MH Trail'!Y18)</f>
        <v>69</v>
      </c>
      <c r="Z6" s="52">
        <f>SUM('Hardenburgh- MH Trail'!Z18)</f>
        <v>82</v>
      </c>
      <c r="AA6" s="52">
        <f>SUM('Hardenburgh- MH Trail'!AA18)</f>
        <v>145</v>
      </c>
      <c r="AB6" s="52">
        <f>SUM('Hardenburgh- MH Trail'!AB18)</f>
        <v>131</v>
      </c>
      <c r="AC6" s="52">
        <f>SUM('Hardenburgh- MH Trail'!AC18)</f>
        <v>93</v>
      </c>
      <c r="AD6" s="52">
        <f>SUM('Hardenburgh- MH Trail'!AD18)</f>
        <v>112</v>
      </c>
      <c r="AE6" s="52">
        <f>SUM('Hardenburgh- MH Trail'!AE18)</f>
        <v>169</v>
      </c>
      <c r="AF6" s="52">
        <f>SUM('Hardenburgh- MH Trail'!AF18)</f>
        <v>121</v>
      </c>
      <c r="AG6" s="52">
        <f>SUM('Hardenburgh- MH Trail'!AG18)</f>
        <v>77</v>
      </c>
      <c r="AH6" s="52">
        <f>SUM('Hardenburgh- MH Trail'!AH18)</f>
        <v>59</v>
      </c>
      <c r="AI6" s="52">
        <f>SUM('Hardenburgh- MH Trail'!AI18)</f>
        <v>102</v>
      </c>
      <c r="AJ6" s="52">
        <f>SUM('Hardenburgh- MH Trail'!AJ18)</f>
        <v>0</v>
      </c>
      <c r="AK6" s="52">
        <f>SUM('Hardenburgh- MH Trail'!AK18)</f>
        <v>0</v>
      </c>
      <c r="AL6" s="52">
        <f>SUM('Hardenburgh- MH Trail'!AL18)</f>
        <v>0</v>
      </c>
      <c r="AM6" s="52">
        <f>SUM('Hardenburgh- MH Trail'!AM18)</f>
        <v>0</v>
      </c>
      <c r="AN6" s="52">
        <f>SUM('Hardenburgh- MH Trail'!AN18)</f>
        <v>0</v>
      </c>
      <c r="AO6" s="52">
        <f>SUM('Hardenburgh- MH Trail'!AO18)</f>
        <v>0</v>
      </c>
      <c r="AP6" s="52">
        <f>SUM('Hardenburgh- MH Trail'!AP18)</f>
        <v>0</v>
      </c>
      <c r="AQ6" s="52">
        <f>SUM('Hardenburgh- MH Trail'!AQ18)</f>
        <v>0</v>
      </c>
      <c r="AR6" s="52">
        <f>SUM('Hardenburgh- MH Trail'!AR18)</f>
        <v>0</v>
      </c>
      <c r="AS6" s="52">
        <f>SUM('Hardenburgh- MH Trail'!AS18)</f>
        <v>0</v>
      </c>
      <c r="AT6" s="52">
        <f>SUM('Hardenburgh- MH Trail'!AT18)</f>
        <v>0</v>
      </c>
      <c r="AU6" s="52">
        <f>SUM('Hardenburgh- MH Trail'!AU18)</f>
        <v>0</v>
      </c>
      <c r="AV6" s="52">
        <f>SUM('Hardenburgh- MH Trail'!AV18)</f>
        <v>0</v>
      </c>
      <c r="AW6" s="52">
        <f>SUM('Hardenburgh- MH Trail'!AW18)</f>
        <v>0</v>
      </c>
      <c r="AX6" s="52">
        <f>SUM('Hardenburgh- MH Trail'!AX18)</f>
        <v>0</v>
      </c>
      <c r="AY6" s="52">
        <f>SUM('Hardenburgh- MH Trail'!AY18)</f>
        <v>0</v>
      </c>
      <c r="AZ6" s="52">
        <f>SUM('Hardenburgh- MH Trail'!AZ18)</f>
        <v>0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1" si="1">AVERAGEIF(B6:K6,"&gt;0")</f>
        <v>281.60000000000002</v>
      </c>
      <c r="BK6">
        <f t="shared" ref="BK6:BK11" si="2">AVERAGEIF(C6:L6,"&gt;0")</f>
        <v>267.60000000000002</v>
      </c>
      <c r="BL6">
        <f t="shared" ref="BL6:BL11" si="3">AVERAGEIF(D6:M6,"&gt;0")</f>
        <v>262.39999999999998</v>
      </c>
      <c r="BM6">
        <f t="shared" ref="BM6:BM11" si="4">AVERAGEIF(E6:N6,"&gt;0")</f>
        <v>258.39999999999998</v>
      </c>
      <c r="BN6">
        <f t="shared" ref="BN6:BN11" si="5">AVERAGEIF(F6:O6,"&gt;0")</f>
        <v>242</v>
      </c>
      <c r="BO6">
        <f t="shared" ref="BO6:BO11" si="6">AVERAGEIF(G6:P6,"&gt;0")</f>
        <v>231.5</v>
      </c>
      <c r="BP6">
        <f t="shared" ref="BP6:BP11" si="7">AVERAGEIF(H6:Q6,"&gt;0")</f>
        <v>224</v>
      </c>
      <c r="BQ6">
        <f t="shared" ref="BQ6:BQ11" si="8">AVERAGEIF(I6:R6,"&gt;0")</f>
        <v>217.7</v>
      </c>
      <c r="BR6">
        <f t="shared" ref="BR6:BR11" si="9">AVERAGEIF(J6:S6,"&gt;0")</f>
        <v>223.22222222222223</v>
      </c>
      <c r="BS6">
        <f t="shared" ref="BS6:BS11" si="10">AVERAGEIF(K6:T6,"&gt;0")</f>
        <v>169.375</v>
      </c>
      <c r="BT6">
        <f t="shared" ref="BT6:BT11" si="11">AVERAGEIF(L6:U6,"&gt;0")</f>
        <v>162.125</v>
      </c>
      <c r="BU6">
        <f t="shared" ref="BU6:BU11" si="12">AVERAGEIF(M6:V6,"&gt;0")</f>
        <v>166.71428571428572</v>
      </c>
      <c r="BV6">
        <f t="shared" ref="BV6:BV11" si="13">AVERAGEIF(N6:W6,"&gt;0")</f>
        <v>155.16666666666666</v>
      </c>
      <c r="BW6">
        <f t="shared" ref="BW6:BW11" si="14">AVERAGEIF(O6:X6,"&gt;0")</f>
        <v>133</v>
      </c>
      <c r="BX6">
        <f t="shared" ref="BX6:BX11" si="15">AVERAGEIF(P6:Y6,"&gt;0")</f>
        <v>116.4</v>
      </c>
      <c r="BY6">
        <f t="shared" ref="BY6:BY11" si="16">AVERAGEIF(Q6:Z6,"&gt;0")</f>
        <v>98.8</v>
      </c>
      <c r="BZ6">
        <f t="shared" ref="BZ6:BZ11" si="17">AVERAGEIF(R6:AA6,"&gt;0")</f>
        <v>96.2</v>
      </c>
      <c r="CA6">
        <f t="shared" ref="CA6:CA11" si="18">AVERAGEIF(S6:AB6,"&gt;0")</f>
        <v>100.6</v>
      </c>
      <c r="CB6">
        <f t="shared" ref="CB6:CB11" si="19">AVERAGEIF(T6:AC6,"&gt;0")</f>
        <v>99.333333333333329</v>
      </c>
      <c r="CC6">
        <f t="shared" ref="CC6:CC11" si="20">AVERAGEIF(U6:AD6,"&gt;0")</f>
        <v>101.14285714285714</v>
      </c>
      <c r="CD6">
        <f t="shared" ref="CD6:CD11" si="21">AVERAGEIF(V6:AE6,"&gt;0")</f>
        <v>114.42857142857143</v>
      </c>
      <c r="CE6">
        <f t="shared" ref="CE6:CE11" si="22">AVERAGEIF(W6:AF6,"&gt;0")</f>
        <v>115.25</v>
      </c>
      <c r="CF6">
        <f t="shared" ref="CF6:CF11" si="23">AVERAGEIF(X6:AG6,"&gt;0")</f>
        <v>111</v>
      </c>
      <c r="CG6">
        <f t="shared" ref="CG6:CG11" si="24">AVERAGEIF(Y6:AH6,"&gt;0")</f>
        <v>105.8</v>
      </c>
      <c r="CH6">
        <f t="shared" ref="CH6:CH11" si="25">AVERAGEIF(Z6:AI6,"&gt;0")</f>
        <v>109.1</v>
      </c>
      <c r="CI6">
        <f t="shared" ref="CI6:CI11" si="26">AVERAGEIF(AA6:AJ6,"&gt;0")</f>
        <v>112.11111111111111</v>
      </c>
      <c r="CJ6">
        <f t="shared" ref="CJ6:CJ11" si="27">AVERAGEIF(AB6:AK6,"&gt;0")</f>
        <v>108</v>
      </c>
      <c r="CK6">
        <f t="shared" ref="CK6:CK11" si="28">AVERAGEIF(AC6:AL6,"&gt;0")</f>
        <v>104.71428571428571</v>
      </c>
      <c r="CL6">
        <f t="shared" ref="CL6:CL11" si="29">AVERAGEIF(AD6:AM6,"&gt;0")</f>
        <v>106.66666666666667</v>
      </c>
      <c r="CM6">
        <f t="shared" ref="CM6:CM11" si="30">AVERAGEIF(AE6:AN6,"&gt;0")</f>
        <v>105.6</v>
      </c>
      <c r="CN6">
        <f t="shared" ref="CN6:CN11" si="31">AVERAGEIF(AF6:AO6,"&gt;0")</f>
        <v>89.75</v>
      </c>
      <c r="CO6">
        <f t="shared" ref="CO6:CO11" si="32">AVERAGEIF(AG6:AP6,"&gt;0")</f>
        <v>79.333333333333329</v>
      </c>
      <c r="CP6">
        <f t="shared" ref="CP6:CP11" si="33">AVERAGEIF(AH6:AQ6,"&gt;0")</f>
        <v>80.5</v>
      </c>
      <c r="CQ6">
        <f t="shared" ref="CQ6:CQ11" si="34">AVERAGEIF(AI6:AR6,"&gt;0")</f>
        <v>102</v>
      </c>
      <c r="CR6" t="e">
        <f t="shared" ref="CR6:CR11" si="35">AVERAGEIF(AJ6:AS6,"&gt;0")</f>
        <v>#DIV/0!</v>
      </c>
      <c r="CS6" t="e">
        <f t="shared" ref="CS6:CS11" si="36">AVERAGEIF(AK6:AT6,"&gt;0")</f>
        <v>#DIV/0!</v>
      </c>
      <c r="CT6" t="e">
        <f t="shared" ref="CT6:CT11" si="37">AVERAGEIF(AL6:AU6,"&gt;0")</f>
        <v>#DIV/0!</v>
      </c>
      <c r="CU6" t="e">
        <f t="shared" ref="CU6:CU11" si="38">AVERAGEIF(AM6:AV6,"&gt;0")</f>
        <v>#DIV/0!</v>
      </c>
      <c r="CV6" t="e">
        <f t="shared" ref="CV6:CV11" si="39">AVERAGEIF(AN6:AW6,"&gt;0")</f>
        <v>#DIV/0!</v>
      </c>
      <c r="CW6" t="e">
        <f t="shared" ref="CW6:CW11" si="40">AVERAGEIF(AO6:AX6,"&gt;0")</f>
        <v>#DIV/0!</v>
      </c>
      <c r="CX6" t="e">
        <f t="shared" ref="CX6:CX11" si="41">AVERAGEIF(AP6:AY6,"&gt;0")</f>
        <v>#DIV/0!</v>
      </c>
      <c r="CY6" t="e">
        <f t="shared" ref="CY6:CY11" si="42">AVERAGEIF(AQ6:AZ6,"&gt;0")</f>
        <v>#DIV/0!</v>
      </c>
    </row>
    <row r="7" spans="1:103" s="10" customFormat="1" ht="20" customHeight="1" x14ac:dyDescent="0.2">
      <c r="A7" s="48" t="s">
        <v>18</v>
      </c>
      <c r="B7" s="83">
        <f>SUM('McKenley Hollow'!B18)</f>
        <v>1233</v>
      </c>
      <c r="C7" s="83">
        <f>SUM('McKenley Hollow'!C18)</f>
        <v>1271</v>
      </c>
      <c r="D7" s="83">
        <f>SUM('McKenley Hollow'!D18)</f>
        <v>1260</v>
      </c>
      <c r="E7" s="83">
        <f>SUM('McKenley Hollow'!E18)</f>
        <v>1582</v>
      </c>
      <c r="F7" s="83">
        <f>SUM('McKenley Hollow'!F18)</f>
        <v>1608</v>
      </c>
      <c r="G7" s="83">
        <f>SUM('McKenley Hollow'!G18)</f>
        <v>1111</v>
      </c>
      <c r="H7" s="83">
        <f>SUM('McKenley Hollow'!H18)</f>
        <v>1329</v>
      </c>
      <c r="I7" s="83">
        <f>SUM('McKenley Hollow'!I18)</f>
        <v>1310</v>
      </c>
      <c r="J7" s="54">
        <f>SUM('McKenley Hollow'!J18)</f>
        <v>1128</v>
      </c>
      <c r="K7" s="54">
        <f>SUM('McKenley Hollow'!K18)</f>
        <v>1266</v>
      </c>
      <c r="L7" s="54">
        <f>SUM('McKenley Hollow'!L18)</f>
        <v>1258</v>
      </c>
      <c r="M7" s="54">
        <f>SUM('McKenley Hollow'!M18)</f>
        <v>1285</v>
      </c>
      <c r="N7" s="54">
        <f>SUM('McKenley Hollow'!N18)</f>
        <v>1063</v>
      </c>
      <c r="O7" s="54">
        <f>SUM('McKenley Hollow'!O18)</f>
        <v>911</v>
      </c>
      <c r="P7" s="54">
        <f>SUM('McKenley Hollow'!P18)</f>
        <v>952</v>
      </c>
      <c r="Q7" s="54">
        <f>SUM('McKenley Hollow'!Q18)</f>
        <v>1249</v>
      </c>
      <c r="R7" s="54">
        <f>SUM('McKenley Hollow'!R18)</f>
        <v>849</v>
      </c>
      <c r="S7" s="54"/>
      <c r="T7" s="54"/>
      <c r="U7" s="54">
        <f>SUM('McKenley Hollow'!U18)</f>
        <v>879</v>
      </c>
      <c r="V7" s="54"/>
      <c r="W7" s="54">
        <f>SUM('McKenley Hollow'!W18)</f>
        <v>675</v>
      </c>
      <c r="X7" s="54">
        <f>SUM('McKenley Hollow'!X18)</f>
        <v>783</v>
      </c>
      <c r="Y7" s="54">
        <f>SUM('McKenley Hollow'!Y18)</f>
        <v>988</v>
      </c>
      <c r="Z7" s="54">
        <f>SUM('McKenley Hollow'!Z18)</f>
        <v>985</v>
      </c>
      <c r="AA7" s="54">
        <f>SUM('McKenley Hollow'!AA18)</f>
        <v>1166</v>
      </c>
      <c r="AB7" s="54">
        <f>SUM('McKenley Hollow'!AB18)</f>
        <v>835</v>
      </c>
      <c r="AC7" s="54">
        <f>SUM('McKenley Hollow'!AC18)</f>
        <v>907</v>
      </c>
      <c r="AD7" s="54">
        <f>SUM('McKenley Hollow'!AD18)</f>
        <v>1026</v>
      </c>
      <c r="AE7" s="54">
        <f>SUM('McKenley Hollow'!AE18)</f>
        <v>1388</v>
      </c>
      <c r="AF7" s="54">
        <f>SUM('McKenley Hollow'!AF18)</f>
        <v>1266</v>
      </c>
      <c r="AG7" s="54">
        <f>SUM('McKenley Hollow'!AG18)</f>
        <v>994</v>
      </c>
      <c r="AH7" s="54">
        <f>SUM('McKenley Hollow'!AH18)</f>
        <v>1244</v>
      </c>
      <c r="AI7" s="54">
        <f>SUM('McKenley Hollow'!AI18)</f>
        <v>30</v>
      </c>
      <c r="AJ7" s="54">
        <f>SUM('McKenley Hollow'!AJ18)</f>
        <v>0</v>
      </c>
      <c r="AK7" s="54">
        <f>SUM('McKenley Hollow'!AK18)</f>
        <v>0</v>
      </c>
      <c r="AL7" s="54">
        <f>SUM('McKenley Hollow'!AL18)</f>
        <v>0</v>
      </c>
      <c r="AM7" s="54">
        <f>SUM('McKenley Hollow'!AM18)</f>
        <v>0</v>
      </c>
      <c r="AN7" s="54">
        <f>SUM('McKenley Hollow'!AN18)</f>
        <v>0</v>
      </c>
      <c r="AO7" s="54">
        <f>SUM('McKenley Hollow'!AO18)</f>
        <v>0</v>
      </c>
      <c r="AP7" s="54">
        <f>SUM('McKenley Hollow'!AP18)</f>
        <v>0</v>
      </c>
      <c r="AQ7" s="54">
        <f>SUM('McKenley Hollow'!AQ18)</f>
        <v>0</v>
      </c>
      <c r="AR7" s="54">
        <f>SUM('McKenley Hollow'!AR18)</f>
        <v>0</v>
      </c>
      <c r="AS7" s="54">
        <f>SUM('McKenley Hollow'!AS18)</f>
        <v>0</v>
      </c>
      <c r="AT7" s="54">
        <f>SUM('McKenley Hollow'!AT18)</f>
        <v>0</v>
      </c>
      <c r="AU7" s="54">
        <f>SUM('McKenley Hollow'!AU18)</f>
        <v>0</v>
      </c>
      <c r="AV7" s="54">
        <f>SUM('McKenley Hollow'!AV18)</f>
        <v>0</v>
      </c>
      <c r="AW7" s="54">
        <f>SUM('McKenley Hollow'!AW18)</f>
        <v>0</v>
      </c>
      <c r="AX7" s="54">
        <f>SUM('McKenley Hollow'!AX18)</f>
        <v>0</v>
      </c>
      <c r="AY7" s="54">
        <f>SUM('McKenley Hollow'!AY18)</f>
        <v>0</v>
      </c>
      <c r="AZ7" s="54">
        <f>SUM('McKenley Hollow'!AZ18)</f>
        <v>0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1"/>
        <v>1309.8</v>
      </c>
      <c r="BK7">
        <f t="shared" si="2"/>
        <v>1312.3</v>
      </c>
      <c r="BL7">
        <f t="shared" si="3"/>
        <v>1313.7</v>
      </c>
      <c r="BM7">
        <f t="shared" si="4"/>
        <v>1294</v>
      </c>
      <c r="BN7">
        <f t="shared" si="5"/>
        <v>1226.9000000000001</v>
      </c>
      <c r="BO7">
        <f t="shared" si="6"/>
        <v>1161.3</v>
      </c>
      <c r="BP7">
        <f t="shared" si="7"/>
        <v>1175.0999999999999</v>
      </c>
      <c r="BQ7">
        <f t="shared" si="8"/>
        <v>1127.0999999999999</v>
      </c>
      <c r="BR7">
        <f t="shared" si="9"/>
        <v>1106.7777777777778</v>
      </c>
      <c r="BS7">
        <f t="shared" si="10"/>
        <v>1104.125</v>
      </c>
      <c r="BT7">
        <f t="shared" si="11"/>
        <v>1055.75</v>
      </c>
      <c r="BU7">
        <f t="shared" si="12"/>
        <v>1026.8571428571429</v>
      </c>
      <c r="BV7">
        <f t="shared" si="13"/>
        <v>939.71428571428567</v>
      </c>
      <c r="BW7">
        <f t="shared" si="14"/>
        <v>899.71428571428567</v>
      </c>
      <c r="BX7">
        <f t="shared" si="15"/>
        <v>910.71428571428567</v>
      </c>
      <c r="BY7">
        <f t="shared" si="16"/>
        <v>915.42857142857144</v>
      </c>
      <c r="BZ7">
        <f t="shared" si="17"/>
        <v>903.57142857142856</v>
      </c>
      <c r="CA7">
        <f t="shared" si="18"/>
        <v>901.57142857142856</v>
      </c>
      <c r="CB7">
        <f t="shared" si="19"/>
        <v>902.25</v>
      </c>
      <c r="CC7">
        <f t="shared" si="20"/>
        <v>916</v>
      </c>
      <c r="CD7">
        <f t="shared" si="21"/>
        <v>972.55555555555554</v>
      </c>
      <c r="CE7">
        <f t="shared" si="22"/>
        <v>1001.9</v>
      </c>
      <c r="CF7">
        <f t="shared" si="23"/>
        <v>1033.8</v>
      </c>
      <c r="CG7">
        <f t="shared" si="24"/>
        <v>1079.9000000000001</v>
      </c>
      <c r="CH7">
        <f t="shared" si="25"/>
        <v>984.1</v>
      </c>
      <c r="CI7">
        <f t="shared" si="26"/>
        <v>984</v>
      </c>
      <c r="CJ7">
        <f t="shared" si="27"/>
        <v>961.25</v>
      </c>
      <c r="CK7">
        <f t="shared" si="28"/>
        <v>979.28571428571433</v>
      </c>
      <c r="CL7">
        <f t="shared" si="29"/>
        <v>991.33333333333337</v>
      </c>
      <c r="CM7">
        <f t="shared" si="30"/>
        <v>984.4</v>
      </c>
      <c r="CN7">
        <f t="shared" si="31"/>
        <v>883.5</v>
      </c>
      <c r="CO7">
        <f t="shared" si="32"/>
        <v>756</v>
      </c>
      <c r="CP7">
        <f t="shared" si="33"/>
        <v>637</v>
      </c>
      <c r="CQ7">
        <f t="shared" si="34"/>
        <v>30</v>
      </c>
      <c r="CR7" t="e">
        <f t="shared" si="35"/>
        <v>#DIV/0!</v>
      </c>
      <c r="CS7" t="e">
        <f t="shared" si="36"/>
        <v>#DIV/0!</v>
      </c>
      <c r="CT7" t="e">
        <f t="shared" si="37"/>
        <v>#DIV/0!</v>
      </c>
      <c r="CU7" t="e">
        <f t="shared" si="38"/>
        <v>#DIV/0!</v>
      </c>
      <c r="CV7" t="e">
        <f t="shared" si="39"/>
        <v>#DIV/0!</v>
      </c>
      <c r="CW7" t="e">
        <f t="shared" si="40"/>
        <v>#DIV/0!</v>
      </c>
      <c r="CX7" t="e">
        <f t="shared" si="41"/>
        <v>#DIV/0!</v>
      </c>
      <c r="CY7" t="e">
        <f t="shared" si="42"/>
        <v>#DIV/0!</v>
      </c>
    </row>
    <row r="8" spans="1:103" ht="20" customHeight="1" x14ac:dyDescent="0.2">
      <c r="A8" s="49" t="s">
        <v>118</v>
      </c>
      <c r="B8" s="82">
        <f>SUM('Mongaup Pond'!B18)</f>
        <v>227</v>
      </c>
      <c r="C8" s="82">
        <f>SUM('Mongaup Pond'!C18)</f>
        <v>227</v>
      </c>
      <c r="D8" s="82">
        <f>SUM('Mongaup Pond'!D18)</f>
        <v>305</v>
      </c>
      <c r="E8" s="82">
        <f>SUM('Mongaup Pond'!E18)</f>
        <v>214</v>
      </c>
      <c r="F8" s="82">
        <f>SUM('Mongaup Pond'!F18)</f>
        <v>200</v>
      </c>
      <c r="G8" s="82">
        <f>SUM('Mongaup Pond'!G18)</f>
        <v>256</v>
      </c>
      <c r="H8" s="82">
        <f>SUM('Mongaup Pond'!H18)</f>
        <v>405</v>
      </c>
      <c r="I8" s="82">
        <f>SUM('Mongaup Pond'!I18)</f>
        <v>356</v>
      </c>
      <c r="J8" s="52">
        <f>SUM('Mongaup Pond'!J18)</f>
        <v>457</v>
      </c>
      <c r="K8" s="52">
        <f>SUM('Mongaup Pond'!K18)</f>
        <v>463</v>
      </c>
      <c r="L8" s="52">
        <f>SUM('Mongaup Pond'!L18)</f>
        <v>450</v>
      </c>
      <c r="M8" s="52">
        <f>SUM('Mongaup Pond'!M18)</f>
        <v>449</v>
      </c>
      <c r="N8" s="52">
        <f>SUM('Mongaup Pond'!N18)</f>
        <v>431</v>
      </c>
      <c r="O8" s="52">
        <f>SUM('Mongaup Pond'!O18)</f>
        <v>377</v>
      </c>
      <c r="P8" s="52">
        <f>SUM('Mongaup Pond'!P18)</f>
        <v>272</v>
      </c>
      <c r="Q8" s="52">
        <f>SUM('Mongaup Pond'!Q18)</f>
        <v>252</v>
      </c>
      <c r="R8" s="52">
        <f>SUM('Mongaup Pond'!R18)</f>
        <v>266</v>
      </c>
      <c r="S8" s="52"/>
      <c r="T8" s="52"/>
      <c r="U8" s="52">
        <f>SUM('Mongaup Pond'!U18)</f>
        <v>7937</v>
      </c>
      <c r="V8" s="52"/>
      <c r="W8" s="52">
        <f>SUM('Mongaup Pond'!W18)</f>
        <v>170</v>
      </c>
      <c r="X8" s="52">
        <f>SUM('Mongaup Pond'!X18)</f>
        <v>233</v>
      </c>
      <c r="Y8" s="52">
        <f>SUM('Mongaup Pond'!Y18)</f>
        <v>197</v>
      </c>
      <c r="Z8" s="52">
        <f>SUM('Mongaup Pond'!Z18)</f>
        <v>277</v>
      </c>
      <c r="AA8" s="52">
        <f>SUM('Mongaup Pond'!AA18)</f>
        <v>201</v>
      </c>
      <c r="AB8" s="52">
        <f>SUM('Mongaup Pond'!AB18)</f>
        <v>223</v>
      </c>
      <c r="AC8" s="52">
        <f>SUM('Mongaup Pond'!AC18)</f>
        <v>232</v>
      </c>
      <c r="AD8" s="52">
        <f>SUM('Mongaup Pond'!AD18)</f>
        <v>172</v>
      </c>
      <c r="AE8" s="52">
        <f>SUM('Mongaup Pond'!AE18)</f>
        <v>225</v>
      </c>
      <c r="AF8" s="52">
        <f>SUM('Mongaup Pond'!AF18)</f>
        <v>145</v>
      </c>
      <c r="AG8" s="52">
        <f>SUM('Mongaup Pond'!AG18)</f>
        <v>0</v>
      </c>
      <c r="AH8" s="52">
        <f>SUM('Mongaup Pond'!AH18)</f>
        <v>0</v>
      </c>
      <c r="AI8" s="52">
        <f>SUM('Mongaup Pond'!AI18)</f>
        <v>0</v>
      </c>
      <c r="AJ8" s="52">
        <f>SUM('Mongaup Pond'!AJ18)</f>
        <v>0</v>
      </c>
      <c r="AK8" s="52">
        <f>SUM('Mongaup Pond'!AK18)</f>
        <v>0</v>
      </c>
      <c r="AL8" s="52">
        <f>SUM('Mongaup Pond'!AL18)</f>
        <v>0</v>
      </c>
      <c r="AM8" s="52">
        <f>SUM('Mongaup Pond'!AM18)</f>
        <v>0</v>
      </c>
      <c r="AN8" s="52">
        <f>SUM('Mongaup Pond'!AN18)</f>
        <v>0</v>
      </c>
      <c r="AO8" s="52">
        <f>SUM('Mongaup Pond'!AO18)</f>
        <v>0</v>
      </c>
      <c r="AP8" s="52">
        <f>SUM('Mongaup Pond'!AP18)</f>
        <v>0</v>
      </c>
      <c r="AQ8" s="52">
        <f>SUM('Mongaup Pond'!AQ18)</f>
        <v>0</v>
      </c>
      <c r="AR8" s="52">
        <f>SUM('Mongaup Pond'!AR18)</f>
        <v>0</v>
      </c>
      <c r="AS8" s="52">
        <f>SUM('Mongaup Pond'!AS18)</f>
        <v>0</v>
      </c>
      <c r="AT8" s="52">
        <f>SUM('Mongaup Pond'!AT18)</f>
        <v>0</v>
      </c>
      <c r="AU8" s="52">
        <f>SUM('Mongaup Pond'!AU18)</f>
        <v>0</v>
      </c>
      <c r="AV8" s="52">
        <f>SUM('Mongaup Pond'!AV18)</f>
        <v>0</v>
      </c>
      <c r="AW8" s="52">
        <f>SUM('Mongaup Pond'!AW18)</f>
        <v>0</v>
      </c>
      <c r="AX8" s="52">
        <f>SUM('Mongaup Pond'!AX18)</f>
        <v>0</v>
      </c>
      <c r="AY8" s="52">
        <f>SUM('Mongaup Pond'!AY18)</f>
        <v>0</v>
      </c>
      <c r="AZ8" s="52">
        <f>SUM('Mongaup Pond'!AZ18)</f>
        <v>0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1"/>
        <v>311</v>
      </c>
      <c r="BK8">
        <f t="shared" si="2"/>
        <v>333.3</v>
      </c>
      <c r="BL8">
        <f t="shared" si="3"/>
        <v>355.5</v>
      </c>
      <c r="BM8">
        <f t="shared" si="4"/>
        <v>368.1</v>
      </c>
      <c r="BN8">
        <f t="shared" si="5"/>
        <v>384.4</v>
      </c>
      <c r="BO8">
        <f t="shared" si="6"/>
        <v>391.6</v>
      </c>
      <c r="BP8">
        <f t="shared" si="7"/>
        <v>391.2</v>
      </c>
      <c r="BQ8">
        <f t="shared" si="8"/>
        <v>377.3</v>
      </c>
      <c r="BR8">
        <f t="shared" si="9"/>
        <v>379.66666666666669</v>
      </c>
      <c r="BS8">
        <f t="shared" si="10"/>
        <v>370</v>
      </c>
      <c r="BT8">
        <f t="shared" si="11"/>
        <v>1304.25</v>
      </c>
      <c r="BU8">
        <f t="shared" si="12"/>
        <v>1426.2857142857142</v>
      </c>
      <c r="BV8">
        <f t="shared" si="13"/>
        <v>1386.4285714285713</v>
      </c>
      <c r="BW8">
        <f t="shared" si="14"/>
        <v>1358.1428571428571</v>
      </c>
      <c r="BX8">
        <f t="shared" si="15"/>
        <v>1332.4285714285713</v>
      </c>
      <c r="BY8">
        <f t="shared" si="16"/>
        <v>1333.1428571428571</v>
      </c>
      <c r="BZ8">
        <f t="shared" si="17"/>
        <v>1325.8571428571429</v>
      </c>
      <c r="CA8">
        <f t="shared" si="18"/>
        <v>1319.7142857142858</v>
      </c>
      <c r="CB8">
        <f t="shared" si="19"/>
        <v>1183.75</v>
      </c>
      <c r="CC8">
        <f t="shared" si="20"/>
        <v>1071.3333333333333</v>
      </c>
      <c r="CD8">
        <f t="shared" si="21"/>
        <v>214.44444444444446</v>
      </c>
      <c r="CE8">
        <f t="shared" si="22"/>
        <v>207.5</v>
      </c>
      <c r="CF8">
        <f t="shared" si="23"/>
        <v>211.66666666666666</v>
      </c>
      <c r="CG8">
        <f t="shared" si="24"/>
        <v>209</v>
      </c>
      <c r="CH8">
        <f t="shared" si="25"/>
        <v>210.71428571428572</v>
      </c>
      <c r="CI8">
        <f t="shared" si="26"/>
        <v>199.66666666666666</v>
      </c>
      <c r="CJ8">
        <f t="shared" si="27"/>
        <v>199.4</v>
      </c>
      <c r="CK8">
        <f t="shared" si="28"/>
        <v>193.5</v>
      </c>
      <c r="CL8">
        <f t="shared" si="29"/>
        <v>180.66666666666666</v>
      </c>
      <c r="CM8">
        <f t="shared" si="30"/>
        <v>185</v>
      </c>
      <c r="CN8">
        <f t="shared" si="31"/>
        <v>145</v>
      </c>
      <c r="CO8" t="e">
        <f t="shared" si="32"/>
        <v>#DIV/0!</v>
      </c>
      <c r="CP8" t="e">
        <f t="shared" si="33"/>
        <v>#DIV/0!</v>
      </c>
      <c r="CQ8" t="e">
        <f t="shared" si="34"/>
        <v>#DIV/0!</v>
      </c>
      <c r="CR8" t="e">
        <f t="shared" si="35"/>
        <v>#DIV/0!</v>
      </c>
      <c r="CS8" t="e">
        <f t="shared" si="36"/>
        <v>#DIV/0!</v>
      </c>
      <c r="CT8" t="e">
        <f t="shared" si="37"/>
        <v>#DIV/0!</v>
      </c>
      <c r="CU8" t="e">
        <f t="shared" si="38"/>
        <v>#DIV/0!</v>
      </c>
      <c r="CV8" t="e">
        <f t="shared" si="39"/>
        <v>#DIV/0!</v>
      </c>
      <c r="CW8" t="e">
        <f t="shared" si="40"/>
        <v>#DIV/0!</v>
      </c>
      <c r="CX8" t="e">
        <f t="shared" si="41"/>
        <v>#DIV/0!</v>
      </c>
      <c r="CY8" t="e">
        <f t="shared" si="42"/>
        <v>#DIV/0!</v>
      </c>
    </row>
    <row r="9" spans="1:103" s="10" customFormat="1" ht="20" customHeight="1" x14ac:dyDescent="0.2">
      <c r="A9" s="48" t="s">
        <v>19</v>
      </c>
      <c r="B9" s="83">
        <f>SUM('Rider Hollow'!B18)</f>
        <v>512</v>
      </c>
      <c r="C9" s="83">
        <f>SUM('Rider Hollow'!C18)</f>
        <v>524</v>
      </c>
      <c r="D9" s="83">
        <f>SUM('Rider Hollow'!D18)</f>
        <v>574</v>
      </c>
      <c r="E9" s="83">
        <f>SUM('Rider Hollow'!E18)</f>
        <v>687</v>
      </c>
      <c r="F9" s="83">
        <f>SUM('Rider Hollow'!F18)</f>
        <v>862</v>
      </c>
      <c r="G9" s="83">
        <f>SUM('Rider Hollow'!G18)</f>
        <v>755</v>
      </c>
      <c r="H9" s="83">
        <f>SUM('Rider Hollow'!H18)</f>
        <v>885</v>
      </c>
      <c r="I9" s="83">
        <f>SUM('Rider Hollow'!I18)</f>
        <v>837</v>
      </c>
      <c r="J9" s="54">
        <f>SUM('Rider Hollow'!J18)</f>
        <v>898</v>
      </c>
      <c r="K9" s="54">
        <f>SUM('Rider Hollow'!K18)</f>
        <v>754</v>
      </c>
      <c r="L9" s="54">
        <f>SUM('Rider Hollow'!L18)</f>
        <v>865</v>
      </c>
      <c r="M9" s="54">
        <f>SUM('Rider Hollow'!M18)</f>
        <v>939</v>
      </c>
      <c r="N9" s="54">
        <f>SUM('Rider Hollow'!N18)</f>
        <v>869</v>
      </c>
      <c r="O9" s="54">
        <f>SUM('Rider Hollow'!O18)</f>
        <v>903</v>
      </c>
      <c r="P9" s="54">
        <f>SUM('Rider Hollow'!P18)</f>
        <v>946</v>
      </c>
      <c r="Q9" s="54">
        <f>SUM('Rider Hollow'!Q18)</f>
        <v>987</v>
      </c>
      <c r="R9" s="54">
        <f>SUM('Rider Hollow'!R18)</f>
        <v>1092</v>
      </c>
      <c r="S9" s="54"/>
      <c r="T9" s="54"/>
      <c r="U9" s="54"/>
      <c r="V9" s="54"/>
      <c r="W9" s="54">
        <f>SUM('Rider Hollow'!W18)</f>
        <v>1244</v>
      </c>
      <c r="X9" s="54">
        <f>SUM('Rider Hollow'!X18)</f>
        <v>1092</v>
      </c>
      <c r="Y9" s="54">
        <f>SUM('Rider Hollow'!Y18)</f>
        <v>1469</v>
      </c>
      <c r="Z9" s="54">
        <f>SUM('Rider Hollow'!Z18)</f>
        <v>1491</v>
      </c>
      <c r="AA9" s="54">
        <f>SUM('Rider Hollow'!AA18)</f>
        <v>1884</v>
      </c>
      <c r="AB9" s="54">
        <f>SUM('Rider Hollow'!AB18)</f>
        <v>1317</v>
      </c>
      <c r="AC9" s="54">
        <f>SUM('Rider Hollow'!AC18)</f>
        <v>1497</v>
      </c>
      <c r="AD9" s="54">
        <f>SUM('Rider Hollow'!AD18)</f>
        <v>2040</v>
      </c>
      <c r="AE9" s="54">
        <f>SUM('Rider Hollow'!AE18)</f>
        <v>3101</v>
      </c>
      <c r="AF9" s="54">
        <f>SUM('Rider Hollow'!AF18)</f>
        <v>2573</v>
      </c>
      <c r="AG9" s="54">
        <f>SUM('Rider Hollow'!AG18)</f>
        <v>2022</v>
      </c>
      <c r="AH9" s="54">
        <f>SUM('Rider Hollow'!AH18)</f>
        <v>1807</v>
      </c>
      <c r="AI9" s="54">
        <f>SUM('Rider Hollow'!AI18)</f>
        <v>1136</v>
      </c>
      <c r="AJ9" s="54">
        <f>SUM('Rider Hollow'!AJ18)</f>
        <v>0</v>
      </c>
      <c r="AK9" s="54">
        <f>SUM('Rider Hollow'!AK18)</f>
        <v>0</v>
      </c>
      <c r="AL9" s="54">
        <f>SUM('Rider Hollow'!AL18)</f>
        <v>0</v>
      </c>
      <c r="AM9" s="54">
        <f>SUM('Rider Hollow'!AM18)</f>
        <v>0</v>
      </c>
      <c r="AN9" s="54">
        <f>SUM('Rider Hollow'!AN18)</f>
        <v>0</v>
      </c>
      <c r="AO9" s="54">
        <f>SUM('Rider Hollow'!AO18)</f>
        <v>0</v>
      </c>
      <c r="AP9" s="54">
        <f>SUM('Rider Hollow'!AP18)</f>
        <v>0</v>
      </c>
      <c r="AQ9" s="54">
        <f>SUM('Rider Hollow'!AQ18)</f>
        <v>0</v>
      </c>
      <c r="AR9" s="54">
        <f>SUM('Rider Hollow'!AR18)</f>
        <v>0</v>
      </c>
      <c r="AS9" s="54">
        <f>SUM('Rider Hollow'!AS18)</f>
        <v>0</v>
      </c>
      <c r="AT9" s="54">
        <f>SUM('Rider Hollow'!AT18)</f>
        <v>0</v>
      </c>
      <c r="AU9" s="54">
        <f>SUM('Rider Hollow'!AU18)</f>
        <v>0</v>
      </c>
      <c r="AV9" s="54">
        <f>SUM('Rider Hollow'!AV18)</f>
        <v>0</v>
      </c>
      <c r="AW9" s="54">
        <f>SUM('Rider Hollow'!AW18)</f>
        <v>0</v>
      </c>
      <c r="AX9" s="54">
        <f>SUM('Rider Hollow'!AX18)</f>
        <v>0</v>
      </c>
      <c r="AY9" s="54">
        <f>SUM('Rider Hollow'!AY18)</f>
        <v>0</v>
      </c>
      <c r="AZ9" s="54">
        <f>SUM('Rider Hollow'!AZ18)</f>
        <v>0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1"/>
        <v>728.8</v>
      </c>
      <c r="BK9">
        <f t="shared" si="2"/>
        <v>764.1</v>
      </c>
      <c r="BL9">
        <f t="shared" si="3"/>
        <v>805.6</v>
      </c>
      <c r="BM9">
        <f t="shared" si="4"/>
        <v>835.1</v>
      </c>
      <c r="BN9">
        <f t="shared" si="5"/>
        <v>856.7</v>
      </c>
      <c r="BO9">
        <f t="shared" si="6"/>
        <v>865.1</v>
      </c>
      <c r="BP9">
        <f t="shared" si="7"/>
        <v>888.3</v>
      </c>
      <c r="BQ9">
        <f t="shared" si="8"/>
        <v>909</v>
      </c>
      <c r="BR9">
        <f t="shared" si="9"/>
        <v>917</v>
      </c>
      <c r="BS9">
        <f t="shared" si="10"/>
        <v>919.375</v>
      </c>
      <c r="BT9">
        <f t="shared" si="11"/>
        <v>943</v>
      </c>
      <c r="BU9">
        <f t="shared" si="12"/>
        <v>956</v>
      </c>
      <c r="BV9">
        <f t="shared" si="13"/>
        <v>1006.8333333333334</v>
      </c>
      <c r="BW9">
        <f t="shared" si="14"/>
        <v>1044</v>
      </c>
      <c r="BX9">
        <f t="shared" si="15"/>
        <v>1138.3333333333333</v>
      </c>
      <c r="BY9">
        <f t="shared" si="16"/>
        <v>1229.1666666666667</v>
      </c>
      <c r="BZ9">
        <f t="shared" si="17"/>
        <v>1378.6666666666667</v>
      </c>
      <c r="CA9">
        <f t="shared" si="18"/>
        <v>1416.1666666666667</v>
      </c>
      <c r="CB9">
        <f t="shared" si="19"/>
        <v>1427.7142857142858</v>
      </c>
      <c r="CC9">
        <f t="shared" si="20"/>
        <v>1504.25</v>
      </c>
      <c r="CD9">
        <f t="shared" si="21"/>
        <v>1681.6666666666667</v>
      </c>
      <c r="CE9">
        <f t="shared" si="22"/>
        <v>1770.8</v>
      </c>
      <c r="CF9">
        <f t="shared" si="23"/>
        <v>1848.6</v>
      </c>
      <c r="CG9">
        <f t="shared" si="24"/>
        <v>1920.1</v>
      </c>
      <c r="CH9">
        <f t="shared" si="25"/>
        <v>1886.8</v>
      </c>
      <c r="CI9">
        <f t="shared" si="26"/>
        <v>1930.7777777777778</v>
      </c>
      <c r="CJ9">
        <f t="shared" si="27"/>
        <v>1936.625</v>
      </c>
      <c r="CK9">
        <f t="shared" si="28"/>
        <v>2025.1428571428571</v>
      </c>
      <c r="CL9">
        <f t="shared" si="29"/>
        <v>2113.1666666666665</v>
      </c>
      <c r="CM9">
        <f t="shared" si="30"/>
        <v>2127.8000000000002</v>
      </c>
      <c r="CN9">
        <f t="shared" si="31"/>
        <v>1884.5</v>
      </c>
      <c r="CO9">
        <f t="shared" si="32"/>
        <v>1655</v>
      </c>
      <c r="CP9">
        <f t="shared" si="33"/>
        <v>1471.5</v>
      </c>
      <c r="CQ9">
        <f t="shared" si="34"/>
        <v>1136</v>
      </c>
      <c r="CR9" t="e">
        <f t="shared" si="35"/>
        <v>#DIV/0!</v>
      </c>
      <c r="CS9" t="e">
        <f t="shared" si="36"/>
        <v>#DIV/0!</v>
      </c>
      <c r="CT9" t="e">
        <f t="shared" si="37"/>
        <v>#DIV/0!</v>
      </c>
      <c r="CU9" t="e">
        <f t="shared" si="38"/>
        <v>#DIV/0!</v>
      </c>
      <c r="CV9" t="e">
        <f t="shared" si="39"/>
        <v>#DIV/0!</v>
      </c>
      <c r="CW9" t="e">
        <f t="shared" si="40"/>
        <v>#DIV/0!</v>
      </c>
      <c r="CX9" t="e">
        <f t="shared" si="41"/>
        <v>#DIV/0!</v>
      </c>
      <c r="CY9" t="e">
        <f t="shared" si="42"/>
        <v>#DIV/0!</v>
      </c>
    </row>
    <row r="10" spans="1:103" ht="20" customHeight="1" x14ac:dyDescent="0.2">
      <c r="A10" s="49" t="s">
        <v>20</v>
      </c>
      <c r="B10" s="82">
        <f>SUM(Seager!B18)</f>
        <v>171</v>
      </c>
      <c r="C10" s="82">
        <f>SUM(Seager!C18)</f>
        <v>158</v>
      </c>
      <c r="D10" s="82">
        <f>SUM(Seager!D18)</f>
        <v>188</v>
      </c>
      <c r="E10" s="82">
        <f>SUM(Seager!E18)</f>
        <v>235</v>
      </c>
      <c r="F10" s="82">
        <f>SUM(Seager!F18)</f>
        <v>293</v>
      </c>
      <c r="G10" s="82">
        <f>SUM(Seager!G18)</f>
        <v>401</v>
      </c>
      <c r="H10" s="82">
        <f>SUM(Seager!H18)</f>
        <v>790</v>
      </c>
      <c r="I10" s="82">
        <f>SUM(Seager!I18)</f>
        <v>831</v>
      </c>
      <c r="J10" s="52">
        <f>SUM(Seager!J18)</f>
        <v>787</v>
      </c>
      <c r="K10" s="52">
        <f>SUM(Seager!K18)</f>
        <v>782</v>
      </c>
      <c r="L10" s="52">
        <f>SUM(Seager!L18)</f>
        <v>815</v>
      </c>
      <c r="M10" s="52">
        <f>SUM(Seager!M18)</f>
        <v>706</v>
      </c>
      <c r="N10" s="52">
        <f>SUM(Seager!N18)</f>
        <v>889</v>
      </c>
      <c r="O10" s="52">
        <f>SUM(Seager!O18)</f>
        <v>856</v>
      </c>
      <c r="P10" s="52">
        <f>SUM(Seager!P18)</f>
        <v>976</v>
      </c>
      <c r="Q10" s="52">
        <f>SUM(Seager!Q18)</f>
        <v>1101</v>
      </c>
      <c r="R10" s="52">
        <f>SUM(Seager!R18)</f>
        <v>994</v>
      </c>
      <c r="S10" s="52"/>
      <c r="T10" s="52"/>
      <c r="U10" s="52"/>
      <c r="V10" s="52"/>
      <c r="W10" s="52">
        <f>SUM(Seager!W18)</f>
        <v>1203</v>
      </c>
      <c r="X10" s="52">
        <f>SUM(Seager!X18)</f>
        <v>1217</v>
      </c>
      <c r="Y10" s="52">
        <f>SUM(Seager!Y18)</f>
        <v>1216</v>
      </c>
      <c r="Z10" s="52">
        <f>SUM(Seager!Z18)</f>
        <v>1321</v>
      </c>
      <c r="AA10" s="52">
        <f>SUM(Seager!AA18)</f>
        <v>1666</v>
      </c>
      <c r="AB10" s="52">
        <f>SUM(Seager!AB18)</f>
        <v>1580</v>
      </c>
      <c r="AC10" s="52">
        <f>SUM(Seager!AC18)</f>
        <v>1333</v>
      </c>
      <c r="AD10" s="52">
        <f>SUM(Seager!AD18)</f>
        <v>1446</v>
      </c>
      <c r="AE10" s="52">
        <f>SUM(Seager!AE18)</f>
        <v>1293</v>
      </c>
      <c r="AF10" s="52">
        <f>SUM(Seager!AF18)</f>
        <v>814</v>
      </c>
      <c r="AG10" s="52">
        <f>SUM(Seager!AG18)</f>
        <v>628</v>
      </c>
      <c r="AH10" s="52">
        <f>SUM(Seager!AH18)</f>
        <v>604</v>
      </c>
      <c r="AI10" s="52">
        <f>SUM(Seager!AI18)</f>
        <v>377</v>
      </c>
      <c r="AJ10" s="52">
        <f>SUM(Seager!AJ18)</f>
        <v>0</v>
      </c>
      <c r="AK10" s="52">
        <f>SUM(Seager!AK18)</f>
        <v>0</v>
      </c>
      <c r="AL10" s="52">
        <f>SUM(Seager!AL18)</f>
        <v>0</v>
      </c>
      <c r="AM10" s="52">
        <f>SUM(Seager!AM18)</f>
        <v>0</v>
      </c>
      <c r="AN10" s="52">
        <f>SUM(Seager!AN18)</f>
        <v>0</v>
      </c>
      <c r="AO10" s="52">
        <f>SUM(Seager!AO18)</f>
        <v>0</v>
      </c>
      <c r="AP10" s="52">
        <f>SUM(Seager!AP18)</f>
        <v>0</v>
      </c>
      <c r="AQ10" s="52">
        <f>SUM(Seager!AQ18)</f>
        <v>0</v>
      </c>
      <c r="AR10" s="52">
        <f>SUM(Seager!AR18)</f>
        <v>0</v>
      </c>
      <c r="AS10" s="52">
        <f>SUM(Seager!AS18)</f>
        <v>0</v>
      </c>
      <c r="AT10" s="52">
        <f>SUM(Seager!AT18)</f>
        <v>0</v>
      </c>
      <c r="AU10" s="52">
        <f>SUM(Seager!AU18)</f>
        <v>0</v>
      </c>
      <c r="AV10" s="52">
        <f>SUM(Seager!AV18)</f>
        <v>0</v>
      </c>
      <c r="AW10" s="52">
        <f>SUM(Seager!AW18)</f>
        <v>0</v>
      </c>
      <c r="AX10" s="52">
        <f>SUM(Seager!AX18)</f>
        <v>0</v>
      </c>
      <c r="AY10" s="52">
        <f>SUM(Seager!AY18)</f>
        <v>0</v>
      </c>
      <c r="AZ10" s="52">
        <f>SUM(Seager!AZ18)</f>
        <v>0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1"/>
        <v>463.6</v>
      </c>
      <c r="BK10">
        <f t="shared" si="2"/>
        <v>528</v>
      </c>
      <c r="BL10">
        <f t="shared" si="3"/>
        <v>582.79999999999995</v>
      </c>
      <c r="BM10">
        <f t="shared" si="4"/>
        <v>652.9</v>
      </c>
      <c r="BN10">
        <f t="shared" si="5"/>
        <v>715</v>
      </c>
      <c r="BO10">
        <f t="shared" si="6"/>
        <v>783.3</v>
      </c>
      <c r="BP10">
        <f t="shared" si="7"/>
        <v>853.3</v>
      </c>
      <c r="BQ10">
        <f t="shared" si="8"/>
        <v>873.7</v>
      </c>
      <c r="BR10">
        <f t="shared" si="9"/>
        <v>878.44444444444446</v>
      </c>
      <c r="BS10">
        <f t="shared" si="10"/>
        <v>889.875</v>
      </c>
      <c r="BT10">
        <f t="shared" si="11"/>
        <v>905.28571428571433</v>
      </c>
      <c r="BU10">
        <f t="shared" si="12"/>
        <v>920.33333333333337</v>
      </c>
      <c r="BV10">
        <f t="shared" si="13"/>
        <v>1003.1666666666666</v>
      </c>
      <c r="BW10">
        <f t="shared" si="14"/>
        <v>1057.8333333333333</v>
      </c>
      <c r="BX10">
        <f t="shared" si="15"/>
        <v>1117.8333333333333</v>
      </c>
      <c r="BY10">
        <f t="shared" si="16"/>
        <v>1175.3333333333333</v>
      </c>
      <c r="BZ10">
        <f t="shared" si="17"/>
        <v>1269.5</v>
      </c>
      <c r="CA10">
        <f t="shared" si="18"/>
        <v>1367.1666666666667</v>
      </c>
      <c r="CB10">
        <f t="shared" si="19"/>
        <v>1362.2857142857142</v>
      </c>
      <c r="CC10">
        <f t="shared" si="20"/>
        <v>1372.75</v>
      </c>
      <c r="CD10">
        <f t="shared" si="21"/>
        <v>1363.8888888888889</v>
      </c>
      <c r="CE10">
        <f t="shared" si="22"/>
        <v>1308.9000000000001</v>
      </c>
      <c r="CF10">
        <f t="shared" si="23"/>
        <v>1251.4000000000001</v>
      </c>
      <c r="CG10">
        <f t="shared" si="24"/>
        <v>1190.0999999999999</v>
      </c>
      <c r="CH10">
        <f t="shared" si="25"/>
        <v>1106.2</v>
      </c>
      <c r="CI10">
        <f t="shared" si="26"/>
        <v>1082.3333333333333</v>
      </c>
      <c r="CJ10">
        <f t="shared" si="27"/>
        <v>1009.375</v>
      </c>
      <c r="CK10">
        <f t="shared" si="28"/>
        <v>927.85714285714289</v>
      </c>
      <c r="CL10">
        <f t="shared" si="29"/>
        <v>860.33333333333337</v>
      </c>
      <c r="CM10">
        <f t="shared" si="30"/>
        <v>743.2</v>
      </c>
      <c r="CN10">
        <f t="shared" si="31"/>
        <v>605.75</v>
      </c>
      <c r="CO10">
        <f t="shared" si="32"/>
        <v>536.33333333333337</v>
      </c>
      <c r="CP10">
        <f t="shared" si="33"/>
        <v>490.5</v>
      </c>
      <c r="CQ10">
        <f t="shared" si="34"/>
        <v>377</v>
      </c>
      <c r="CR10" t="e">
        <f t="shared" si="35"/>
        <v>#DIV/0!</v>
      </c>
      <c r="CS10" t="e">
        <f t="shared" si="36"/>
        <v>#DIV/0!</v>
      </c>
      <c r="CT10" t="e">
        <f t="shared" si="37"/>
        <v>#DIV/0!</v>
      </c>
      <c r="CU10" t="e">
        <f t="shared" si="38"/>
        <v>#DIV/0!</v>
      </c>
      <c r="CV10" t="e">
        <f t="shared" si="39"/>
        <v>#DIV/0!</v>
      </c>
      <c r="CW10" t="e">
        <f t="shared" si="40"/>
        <v>#DIV/0!</v>
      </c>
      <c r="CX10" t="e">
        <f t="shared" si="41"/>
        <v>#DIV/0!</v>
      </c>
      <c r="CY10" t="e">
        <f t="shared" si="42"/>
        <v>#DIV/0!</v>
      </c>
    </row>
    <row r="11" spans="1:103" s="35" customFormat="1" ht="20" customHeight="1" x14ac:dyDescent="0.2">
      <c r="A11" s="70" t="s">
        <v>68</v>
      </c>
      <c r="B11" s="84">
        <f>SUM(B5:B10)</f>
        <v>3207</v>
      </c>
      <c r="C11" s="84">
        <f t="shared" ref="C11:Z11" si="43">SUM(C5:C10)</f>
        <v>3215</v>
      </c>
      <c r="D11" s="84">
        <f t="shared" si="43"/>
        <v>3465</v>
      </c>
      <c r="E11" s="84">
        <f t="shared" si="43"/>
        <v>3775</v>
      </c>
      <c r="F11" s="84">
        <f t="shared" si="43"/>
        <v>4028</v>
      </c>
      <c r="G11" s="84">
        <f t="shared" si="43"/>
        <v>3558</v>
      </c>
      <c r="H11" s="84">
        <f t="shared" si="43"/>
        <v>4316</v>
      </c>
      <c r="I11" s="84">
        <f t="shared" si="43"/>
        <v>4503</v>
      </c>
      <c r="J11" s="58">
        <f t="shared" si="43"/>
        <v>4665</v>
      </c>
      <c r="K11" s="58">
        <f t="shared" si="43"/>
        <v>4281</v>
      </c>
      <c r="L11" s="58">
        <f t="shared" si="43"/>
        <v>4300</v>
      </c>
      <c r="M11" s="58">
        <f t="shared" si="43"/>
        <v>4482</v>
      </c>
      <c r="N11" s="58">
        <f t="shared" si="43"/>
        <v>4105</v>
      </c>
      <c r="O11" s="58">
        <f t="shared" si="43"/>
        <v>3981</v>
      </c>
      <c r="P11" s="58">
        <f t="shared" si="43"/>
        <v>4012</v>
      </c>
      <c r="Q11" s="58">
        <f t="shared" si="43"/>
        <v>4470</v>
      </c>
      <c r="R11" s="58">
        <f t="shared" si="43"/>
        <v>4054</v>
      </c>
      <c r="S11" s="58"/>
      <c r="T11" s="58"/>
      <c r="U11" s="58">
        <f t="shared" si="43"/>
        <v>9454</v>
      </c>
      <c r="V11" s="58"/>
      <c r="W11" s="58">
        <f t="shared" si="43"/>
        <v>4220</v>
      </c>
      <c r="X11" s="58">
        <f t="shared" si="43"/>
        <v>4215</v>
      </c>
      <c r="Y11" s="58">
        <f t="shared" si="43"/>
        <v>4893</v>
      </c>
      <c r="Z11" s="58">
        <f t="shared" si="43"/>
        <v>5252</v>
      </c>
      <c r="AA11" s="58">
        <f t="shared" ref="AA11" si="44">SUM(AA5:AA10)</f>
        <v>6345</v>
      </c>
      <c r="AB11" s="58">
        <f t="shared" ref="AB11:AZ11" si="45">SUM(AB5:AB10)</f>
        <v>5100</v>
      </c>
      <c r="AC11" s="58">
        <f t="shared" si="45"/>
        <v>5101</v>
      </c>
      <c r="AD11" s="58">
        <f t="shared" si="45"/>
        <v>6002</v>
      </c>
      <c r="AE11" s="58">
        <f t="shared" si="45"/>
        <v>8018</v>
      </c>
      <c r="AF11" s="58">
        <f t="shared" si="45"/>
        <v>6511</v>
      </c>
      <c r="AG11" s="58">
        <f t="shared" si="45"/>
        <v>5068</v>
      </c>
      <c r="AH11" s="58">
        <f t="shared" si="45"/>
        <v>4482</v>
      </c>
      <c r="AI11" s="58">
        <f t="shared" si="45"/>
        <v>1645</v>
      </c>
      <c r="AJ11" s="58">
        <f t="shared" si="45"/>
        <v>0</v>
      </c>
      <c r="AK11" s="58">
        <f t="shared" si="45"/>
        <v>0</v>
      </c>
      <c r="AL11" s="58">
        <f t="shared" si="45"/>
        <v>0</v>
      </c>
      <c r="AM11" s="58">
        <f t="shared" si="45"/>
        <v>0</v>
      </c>
      <c r="AN11" s="58">
        <f t="shared" si="45"/>
        <v>0</v>
      </c>
      <c r="AO11" s="58">
        <f t="shared" si="45"/>
        <v>0</v>
      </c>
      <c r="AP11" s="58">
        <f t="shared" si="45"/>
        <v>0</v>
      </c>
      <c r="AQ11" s="58">
        <f t="shared" si="45"/>
        <v>0</v>
      </c>
      <c r="AR11" s="58">
        <f t="shared" si="45"/>
        <v>0</v>
      </c>
      <c r="AS11" s="58">
        <f t="shared" si="45"/>
        <v>0</v>
      </c>
      <c r="AT11" s="58">
        <f t="shared" si="45"/>
        <v>0</v>
      </c>
      <c r="AU11" s="58">
        <f t="shared" si="45"/>
        <v>0</v>
      </c>
      <c r="AV11" s="58">
        <f t="shared" si="45"/>
        <v>0</v>
      </c>
      <c r="AW11" s="58">
        <f t="shared" si="45"/>
        <v>0</v>
      </c>
      <c r="AX11" s="58">
        <f t="shared" si="45"/>
        <v>0</v>
      </c>
      <c r="AY11" s="58">
        <f t="shared" si="45"/>
        <v>0</v>
      </c>
      <c r="AZ11" s="58">
        <f t="shared" si="45"/>
        <v>0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1"/>
        <v>3901.3</v>
      </c>
      <c r="BK11">
        <f t="shared" si="2"/>
        <v>4010.6</v>
      </c>
      <c r="BL11">
        <f t="shared" si="3"/>
        <v>4137.3</v>
      </c>
      <c r="BM11">
        <f t="shared" si="4"/>
        <v>4201.3</v>
      </c>
      <c r="BN11">
        <f t="shared" si="5"/>
        <v>4221.8999999999996</v>
      </c>
      <c r="BO11">
        <f t="shared" si="6"/>
        <v>4220.3</v>
      </c>
      <c r="BP11">
        <f t="shared" si="7"/>
        <v>4311.5</v>
      </c>
      <c r="BQ11">
        <f t="shared" si="8"/>
        <v>4285.3</v>
      </c>
      <c r="BR11">
        <f t="shared" si="9"/>
        <v>4261.1111111111113</v>
      </c>
      <c r="BS11">
        <f t="shared" si="10"/>
        <v>4210.625</v>
      </c>
      <c r="BT11">
        <f t="shared" si="11"/>
        <v>4857.25</v>
      </c>
      <c r="BU11">
        <f t="shared" si="12"/>
        <v>4936.8571428571431</v>
      </c>
      <c r="BV11">
        <f t="shared" si="13"/>
        <v>4899.4285714285716</v>
      </c>
      <c r="BW11">
        <f t="shared" si="14"/>
        <v>4915.1428571428569</v>
      </c>
      <c r="BX11">
        <f t="shared" si="15"/>
        <v>5045.4285714285716</v>
      </c>
      <c r="BY11">
        <f t="shared" si="16"/>
        <v>5222.5714285714284</v>
      </c>
      <c r="BZ11">
        <f t="shared" si="17"/>
        <v>5490.4285714285716</v>
      </c>
      <c r="CA11">
        <f t="shared" si="18"/>
        <v>5639.8571428571431</v>
      </c>
      <c r="CB11">
        <f t="shared" si="19"/>
        <v>5572.5</v>
      </c>
      <c r="CC11">
        <f t="shared" si="20"/>
        <v>5620.2222222222226</v>
      </c>
      <c r="CD11">
        <f t="shared" si="21"/>
        <v>5460.666666666667</v>
      </c>
      <c r="CE11">
        <f t="shared" si="22"/>
        <v>5565.7</v>
      </c>
      <c r="CF11">
        <f t="shared" si="23"/>
        <v>5650.5</v>
      </c>
      <c r="CG11">
        <f t="shared" si="24"/>
        <v>5677.2</v>
      </c>
      <c r="CH11">
        <f t="shared" si="25"/>
        <v>5352.4</v>
      </c>
      <c r="CI11">
        <f t="shared" si="26"/>
        <v>5363.5555555555557</v>
      </c>
      <c r="CJ11">
        <f t="shared" si="27"/>
        <v>5240.875</v>
      </c>
      <c r="CK11">
        <f t="shared" si="28"/>
        <v>5261</v>
      </c>
      <c r="CL11">
        <f t="shared" si="29"/>
        <v>5287.666666666667</v>
      </c>
      <c r="CM11">
        <f t="shared" si="30"/>
        <v>5144.8</v>
      </c>
      <c r="CN11">
        <f t="shared" si="31"/>
        <v>4426.5</v>
      </c>
      <c r="CO11">
        <f t="shared" si="32"/>
        <v>3731.6666666666665</v>
      </c>
      <c r="CP11">
        <f t="shared" si="33"/>
        <v>3063.5</v>
      </c>
      <c r="CQ11">
        <f t="shared" si="34"/>
        <v>1645</v>
      </c>
      <c r="CR11" t="e">
        <f t="shared" si="35"/>
        <v>#DIV/0!</v>
      </c>
      <c r="CS11" t="e">
        <f t="shared" si="36"/>
        <v>#DIV/0!</v>
      </c>
      <c r="CT11" t="e">
        <f t="shared" si="37"/>
        <v>#DIV/0!</v>
      </c>
      <c r="CU11" t="e">
        <f t="shared" si="38"/>
        <v>#DIV/0!</v>
      </c>
      <c r="CV11" t="e">
        <f t="shared" si="39"/>
        <v>#DIV/0!</v>
      </c>
      <c r="CW11" t="e">
        <f t="shared" si="40"/>
        <v>#DIV/0!</v>
      </c>
      <c r="CX11" t="e">
        <f t="shared" si="41"/>
        <v>#DIV/0!</v>
      </c>
      <c r="CY11" t="e">
        <f t="shared" si="42"/>
        <v>#DIV/0!</v>
      </c>
    </row>
    <row r="12" spans="1:103" ht="20" customHeight="1" x14ac:dyDescent="0.2">
      <c r="I12" s="8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3"/>
      <c r="V12" s="53"/>
      <c r="W12" s="53"/>
      <c r="X12" s="53"/>
      <c r="Y12" s="53"/>
      <c r="Z12" s="53"/>
      <c r="AA12" s="53"/>
      <c r="AB12" s="53"/>
      <c r="AC12" s="53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3"/>
      <c r="BB12" s="53"/>
      <c r="BC12" s="53"/>
      <c r="BD12" s="53"/>
      <c r="BE12" s="53"/>
    </row>
    <row r="13" spans="1:103" s="10" customFormat="1" ht="20" customHeight="1" x14ac:dyDescent="0.2">
      <c r="A13" s="9" t="s">
        <v>42</v>
      </c>
      <c r="B13" s="39"/>
      <c r="C13" s="39"/>
      <c r="D13" s="39"/>
      <c r="E13" s="43"/>
      <c r="F13" s="43"/>
      <c r="G13" s="48"/>
      <c r="H13" s="45"/>
      <c r="I13" s="83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BA13" s="55"/>
      <c r="BB13" s="55"/>
      <c r="BC13" s="55"/>
      <c r="BD13" s="55"/>
      <c r="BE13" s="55"/>
    </row>
    <row r="14" spans="1:103" ht="20" customHeight="1" x14ac:dyDescent="0.2">
      <c r="A14" s="49" t="s">
        <v>21</v>
      </c>
      <c r="B14" s="82">
        <f>SUM(Denning!B18)</f>
        <v>2076</v>
      </c>
      <c r="C14" s="82">
        <f>SUM(Denning!C18)</f>
        <v>1986</v>
      </c>
      <c r="D14" s="82">
        <f>SUM(Denning!D18)</f>
        <v>2214</v>
      </c>
      <c r="E14" s="82">
        <f>SUM(Denning!E18)</f>
        <v>1890</v>
      </c>
      <c r="F14" s="82">
        <f>SUM(Denning!F18)</f>
        <v>2028</v>
      </c>
      <c r="G14" s="82">
        <f>SUM(Denning!G18)</f>
        <v>1630</v>
      </c>
      <c r="H14" s="82">
        <f>SUM(Denning!H18)</f>
        <v>1773</v>
      </c>
      <c r="I14" s="82">
        <f>SUM(Denning!I18)</f>
        <v>2113</v>
      </c>
      <c r="J14" s="52">
        <f>SUM(Denning!J18)</f>
        <v>2021</v>
      </c>
      <c r="K14" s="52">
        <f>SUM(Denning!K18)</f>
        <v>1674</v>
      </c>
      <c r="L14" s="52">
        <f>SUM(Denning!L18)</f>
        <v>865</v>
      </c>
      <c r="M14" s="52">
        <f>SUM(Denning!M18)</f>
        <v>1482</v>
      </c>
      <c r="N14" s="52">
        <f>SUM(Denning!N18)</f>
        <v>1354</v>
      </c>
      <c r="O14" s="52">
        <f>SUM(Denning!O18)</f>
        <v>1280</v>
      </c>
      <c r="P14" s="52">
        <f>SUM(Denning!P18)</f>
        <v>1375</v>
      </c>
      <c r="Q14" s="52">
        <f>SUM(Denning!Q18)</f>
        <v>1227</v>
      </c>
      <c r="R14" s="52">
        <f>SUM(Denning!R18)</f>
        <v>1452</v>
      </c>
      <c r="S14" s="52"/>
      <c r="T14" s="52"/>
      <c r="U14" s="52">
        <f>SUM(Denning!U18)</f>
        <v>1586</v>
      </c>
      <c r="V14" s="52"/>
      <c r="W14" s="52">
        <f>SUM(Denning!W18)</f>
        <v>2078</v>
      </c>
      <c r="X14" s="52">
        <f>SUM(Denning!X18)</f>
        <v>2107</v>
      </c>
      <c r="Y14" s="52">
        <f>SUM(Denning!Y18)</f>
        <v>1988</v>
      </c>
      <c r="Z14" s="52">
        <f>SUM(Denning!Z18)</f>
        <v>2388</v>
      </c>
      <c r="AA14" s="52">
        <f>SUM(Denning!AA18)</f>
        <v>2568</v>
      </c>
      <c r="AB14" s="52">
        <f>SUM(Denning!AB18)</f>
        <v>2565</v>
      </c>
      <c r="AC14" s="52">
        <f>SUM(Denning!AC18)</f>
        <v>2075</v>
      </c>
      <c r="AD14" s="52">
        <f>SUM(Denning!AD18)</f>
        <v>2504</v>
      </c>
      <c r="AE14" s="52">
        <f>SUM(Denning!AE18)</f>
        <v>3533</v>
      </c>
      <c r="AF14" s="52">
        <f>SUM(Denning!AF18)</f>
        <v>2848</v>
      </c>
      <c r="AG14" s="52">
        <f>SUM(Denning!AG18)</f>
        <v>2641</v>
      </c>
      <c r="AH14" s="52">
        <f>SUM(Denning!AH18)</f>
        <v>2321</v>
      </c>
      <c r="AI14" s="52">
        <f>SUM(Denning!AI18)</f>
        <v>2336</v>
      </c>
      <c r="AJ14" s="52">
        <f>SUM(Denning!AJ18)</f>
        <v>0</v>
      </c>
      <c r="AK14" s="52">
        <f>SUM(Denning!AK18)</f>
        <v>0</v>
      </c>
      <c r="AL14" s="52">
        <f>SUM(Denning!AL18)</f>
        <v>0</v>
      </c>
      <c r="AM14" s="52">
        <f>SUM(Denning!AM18)</f>
        <v>0</v>
      </c>
      <c r="AN14" s="52">
        <f>SUM(Denning!AN18)</f>
        <v>0</v>
      </c>
      <c r="AO14" s="52">
        <f>SUM(Denning!AO18)</f>
        <v>0</v>
      </c>
      <c r="AP14" s="52">
        <f>SUM(Denning!AP18)</f>
        <v>0</v>
      </c>
      <c r="AQ14" s="52">
        <f>SUM(Denning!AQ18)</f>
        <v>0</v>
      </c>
      <c r="AR14" s="52">
        <f>SUM(Denning!AR18)</f>
        <v>0</v>
      </c>
      <c r="AS14" s="52">
        <f>SUM(Denning!AS18)</f>
        <v>0</v>
      </c>
      <c r="AT14" s="52">
        <f>SUM(Denning!AT18)</f>
        <v>0</v>
      </c>
      <c r="AU14" s="52">
        <f>SUM(Denning!AU18)</f>
        <v>0</v>
      </c>
      <c r="AV14" s="52">
        <f>SUM(Denning!AV18)</f>
        <v>0</v>
      </c>
      <c r="AW14" s="52">
        <f>SUM(Denning!AW18)</f>
        <v>0</v>
      </c>
      <c r="AX14" s="52">
        <f>SUM(Denning!AX18)</f>
        <v>0</v>
      </c>
      <c r="AY14" s="52">
        <f>SUM(Denning!AY18)</f>
        <v>0</v>
      </c>
      <c r="AZ14" s="52">
        <f>SUM(Denning!AZ18)</f>
        <v>0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>
        <f>AVERAGEIF(B14:K14,"&gt;0")</f>
        <v>1940.5</v>
      </c>
      <c r="BK14">
        <f t="shared" ref="BK14:CY14" si="46">AVERAGEIF(C14:L14,"&gt;0")</f>
        <v>1819.4</v>
      </c>
      <c r="BL14">
        <f t="shared" si="46"/>
        <v>1769</v>
      </c>
      <c r="BM14">
        <f t="shared" si="46"/>
        <v>1683</v>
      </c>
      <c r="BN14">
        <f t="shared" si="46"/>
        <v>1622</v>
      </c>
      <c r="BO14">
        <f t="shared" si="46"/>
        <v>1556.7</v>
      </c>
      <c r="BP14">
        <f t="shared" si="46"/>
        <v>1516.4</v>
      </c>
      <c r="BQ14">
        <f t="shared" si="46"/>
        <v>1484.3</v>
      </c>
      <c r="BR14">
        <f t="shared" si="46"/>
        <v>1414.4444444444443</v>
      </c>
      <c r="BS14">
        <f t="shared" si="46"/>
        <v>1338.625</v>
      </c>
      <c r="BT14">
        <f t="shared" si="46"/>
        <v>1327.625</v>
      </c>
      <c r="BU14">
        <f t="shared" si="46"/>
        <v>1393.7142857142858</v>
      </c>
      <c r="BV14">
        <f t="shared" si="46"/>
        <v>1478.8571428571429</v>
      </c>
      <c r="BW14">
        <f t="shared" si="46"/>
        <v>1586.4285714285713</v>
      </c>
      <c r="BX14">
        <f t="shared" si="46"/>
        <v>1687.5714285714287</v>
      </c>
      <c r="BY14">
        <f t="shared" si="46"/>
        <v>1832.2857142857142</v>
      </c>
      <c r="BZ14">
        <f t="shared" si="46"/>
        <v>2023.8571428571429</v>
      </c>
      <c r="CA14">
        <f t="shared" si="46"/>
        <v>2182.8571428571427</v>
      </c>
      <c r="CB14">
        <f t="shared" si="46"/>
        <v>2169.375</v>
      </c>
      <c r="CC14">
        <f t="shared" si="46"/>
        <v>2206.5555555555557</v>
      </c>
      <c r="CD14">
        <f t="shared" si="46"/>
        <v>2422.8888888888887</v>
      </c>
      <c r="CE14">
        <f t="shared" si="46"/>
        <v>2465.4</v>
      </c>
      <c r="CF14">
        <f t="shared" si="46"/>
        <v>2521.6999999999998</v>
      </c>
      <c r="CG14">
        <f t="shared" si="46"/>
        <v>2543.1</v>
      </c>
      <c r="CH14">
        <f t="shared" si="46"/>
        <v>2577.9</v>
      </c>
      <c r="CI14">
        <f t="shared" si="46"/>
        <v>2599</v>
      </c>
      <c r="CJ14">
        <f t="shared" si="46"/>
        <v>2602.875</v>
      </c>
      <c r="CK14">
        <f t="shared" si="46"/>
        <v>2608.2857142857142</v>
      </c>
      <c r="CL14">
        <f t="shared" si="46"/>
        <v>2697.1666666666665</v>
      </c>
      <c r="CM14">
        <f t="shared" si="46"/>
        <v>2735.8</v>
      </c>
      <c r="CN14">
        <f t="shared" si="46"/>
        <v>2536.5</v>
      </c>
      <c r="CO14">
        <f t="shared" si="46"/>
        <v>2432.6666666666665</v>
      </c>
      <c r="CP14">
        <f t="shared" si="46"/>
        <v>2328.5</v>
      </c>
      <c r="CQ14">
        <f t="shared" si="46"/>
        <v>2336</v>
      </c>
      <c r="CR14" t="e">
        <f t="shared" si="46"/>
        <v>#DIV/0!</v>
      </c>
      <c r="CS14" t="e">
        <f t="shared" si="46"/>
        <v>#DIV/0!</v>
      </c>
      <c r="CT14" t="e">
        <f t="shared" si="46"/>
        <v>#DIV/0!</v>
      </c>
      <c r="CU14" t="e">
        <f t="shared" si="46"/>
        <v>#DIV/0!</v>
      </c>
      <c r="CV14" t="e">
        <f t="shared" si="46"/>
        <v>#DIV/0!</v>
      </c>
      <c r="CW14" t="e">
        <f t="shared" si="46"/>
        <v>#DIV/0!</v>
      </c>
      <c r="CX14" t="e">
        <f t="shared" si="46"/>
        <v>#DIV/0!</v>
      </c>
      <c r="CY14" t="e">
        <f t="shared" si="46"/>
        <v>#DIV/0!</v>
      </c>
    </row>
    <row r="15" spans="1:103" s="10" customFormat="1" ht="20" customHeight="1" x14ac:dyDescent="0.2">
      <c r="A15" s="48" t="s">
        <v>22</v>
      </c>
      <c r="B15" s="83">
        <f>SUM('Fox Hollow'!B18)</f>
        <v>770</v>
      </c>
      <c r="C15" s="83">
        <f>SUM('Fox Hollow'!C18)</f>
        <v>802</v>
      </c>
      <c r="D15" s="83">
        <f>SUM('Fox Hollow'!D18)</f>
        <v>746</v>
      </c>
      <c r="E15" s="83">
        <f>SUM('Fox Hollow'!E18)</f>
        <v>872</v>
      </c>
      <c r="F15" s="83">
        <f>SUM('Fox Hollow'!F18)</f>
        <v>794</v>
      </c>
      <c r="G15" s="83">
        <f>SUM('Fox Hollow'!G18)</f>
        <v>1021</v>
      </c>
      <c r="H15" s="83">
        <f>SUM('Fox Hollow'!H18)</f>
        <v>997</v>
      </c>
      <c r="I15" s="83">
        <f>SUM('Fox Hollow'!I18)</f>
        <v>866</v>
      </c>
      <c r="J15" s="54">
        <f>SUM('Fox Hollow'!J18)</f>
        <v>956</v>
      </c>
      <c r="K15" s="54">
        <f>SUM('Fox Hollow'!K18)</f>
        <v>712</v>
      </c>
      <c r="L15" s="54">
        <f>SUM('Fox Hollow'!L18)</f>
        <v>574</v>
      </c>
      <c r="M15" s="54">
        <f>SUM('Fox Hollow'!M18)</f>
        <v>783</v>
      </c>
      <c r="N15" s="54">
        <f>SUM('Fox Hollow'!N18)</f>
        <v>629</v>
      </c>
      <c r="O15" s="54">
        <f>SUM('Fox Hollow'!O18)</f>
        <v>697</v>
      </c>
      <c r="P15" s="54">
        <f>SUM('Fox Hollow'!P18)</f>
        <v>502</v>
      </c>
      <c r="Q15" s="54">
        <f>SUM('Fox Hollow'!Q18)</f>
        <v>632</v>
      </c>
      <c r="R15" s="54">
        <f>SUM('Fox Hollow'!R18)</f>
        <v>643</v>
      </c>
      <c r="S15" s="54"/>
      <c r="T15" s="54"/>
      <c r="U15" s="54">
        <f>SUM('Fox Hollow'!U18)</f>
        <v>804</v>
      </c>
      <c r="V15" s="54"/>
      <c r="W15" s="54">
        <f>SUM('Fox Hollow'!W18)</f>
        <v>917</v>
      </c>
      <c r="X15" s="54">
        <f>SUM('Fox Hollow'!X18)</f>
        <v>818</v>
      </c>
      <c r="Y15" s="54">
        <f>SUM('Fox Hollow'!Y18)</f>
        <v>1084</v>
      </c>
      <c r="Z15" s="54">
        <f>SUM('Fox Hollow'!Z18)</f>
        <v>927</v>
      </c>
      <c r="AA15" s="54">
        <f>SUM('Fox Hollow'!AA18)</f>
        <v>1154</v>
      </c>
      <c r="AB15" s="54">
        <f>SUM('Fox Hollow'!AB18)</f>
        <v>1237</v>
      </c>
      <c r="AC15" s="54">
        <f>SUM('Fox Hollow'!AC18)</f>
        <v>1012</v>
      </c>
      <c r="AD15" s="54">
        <f>SUM('Fox Hollow'!AD18)</f>
        <v>1010</v>
      </c>
      <c r="AE15" s="54">
        <f>SUM('Fox Hollow'!AE18)</f>
        <v>1354</v>
      </c>
      <c r="AF15" s="54">
        <f>SUM('Fox Hollow'!AF18)</f>
        <v>1320</v>
      </c>
      <c r="AG15" s="54">
        <f>SUM('Fox Hollow'!AG18)</f>
        <v>879</v>
      </c>
      <c r="AH15" s="54">
        <f>SUM('Fox Hollow'!AH18)</f>
        <v>976</v>
      </c>
      <c r="AI15" s="54">
        <f>SUM('Fox Hollow'!AI18)</f>
        <v>558</v>
      </c>
      <c r="AJ15" s="54">
        <f>SUM('Fox Hollow'!AJ18)</f>
        <v>0</v>
      </c>
      <c r="AK15" s="54">
        <f>SUM('Fox Hollow'!AK18)</f>
        <v>0</v>
      </c>
      <c r="AL15" s="54">
        <f>SUM('Fox Hollow'!AL18)</f>
        <v>0</v>
      </c>
      <c r="AM15" s="54">
        <f>SUM('Fox Hollow'!AM18)</f>
        <v>0</v>
      </c>
      <c r="AN15" s="54">
        <f>SUM('Fox Hollow'!AN18)</f>
        <v>0</v>
      </c>
      <c r="AO15" s="54">
        <f>SUM('Fox Hollow'!AO18)</f>
        <v>0</v>
      </c>
      <c r="AP15" s="54">
        <f>SUM('Fox Hollow'!AP18)</f>
        <v>0</v>
      </c>
      <c r="AQ15" s="54">
        <f>SUM('Fox Hollow'!AQ18)</f>
        <v>0</v>
      </c>
      <c r="AR15" s="54">
        <f>SUM('Fox Hollow'!AR18)</f>
        <v>0</v>
      </c>
      <c r="AS15" s="54">
        <f>SUM('Fox Hollow'!AS18)</f>
        <v>0</v>
      </c>
      <c r="AT15" s="54">
        <f>SUM('Fox Hollow'!AT18)</f>
        <v>0</v>
      </c>
      <c r="AU15" s="54">
        <f>SUM('Fox Hollow'!AU18)</f>
        <v>0</v>
      </c>
      <c r="AV15" s="54">
        <f>SUM('Fox Hollow'!AV18)</f>
        <v>0</v>
      </c>
      <c r="AW15" s="54">
        <f>SUM('Fox Hollow'!AW18)</f>
        <v>0</v>
      </c>
      <c r="AX15" s="54">
        <f>SUM('Fox Hollow'!AX18)</f>
        <v>0</v>
      </c>
      <c r="AY15" s="54">
        <f>SUM('Fox Hollow'!AY18)</f>
        <v>0</v>
      </c>
      <c r="AZ15" s="54">
        <f>SUM('Fox Hollow'!AZ18)</f>
        <v>0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>
        <f t="shared" ref="BJ15:BJ23" si="47">AVERAGEIF(B15:K15,"&gt;0")</f>
        <v>853.6</v>
      </c>
      <c r="BK15">
        <f t="shared" ref="BK15:BK23" si="48">AVERAGEIF(C15:L15,"&gt;0")</f>
        <v>834</v>
      </c>
      <c r="BL15">
        <f t="shared" ref="BL15:BL23" si="49">AVERAGEIF(D15:M15,"&gt;0")</f>
        <v>832.1</v>
      </c>
      <c r="BM15">
        <f t="shared" ref="BM15:BM23" si="50">AVERAGEIF(E15:N15,"&gt;0")</f>
        <v>820.4</v>
      </c>
      <c r="BN15">
        <f t="shared" ref="BN15:BN23" si="51">AVERAGEIF(F15:O15,"&gt;0")</f>
        <v>802.9</v>
      </c>
      <c r="BO15">
        <f t="shared" ref="BO15:BO23" si="52">AVERAGEIF(G15:P15,"&gt;0")</f>
        <v>773.7</v>
      </c>
      <c r="BP15">
        <f t="shared" ref="BP15:BP23" si="53">AVERAGEIF(H15:Q15,"&gt;0")</f>
        <v>734.8</v>
      </c>
      <c r="BQ15">
        <f t="shared" ref="BQ15:BQ23" si="54">AVERAGEIF(I15:R15,"&gt;0")</f>
        <v>699.4</v>
      </c>
      <c r="BR15">
        <f t="shared" ref="BR15:BR23" si="55">AVERAGEIF(J15:S15,"&gt;0")</f>
        <v>680.88888888888891</v>
      </c>
      <c r="BS15">
        <f t="shared" ref="BS15:BS23" si="56">AVERAGEIF(K15:T15,"&gt;0")</f>
        <v>646.5</v>
      </c>
      <c r="BT15">
        <f t="shared" ref="BT15:BT23" si="57">AVERAGEIF(L15:U15,"&gt;0")</f>
        <v>658</v>
      </c>
      <c r="BU15">
        <f t="shared" ref="BU15:BU23" si="58">AVERAGEIF(M15:V15,"&gt;0")</f>
        <v>670</v>
      </c>
      <c r="BV15">
        <f t="shared" ref="BV15:BV23" si="59">AVERAGEIF(N15:W15,"&gt;0")</f>
        <v>689.14285714285711</v>
      </c>
      <c r="BW15">
        <f t="shared" ref="BW15:BW23" si="60">AVERAGEIF(O15:X15,"&gt;0")</f>
        <v>716.14285714285711</v>
      </c>
      <c r="BX15">
        <f t="shared" ref="BX15:BX23" si="61">AVERAGEIF(P15:Y15,"&gt;0")</f>
        <v>771.42857142857144</v>
      </c>
      <c r="BY15">
        <f t="shared" ref="BY15:BY23" si="62">AVERAGEIF(Q15:Z15,"&gt;0")</f>
        <v>832.14285714285711</v>
      </c>
      <c r="BZ15">
        <f t="shared" ref="BZ15:BZ23" si="63">AVERAGEIF(R15:AA15,"&gt;0")</f>
        <v>906.71428571428567</v>
      </c>
      <c r="CA15">
        <f t="shared" ref="CA15:CA23" si="64">AVERAGEIF(S15:AB15,"&gt;0")</f>
        <v>991.57142857142856</v>
      </c>
      <c r="CB15">
        <f t="shared" ref="CB15:CB23" si="65">AVERAGEIF(T15:AC15,"&gt;0")</f>
        <v>994.125</v>
      </c>
      <c r="CC15">
        <f t="shared" ref="CC15:CC23" si="66">AVERAGEIF(U15:AD15,"&gt;0")</f>
        <v>995.88888888888891</v>
      </c>
      <c r="CD15">
        <f t="shared" ref="CD15:CD23" si="67">AVERAGEIF(V15:AE15,"&gt;0")</f>
        <v>1057</v>
      </c>
      <c r="CE15">
        <f t="shared" ref="CE15:CE23" si="68">AVERAGEIF(W15:AF15,"&gt;0")</f>
        <v>1083.3</v>
      </c>
      <c r="CF15">
        <f t="shared" ref="CF15:CF23" si="69">AVERAGEIF(X15:AG15,"&gt;0")</f>
        <v>1079.5</v>
      </c>
      <c r="CG15">
        <f t="shared" ref="CG15:CG23" si="70">AVERAGEIF(Y15:AH15,"&gt;0")</f>
        <v>1095.3</v>
      </c>
      <c r="CH15">
        <f t="shared" ref="CH15:CH23" si="71">AVERAGEIF(Z15:AI15,"&gt;0")</f>
        <v>1042.7</v>
      </c>
      <c r="CI15">
        <f t="shared" ref="CI15:CI23" si="72">AVERAGEIF(AA15:AJ15,"&gt;0")</f>
        <v>1055.5555555555557</v>
      </c>
      <c r="CJ15">
        <f t="shared" ref="CJ15:CJ23" si="73">AVERAGEIF(AB15:AK15,"&gt;0")</f>
        <v>1043.25</v>
      </c>
      <c r="CK15">
        <f t="shared" ref="CK15:CK23" si="74">AVERAGEIF(AC15:AL15,"&gt;0")</f>
        <v>1015.5714285714286</v>
      </c>
      <c r="CL15">
        <f t="shared" ref="CL15:CL23" si="75">AVERAGEIF(AD15:AM15,"&gt;0")</f>
        <v>1016.1666666666666</v>
      </c>
      <c r="CM15">
        <f t="shared" ref="CM15:CM23" si="76">AVERAGEIF(AE15:AN15,"&gt;0")</f>
        <v>1017.4</v>
      </c>
      <c r="CN15">
        <f t="shared" ref="CN15:CN23" si="77">AVERAGEIF(AF15:AO15,"&gt;0")</f>
        <v>933.25</v>
      </c>
      <c r="CO15">
        <f t="shared" ref="CO15:CO23" si="78">AVERAGEIF(AG15:AP15,"&gt;0")</f>
        <v>804.33333333333337</v>
      </c>
      <c r="CP15">
        <f t="shared" ref="CP15:CP23" si="79">AVERAGEIF(AH15:AQ15,"&gt;0")</f>
        <v>767</v>
      </c>
      <c r="CQ15">
        <f t="shared" ref="CQ15:CQ23" si="80">AVERAGEIF(AI15:AR15,"&gt;0")</f>
        <v>558</v>
      </c>
      <c r="CR15" t="e">
        <f t="shared" ref="CR15:CR23" si="81">AVERAGEIF(AJ15:AS15,"&gt;0")</f>
        <v>#DIV/0!</v>
      </c>
      <c r="CS15" t="e">
        <f t="shared" ref="CS15:CS23" si="82">AVERAGEIF(AK15:AT15,"&gt;0")</f>
        <v>#DIV/0!</v>
      </c>
      <c r="CT15" t="e">
        <f t="shared" ref="CT15:CT23" si="83">AVERAGEIF(AL15:AU15,"&gt;0")</f>
        <v>#DIV/0!</v>
      </c>
      <c r="CU15" t="e">
        <f t="shared" ref="CU15:CU23" si="84">AVERAGEIF(AM15:AV15,"&gt;0")</f>
        <v>#DIV/0!</v>
      </c>
      <c r="CV15" t="e">
        <f t="shared" ref="CV15:CV23" si="85">AVERAGEIF(AN15:AW15,"&gt;0")</f>
        <v>#DIV/0!</v>
      </c>
      <c r="CW15" t="e">
        <f t="shared" ref="CW15:CW23" si="86">AVERAGEIF(AO15:AX15,"&gt;0")</f>
        <v>#DIV/0!</v>
      </c>
      <c r="CX15" t="e">
        <f t="shared" ref="CX15:CX23" si="87">AVERAGEIF(AP15:AY15,"&gt;0")</f>
        <v>#DIV/0!</v>
      </c>
      <c r="CY15" t="e">
        <f t="shared" ref="CY15:CY23" si="88">AVERAGEIF(AQ15:AZ15,"&gt;0")</f>
        <v>#DIV/0!</v>
      </c>
    </row>
    <row r="16" spans="1:103" ht="20" customHeight="1" x14ac:dyDescent="0.2">
      <c r="A16" s="49" t="s">
        <v>23</v>
      </c>
      <c r="B16" s="82">
        <f>SUM('Giant Ledge'!B18)</f>
        <v>4760</v>
      </c>
      <c r="C16" s="82">
        <f>SUM('Giant Ledge'!C18)</f>
        <v>4535</v>
      </c>
      <c r="D16" s="82">
        <f>SUM('Giant Ledge'!D18)</f>
        <v>4439</v>
      </c>
      <c r="E16" s="82">
        <f>SUM('Giant Ledge'!E18)</f>
        <v>4617</v>
      </c>
      <c r="F16" s="82">
        <f>SUM('Giant Ledge'!F18)</f>
        <v>5516</v>
      </c>
      <c r="G16" s="82">
        <f>SUM('Giant Ledge'!G18)</f>
        <v>5120</v>
      </c>
      <c r="H16" s="82">
        <f>SUM('Giant Ledge'!H18)</f>
        <v>5444</v>
      </c>
      <c r="I16" s="82">
        <f>SUM('Giant Ledge'!I18)</f>
        <v>5695</v>
      </c>
      <c r="J16" s="52">
        <f>SUM('Giant Ledge'!J18)</f>
        <v>3944</v>
      </c>
      <c r="K16" s="52">
        <f>SUM('Giant Ledge'!K18)</f>
        <v>5499</v>
      </c>
      <c r="L16" s="52">
        <f>SUM('Giant Ledge'!L18)</f>
        <v>5093</v>
      </c>
      <c r="M16" s="52">
        <f>SUM('Giant Ledge'!M18)</f>
        <v>5210</v>
      </c>
      <c r="N16" s="52">
        <f>SUM('Giant Ledge'!N18)</f>
        <v>4848</v>
      </c>
      <c r="O16" s="52">
        <f>SUM('Giant Ledge'!O18)</f>
        <v>5171</v>
      </c>
      <c r="P16" s="52">
        <f>SUM('Giant Ledge'!P18)</f>
        <v>4206</v>
      </c>
      <c r="Q16" s="52">
        <f>SUM('Giant Ledge'!Q18)</f>
        <v>4884</v>
      </c>
      <c r="R16" s="52">
        <f>SUM('Giant Ledge'!R18)</f>
        <v>4815</v>
      </c>
      <c r="S16" s="52"/>
      <c r="T16" s="52"/>
      <c r="U16" s="52">
        <f>SUM('Giant Ledge'!U18)</f>
        <v>6837</v>
      </c>
      <c r="V16" s="52"/>
      <c r="W16" s="52">
        <f>SUM('Giant Ledge'!W18)</f>
        <v>6143</v>
      </c>
      <c r="X16" s="52">
        <f>SUM('Giant Ledge'!X18)</f>
        <v>7004</v>
      </c>
      <c r="Y16" s="52">
        <f>SUM('Giant Ledge'!Y18)</f>
        <v>8318</v>
      </c>
      <c r="Z16" s="52">
        <f>SUM('Giant Ledge'!Z18)</f>
        <v>8540</v>
      </c>
      <c r="AA16" s="52">
        <f>SUM('Giant Ledge'!AA18)</f>
        <v>10325</v>
      </c>
      <c r="AB16" s="52">
        <f>SUM('Giant Ledge'!AB18)</f>
        <v>11456</v>
      </c>
      <c r="AC16" s="52">
        <f>SUM('Giant Ledge'!AC18)</f>
        <v>8129</v>
      </c>
      <c r="AD16" s="52">
        <f>SUM('Giant Ledge'!AD18)</f>
        <v>9093</v>
      </c>
      <c r="AE16" s="52">
        <f>SUM('Giant Ledge'!AE18)</f>
        <v>8906</v>
      </c>
      <c r="AF16" s="52">
        <f>SUM('Giant Ledge'!AF18)</f>
        <v>8435</v>
      </c>
      <c r="AG16" s="52">
        <f>SUM('Giant Ledge'!AG18)</f>
        <v>6661</v>
      </c>
      <c r="AH16" s="52">
        <f>SUM('Giant Ledge'!AH18)</f>
        <v>5962</v>
      </c>
      <c r="AI16" s="52">
        <f>SUM('Giant Ledge'!AI18)</f>
        <v>2874</v>
      </c>
      <c r="AJ16" s="52">
        <f>SUM('Giant Ledge'!AJ18)</f>
        <v>2596</v>
      </c>
      <c r="AK16" s="52">
        <f>SUM('Giant Ledge'!AK18)</f>
        <v>0</v>
      </c>
      <c r="AL16" s="52">
        <f>SUM('Giant Ledge'!AL18)</f>
        <v>0</v>
      </c>
      <c r="AM16" s="52">
        <f>SUM('Giant Ledge'!AM18)</f>
        <v>0</v>
      </c>
      <c r="AN16" s="52">
        <f>SUM('Giant Ledge'!AN18)</f>
        <v>0</v>
      </c>
      <c r="AO16" s="52">
        <f>SUM('Giant Ledge'!AO18)</f>
        <v>0</v>
      </c>
      <c r="AP16" s="52">
        <f>SUM('Giant Ledge'!AP18)</f>
        <v>0</v>
      </c>
      <c r="AQ16" s="52">
        <f>SUM('Giant Ledge'!AQ18)</f>
        <v>0</v>
      </c>
      <c r="AR16" s="52">
        <f>SUM('Giant Ledge'!AR18)</f>
        <v>0</v>
      </c>
      <c r="AS16" s="52">
        <f>SUM('Giant Ledge'!AS18)</f>
        <v>0</v>
      </c>
      <c r="AT16" s="52">
        <f>SUM('Giant Ledge'!AT18)</f>
        <v>0</v>
      </c>
      <c r="AU16" s="52">
        <f>SUM('Giant Ledge'!AU18)</f>
        <v>0</v>
      </c>
      <c r="AV16" s="52">
        <f>SUM('Giant Ledge'!AV18)</f>
        <v>0</v>
      </c>
      <c r="AW16" s="52">
        <f>SUM('Giant Ledge'!AW18)</f>
        <v>0</v>
      </c>
      <c r="AX16" s="52">
        <f>SUM('Giant Ledge'!AX18)</f>
        <v>0</v>
      </c>
      <c r="AY16" s="52">
        <f>SUM('Giant Ledge'!AY18)</f>
        <v>0</v>
      </c>
      <c r="AZ16" s="52">
        <f>SUM('Giant Ledge'!AZ18)</f>
        <v>0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si="47"/>
        <v>4956.8999999999996</v>
      </c>
      <c r="BK16">
        <f t="shared" si="48"/>
        <v>4990.2</v>
      </c>
      <c r="BL16">
        <f t="shared" si="49"/>
        <v>5057.7</v>
      </c>
      <c r="BM16">
        <f t="shared" si="50"/>
        <v>5098.6000000000004</v>
      </c>
      <c r="BN16">
        <f t="shared" si="51"/>
        <v>5154</v>
      </c>
      <c r="BO16">
        <f t="shared" si="52"/>
        <v>5023</v>
      </c>
      <c r="BP16">
        <f t="shared" si="53"/>
        <v>4999.3999999999996</v>
      </c>
      <c r="BQ16">
        <f t="shared" si="54"/>
        <v>4936.5</v>
      </c>
      <c r="BR16">
        <f t="shared" si="55"/>
        <v>4852.2222222222226</v>
      </c>
      <c r="BS16">
        <f t="shared" si="56"/>
        <v>4965.75</v>
      </c>
      <c r="BT16">
        <f t="shared" si="57"/>
        <v>5133</v>
      </c>
      <c r="BU16">
        <f t="shared" si="58"/>
        <v>5138.7142857142853</v>
      </c>
      <c r="BV16">
        <f t="shared" si="59"/>
        <v>5272</v>
      </c>
      <c r="BW16">
        <f t="shared" si="60"/>
        <v>5580</v>
      </c>
      <c r="BX16">
        <f t="shared" si="61"/>
        <v>6029.5714285714284</v>
      </c>
      <c r="BY16">
        <f t="shared" si="62"/>
        <v>6648.7142857142853</v>
      </c>
      <c r="BZ16">
        <f t="shared" si="63"/>
        <v>7426</v>
      </c>
      <c r="CA16">
        <f t="shared" si="64"/>
        <v>8374.7142857142862</v>
      </c>
      <c r="CB16">
        <f t="shared" si="65"/>
        <v>8344</v>
      </c>
      <c r="CC16">
        <f t="shared" si="66"/>
        <v>8427.2222222222226</v>
      </c>
      <c r="CD16">
        <f t="shared" si="67"/>
        <v>8657.1111111111113</v>
      </c>
      <c r="CE16">
        <f t="shared" si="68"/>
        <v>8634.9</v>
      </c>
      <c r="CF16">
        <f t="shared" si="69"/>
        <v>8686.7000000000007</v>
      </c>
      <c r="CG16">
        <f t="shared" si="70"/>
        <v>8582.5</v>
      </c>
      <c r="CH16">
        <f t="shared" si="71"/>
        <v>8038.1</v>
      </c>
      <c r="CI16">
        <f t="shared" si="72"/>
        <v>7443.7</v>
      </c>
      <c r="CJ16">
        <f t="shared" si="73"/>
        <v>7123.5555555555557</v>
      </c>
      <c r="CK16">
        <f t="shared" si="74"/>
        <v>6582</v>
      </c>
      <c r="CL16">
        <f t="shared" si="75"/>
        <v>6361</v>
      </c>
      <c r="CM16">
        <f t="shared" si="76"/>
        <v>5905.666666666667</v>
      </c>
      <c r="CN16">
        <f t="shared" si="77"/>
        <v>5305.6</v>
      </c>
      <c r="CO16">
        <f t="shared" si="78"/>
        <v>4523.25</v>
      </c>
      <c r="CP16">
        <f t="shared" si="79"/>
        <v>3810.6666666666665</v>
      </c>
      <c r="CQ16">
        <f t="shared" si="80"/>
        <v>2735</v>
      </c>
      <c r="CR16">
        <f t="shared" si="81"/>
        <v>2596</v>
      </c>
      <c r="CS16" t="e">
        <f t="shared" si="82"/>
        <v>#DIV/0!</v>
      </c>
      <c r="CT16" t="e">
        <f t="shared" si="83"/>
        <v>#DIV/0!</v>
      </c>
      <c r="CU16" t="e">
        <f t="shared" si="84"/>
        <v>#DIV/0!</v>
      </c>
      <c r="CV16" t="e">
        <f t="shared" si="85"/>
        <v>#DIV/0!</v>
      </c>
      <c r="CW16" t="e">
        <f t="shared" si="86"/>
        <v>#DIV/0!</v>
      </c>
      <c r="CX16" t="e">
        <f t="shared" si="87"/>
        <v>#DIV/0!</v>
      </c>
      <c r="CY16" t="e">
        <f t="shared" si="88"/>
        <v>#DIV/0!</v>
      </c>
    </row>
    <row r="17" spans="1:103" s="10" customFormat="1" ht="20" customHeight="1" x14ac:dyDescent="0.2">
      <c r="A17" s="48" t="s">
        <v>53</v>
      </c>
      <c r="B17" s="83">
        <f>SUM(Peekamoose!B18)</f>
        <v>1352</v>
      </c>
      <c r="C17" s="83">
        <f>SUM(Peekamoose!C18)</f>
        <v>1377</v>
      </c>
      <c r="D17" s="83">
        <f>SUM(Peekamoose!D18)</f>
        <v>1622</v>
      </c>
      <c r="E17" s="83">
        <f>SUM(Peekamoose!E18)</f>
        <v>1646</v>
      </c>
      <c r="F17" s="83">
        <f>SUM(Peekamoose!F18)</f>
        <v>1682</v>
      </c>
      <c r="G17" s="83">
        <f>SUM(Peekamoose!G18)</f>
        <v>1665</v>
      </c>
      <c r="H17" s="83">
        <f>SUM(Peekamoose!H18)</f>
        <v>1876</v>
      </c>
      <c r="I17" s="83">
        <f>SUM(Peekamoose!I18)</f>
        <v>1903</v>
      </c>
      <c r="J17" s="54">
        <f>SUM(Peekamoose!J18)</f>
        <v>1504</v>
      </c>
      <c r="K17" s="54">
        <f>SUM(Peekamoose!K18)</f>
        <v>1586</v>
      </c>
      <c r="L17" s="54">
        <f>SUM(Peekamoose!L18)</f>
        <v>1705</v>
      </c>
      <c r="M17" s="54">
        <f>SUM(Peekamoose!M18)</f>
        <v>1620</v>
      </c>
      <c r="N17" s="54">
        <f>SUM(Peekamoose!N18)</f>
        <v>1353</v>
      </c>
      <c r="O17" s="54">
        <f>SUM(Peekamoose!O18)</f>
        <v>1575</v>
      </c>
      <c r="P17" s="54">
        <f>SUM(Peekamoose!P18)</f>
        <v>1550</v>
      </c>
      <c r="Q17" s="54">
        <f>SUM(Peekamoose!Q18)</f>
        <v>1999</v>
      </c>
      <c r="R17" s="54">
        <f>SUM(Peekamoose!R18)</f>
        <v>1638</v>
      </c>
      <c r="S17" s="54"/>
      <c r="T17" s="54"/>
      <c r="U17" s="54">
        <f>SUM(Peekamoose!U18)</f>
        <v>1805</v>
      </c>
      <c r="V17" s="54"/>
      <c r="W17" s="54">
        <f>SUM(Peekamoose!W18)</f>
        <v>2219</v>
      </c>
      <c r="X17" s="54">
        <f>SUM(Peekamoose!X18)</f>
        <v>1944</v>
      </c>
      <c r="Y17" s="54">
        <f>SUM(Peekamoose!Y18)</f>
        <v>2464</v>
      </c>
      <c r="Z17" s="54">
        <f>SUM(Peekamoose!Z18)</f>
        <v>2866</v>
      </c>
      <c r="AA17" s="54">
        <f>SUM(Peekamoose!AA18)</f>
        <v>3168</v>
      </c>
      <c r="AB17" s="54">
        <f>SUM(Peekamoose!AB18)</f>
        <v>2814</v>
      </c>
      <c r="AC17" s="54">
        <f>SUM(Peekamoose!AC18)</f>
        <v>2334</v>
      </c>
      <c r="AD17" s="54">
        <f>SUM(Peekamoose!AD18)</f>
        <v>2713</v>
      </c>
      <c r="AE17" s="54">
        <f>SUM(Peekamoose!AE18)</f>
        <v>3396</v>
      </c>
      <c r="AF17" s="54">
        <f>SUM(Peekamoose!AF18)</f>
        <v>1813</v>
      </c>
      <c r="AG17" s="54">
        <f>SUM(Peekamoose!AG18)</f>
        <v>1551</v>
      </c>
      <c r="AH17" s="54">
        <f>SUM(Peekamoose!AH18)</f>
        <v>667</v>
      </c>
      <c r="AI17" s="54">
        <f>SUM(Peekamoose!AI18)</f>
        <v>0</v>
      </c>
      <c r="AJ17" s="54">
        <f>SUM(Peekamoose!AJ18)</f>
        <v>0</v>
      </c>
      <c r="AK17" s="54">
        <f>SUM(Peekamoose!AK18)</f>
        <v>0</v>
      </c>
      <c r="AL17" s="54">
        <f>SUM(Peekamoose!AL18)</f>
        <v>0</v>
      </c>
      <c r="AM17" s="54">
        <f>SUM(Peekamoose!AM18)</f>
        <v>0</v>
      </c>
      <c r="AN17" s="54">
        <f>SUM(Peekamoose!AN18)</f>
        <v>0</v>
      </c>
      <c r="AO17" s="54">
        <f>SUM(Peekamoose!AO18)</f>
        <v>0</v>
      </c>
      <c r="AP17" s="54">
        <f>SUM(Peekamoose!AP18)</f>
        <v>0</v>
      </c>
      <c r="AQ17" s="54">
        <f>SUM(Peekamoose!AQ18)</f>
        <v>0</v>
      </c>
      <c r="AR17" s="54">
        <f>SUM(Peekamoose!AR18)</f>
        <v>0</v>
      </c>
      <c r="AS17" s="54">
        <f>SUM(Peekamoose!AS18)</f>
        <v>0</v>
      </c>
      <c r="AT17" s="54">
        <f>SUM(Peekamoose!AT18)</f>
        <v>0</v>
      </c>
      <c r="AU17" s="54">
        <f>SUM(Peekamoose!AU18)</f>
        <v>0</v>
      </c>
      <c r="AV17" s="54">
        <f>SUM(Peekamoose!AV18)</f>
        <v>0</v>
      </c>
      <c r="AW17" s="54">
        <f>SUM(Peekamoose!AW18)</f>
        <v>0</v>
      </c>
      <c r="AX17" s="54">
        <f>SUM(Peekamoose!AX18)</f>
        <v>0</v>
      </c>
      <c r="AY17" s="54">
        <f>SUM(Peekamoose!AY18)</f>
        <v>0</v>
      </c>
      <c r="AZ17" s="54">
        <f>SUM(Peekamoose!AZ18)</f>
        <v>0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>
        <f t="shared" si="47"/>
        <v>1621.3</v>
      </c>
      <c r="BK17">
        <f t="shared" si="48"/>
        <v>1656.6</v>
      </c>
      <c r="BL17">
        <f t="shared" si="49"/>
        <v>1680.9</v>
      </c>
      <c r="BM17">
        <f t="shared" si="50"/>
        <v>1654</v>
      </c>
      <c r="BN17">
        <f t="shared" si="51"/>
        <v>1646.9</v>
      </c>
      <c r="BO17">
        <f t="shared" si="52"/>
        <v>1633.7</v>
      </c>
      <c r="BP17">
        <f t="shared" si="53"/>
        <v>1667.1</v>
      </c>
      <c r="BQ17">
        <f t="shared" si="54"/>
        <v>1643.3</v>
      </c>
      <c r="BR17">
        <f t="shared" si="55"/>
        <v>1614.4444444444443</v>
      </c>
      <c r="BS17">
        <f t="shared" si="56"/>
        <v>1628.25</v>
      </c>
      <c r="BT17">
        <f t="shared" si="57"/>
        <v>1655.625</v>
      </c>
      <c r="BU17">
        <f t="shared" si="58"/>
        <v>1648.5714285714287</v>
      </c>
      <c r="BV17">
        <f t="shared" si="59"/>
        <v>1734.1428571428571</v>
      </c>
      <c r="BW17">
        <f t="shared" si="60"/>
        <v>1818.5714285714287</v>
      </c>
      <c r="BX17">
        <f t="shared" si="61"/>
        <v>1945.5714285714287</v>
      </c>
      <c r="BY17">
        <f t="shared" si="62"/>
        <v>2133.5714285714284</v>
      </c>
      <c r="BZ17">
        <f t="shared" si="63"/>
        <v>2300.5714285714284</v>
      </c>
      <c r="CA17">
        <f t="shared" si="64"/>
        <v>2468.5714285714284</v>
      </c>
      <c r="CB17">
        <f t="shared" si="65"/>
        <v>2451.75</v>
      </c>
      <c r="CC17">
        <f t="shared" si="66"/>
        <v>2480.7777777777778</v>
      </c>
      <c r="CD17">
        <f t="shared" si="67"/>
        <v>2657.5555555555557</v>
      </c>
      <c r="CE17">
        <f t="shared" si="68"/>
        <v>2573.1</v>
      </c>
      <c r="CF17">
        <f t="shared" si="69"/>
        <v>2506.3000000000002</v>
      </c>
      <c r="CG17">
        <f t="shared" si="70"/>
        <v>2378.6</v>
      </c>
      <c r="CH17">
        <f t="shared" si="71"/>
        <v>2369.1111111111113</v>
      </c>
      <c r="CI17">
        <f t="shared" si="72"/>
        <v>2307</v>
      </c>
      <c r="CJ17">
        <f t="shared" si="73"/>
        <v>2184</v>
      </c>
      <c r="CK17">
        <f t="shared" si="74"/>
        <v>2079</v>
      </c>
      <c r="CL17">
        <f t="shared" si="75"/>
        <v>2028</v>
      </c>
      <c r="CM17">
        <f t="shared" si="76"/>
        <v>1856.75</v>
      </c>
      <c r="CN17">
        <f t="shared" si="77"/>
        <v>1343.6666666666667</v>
      </c>
      <c r="CO17">
        <f t="shared" si="78"/>
        <v>1109</v>
      </c>
      <c r="CP17">
        <f t="shared" si="79"/>
        <v>667</v>
      </c>
      <c r="CQ17" t="e">
        <f t="shared" si="80"/>
        <v>#DIV/0!</v>
      </c>
      <c r="CR17" t="e">
        <f t="shared" si="81"/>
        <v>#DIV/0!</v>
      </c>
      <c r="CS17" t="e">
        <f t="shared" si="82"/>
        <v>#DIV/0!</v>
      </c>
      <c r="CT17" t="e">
        <f t="shared" si="83"/>
        <v>#DIV/0!</v>
      </c>
      <c r="CU17" t="e">
        <f t="shared" si="84"/>
        <v>#DIV/0!</v>
      </c>
      <c r="CV17" t="e">
        <f t="shared" si="85"/>
        <v>#DIV/0!</v>
      </c>
      <c r="CW17" t="e">
        <f t="shared" si="86"/>
        <v>#DIV/0!</v>
      </c>
      <c r="CX17" t="e">
        <f t="shared" si="87"/>
        <v>#DIV/0!</v>
      </c>
      <c r="CY17" t="e">
        <f t="shared" si="88"/>
        <v>#DIV/0!</v>
      </c>
    </row>
    <row r="18" spans="1:103" ht="20" customHeight="1" x14ac:dyDescent="0.2">
      <c r="A18" s="49" t="s">
        <v>54</v>
      </c>
      <c r="B18" s="82">
        <f>SUM('Slide Mt'!B18)</f>
        <v>5637</v>
      </c>
      <c r="C18" s="82">
        <f>SUM('Slide Mt'!C18)</f>
        <v>5879</v>
      </c>
      <c r="D18" s="82">
        <f>SUM('Slide Mt'!D18)</f>
        <v>6024</v>
      </c>
      <c r="E18" s="82">
        <f>SUM('Slide Mt'!E18)</f>
        <v>6499</v>
      </c>
      <c r="F18" s="82">
        <f>SUM('Slide Mt'!F18)</f>
        <v>5896</v>
      </c>
      <c r="G18" s="82">
        <f>SUM('Slide Mt'!G18)</f>
        <v>5276</v>
      </c>
      <c r="H18" s="82">
        <f>SUM('Slide Mt'!H18)</f>
        <v>5873</v>
      </c>
      <c r="I18" s="82">
        <f>SUM('Slide Mt'!I18)</f>
        <v>6258</v>
      </c>
      <c r="J18" s="52">
        <f>SUM('Slide Mt'!J18)</f>
        <v>5568</v>
      </c>
      <c r="K18" s="52">
        <f>SUM('Slide Mt'!K18)</f>
        <v>5862</v>
      </c>
      <c r="L18" s="52">
        <f>SUM('Slide Mt'!L18)</f>
        <v>5399</v>
      </c>
      <c r="M18" s="52">
        <f>SUM('Slide Mt'!M18)</f>
        <v>4890</v>
      </c>
      <c r="N18" s="52">
        <f>SUM('Slide Mt'!N18)</f>
        <v>5119</v>
      </c>
      <c r="O18" s="52">
        <f>SUM('Slide Mt'!O18)</f>
        <v>4884</v>
      </c>
      <c r="P18" s="52">
        <f>SUM('Slide Mt'!P18)</f>
        <v>4614</v>
      </c>
      <c r="Q18" s="52">
        <f>SUM('Slide Mt'!Q18)</f>
        <v>4505</v>
      </c>
      <c r="R18" s="52">
        <f>SUM('Slide Mt'!R18)</f>
        <v>4789</v>
      </c>
      <c r="S18" s="52"/>
      <c r="T18" s="52"/>
      <c r="U18" s="52">
        <f>SUM('Slide Mt'!U18)</f>
        <v>5236</v>
      </c>
      <c r="V18" s="52"/>
      <c r="W18" s="52">
        <f>SUM('Slide Mt'!W18)</f>
        <v>5163</v>
      </c>
      <c r="X18" s="52">
        <f>SUM('Slide Mt'!X18)</f>
        <v>4992</v>
      </c>
      <c r="Y18" s="52">
        <f>SUM('Slide Mt'!Y18)</f>
        <v>5536</v>
      </c>
      <c r="Z18" s="52">
        <f>SUM('Slide Mt'!Z18)</f>
        <v>6330</v>
      </c>
      <c r="AA18" s="52">
        <f>SUM('Slide Mt'!AA18)</f>
        <v>6522</v>
      </c>
      <c r="AB18" s="52">
        <f>SUM('Slide Mt'!AB18)</f>
        <v>6665</v>
      </c>
      <c r="AC18" s="52">
        <f>SUM('Slide Mt'!AC18)</f>
        <v>4913</v>
      </c>
      <c r="AD18" s="52">
        <f>SUM('Slide Mt'!AD18)</f>
        <v>5702</v>
      </c>
      <c r="AE18" s="52">
        <f>SUM('Slide Mt'!AE18)</f>
        <v>7953</v>
      </c>
      <c r="AF18" s="52">
        <f>SUM('Slide Mt'!AF18)</f>
        <v>7556</v>
      </c>
      <c r="AG18" s="52">
        <f>SUM('Slide Mt'!AG18)</f>
        <v>6706</v>
      </c>
      <c r="AH18" s="52">
        <f>SUM('Slide Mt'!AH18)</f>
        <v>3960</v>
      </c>
      <c r="AI18" s="52">
        <f>SUM('Slide Mt'!AI18)</f>
        <v>4078</v>
      </c>
      <c r="AJ18" s="52">
        <f>SUM('Slide Mt'!AJ18)</f>
        <v>0</v>
      </c>
      <c r="AK18" s="52">
        <f>SUM('Slide Mt'!AK18)</f>
        <v>0</v>
      </c>
      <c r="AL18" s="52">
        <f>SUM('Slide Mt'!AL18)</f>
        <v>0</v>
      </c>
      <c r="AM18" s="52">
        <f>SUM('Slide Mt'!AM18)</f>
        <v>0</v>
      </c>
      <c r="AN18" s="52">
        <f>SUM('Slide Mt'!AN18)</f>
        <v>0</v>
      </c>
      <c r="AO18" s="52">
        <f>SUM('Slide Mt'!AO18)</f>
        <v>0</v>
      </c>
      <c r="AP18" s="52">
        <f>SUM('Slide Mt'!AP18)</f>
        <v>0</v>
      </c>
      <c r="AQ18" s="52">
        <f>SUM('Slide Mt'!AQ18)</f>
        <v>0</v>
      </c>
      <c r="AR18" s="52">
        <f>SUM('Slide Mt'!AR18)</f>
        <v>0</v>
      </c>
      <c r="AS18" s="52">
        <f>SUM('Slide Mt'!AS18)</f>
        <v>0</v>
      </c>
      <c r="AT18" s="52">
        <f>SUM('Slide Mt'!AT18)</f>
        <v>0</v>
      </c>
      <c r="AU18" s="52">
        <f>SUM('Slide Mt'!AU18)</f>
        <v>0</v>
      </c>
      <c r="AV18" s="52">
        <f>SUM('Slide Mt'!AV18)</f>
        <v>0</v>
      </c>
      <c r="AW18" s="52">
        <f>SUM('Slide Mt'!AW18)</f>
        <v>0</v>
      </c>
      <c r="AX18" s="52">
        <f>SUM('Slide Mt'!AX18)</f>
        <v>0</v>
      </c>
      <c r="AY18" s="52">
        <f>SUM('Slide Mt'!AY18)</f>
        <v>0</v>
      </c>
      <c r="AZ18" s="52">
        <f>SUM('Slide Mt'!AZ18)</f>
        <v>0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>
        <f t="shared" si="47"/>
        <v>5877.2</v>
      </c>
      <c r="BK18">
        <f t="shared" si="48"/>
        <v>5853.4</v>
      </c>
      <c r="BL18">
        <f t="shared" si="49"/>
        <v>5754.5</v>
      </c>
      <c r="BM18">
        <f t="shared" si="50"/>
        <v>5664</v>
      </c>
      <c r="BN18">
        <f t="shared" si="51"/>
        <v>5502.5</v>
      </c>
      <c r="BO18">
        <f t="shared" si="52"/>
        <v>5374.3</v>
      </c>
      <c r="BP18">
        <f t="shared" si="53"/>
        <v>5297.2</v>
      </c>
      <c r="BQ18">
        <f t="shared" si="54"/>
        <v>5188.8</v>
      </c>
      <c r="BR18">
        <f t="shared" si="55"/>
        <v>5070</v>
      </c>
      <c r="BS18">
        <f t="shared" si="56"/>
        <v>5007.75</v>
      </c>
      <c r="BT18">
        <f t="shared" si="57"/>
        <v>4929.5</v>
      </c>
      <c r="BU18">
        <f t="shared" si="58"/>
        <v>4862.4285714285716</v>
      </c>
      <c r="BV18">
        <f t="shared" si="59"/>
        <v>4901.4285714285716</v>
      </c>
      <c r="BW18">
        <f t="shared" si="60"/>
        <v>4883.2857142857147</v>
      </c>
      <c r="BX18">
        <f t="shared" si="61"/>
        <v>4976.4285714285716</v>
      </c>
      <c r="BY18">
        <f t="shared" si="62"/>
        <v>5221.5714285714284</v>
      </c>
      <c r="BZ18">
        <f t="shared" si="63"/>
        <v>5509.7142857142853</v>
      </c>
      <c r="CA18">
        <f t="shared" si="64"/>
        <v>5777.7142857142853</v>
      </c>
      <c r="CB18">
        <f t="shared" si="65"/>
        <v>5669.625</v>
      </c>
      <c r="CC18">
        <f t="shared" si="66"/>
        <v>5673.2222222222226</v>
      </c>
      <c r="CD18">
        <f t="shared" si="67"/>
        <v>5975.1111111111113</v>
      </c>
      <c r="CE18">
        <f t="shared" si="68"/>
        <v>6133.2</v>
      </c>
      <c r="CF18">
        <f t="shared" si="69"/>
        <v>6287.5</v>
      </c>
      <c r="CG18">
        <f t="shared" si="70"/>
        <v>6184.3</v>
      </c>
      <c r="CH18">
        <f t="shared" si="71"/>
        <v>6038.5</v>
      </c>
      <c r="CI18">
        <f t="shared" si="72"/>
        <v>6006.1111111111113</v>
      </c>
      <c r="CJ18">
        <f t="shared" si="73"/>
        <v>5941.625</v>
      </c>
      <c r="CK18">
        <f t="shared" si="74"/>
        <v>5838.2857142857147</v>
      </c>
      <c r="CL18">
        <f t="shared" si="75"/>
        <v>5992.5</v>
      </c>
      <c r="CM18">
        <f t="shared" si="76"/>
        <v>6050.6</v>
      </c>
      <c r="CN18">
        <f t="shared" si="77"/>
        <v>5575</v>
      </c>
      <c r="CO18">
        <f t="shared" si="78"/>
        <v>4914.666666666667</v>
      </c>
      <c r="CP18">
        <f t="shared" si="79"/>
        <v>4019</v>
      </c>
      <c r="CQ18">
        <f t="shared" si="80"/>
        <v>4078</v>
      </c>
      <c r="CR18" t="e">
        <f t="shared" si="81"/>
        <v>#DIV/0!</v>
      </c>
      <c r="CS18" t="e">
        <f t="shared" si="82"/>
        <v>#DIV/0!</v>
      </c>
      <c r="CT18" t="e">
        <f t="shared" si="83"/>
        <v>#DIV/0!</v>
      </c>
      <c r="CU18" t="e">
        <f t="shared" si="84"/>
        <v>#DIV/0!</v>
      </c>
      <c r="CV18" t="e">
        <f t="shared" si="85"/>
        <v>#DIV/0!</v>
      </c>
      <c r="CW18" t="e">
        <f t="shared" si="86"/>
        <v>#DIV/0!</v>
      </c>
      <c r="CX18" t="e">
        <f t="shared" si="87"/>
        <v>#DIV/0!</v>
      </c>
      <c r="CY18" t="e">
        <f t="shared" si="88"/>
        <v>#DIV/0!</v>
      </c>
    </row>
    <row r="19" spans="1:103" s="10" customFormat="1" ht="20" customHeight="1" x14ac:dyDescent="0.2">
      <c r="A19" s="48" t="s">
        <v>24</v>
      </c>
      <c r="B19" s="83">
        <f>SUM(Wittenberg!B18)</f>
        <v>3109</v>
      </c>
      <c r="C19" s="83">
        <f>SUM(Wittenberg!C18)</f>
        <v>3243</v>
      </c>
      <c r="D19" s="83">
        <f>SUM(Wittenberg!D18)</f>
        <v>3594</v>
      </c>
      <c r="E19" s="83">
        <f>SUM(Wittenberg!E18)</f>
        <v>3684</v>
      </c>
      <c r="F19" s="83">
        <f>SUM(Wittenberg!F18)</f>
        <v>3894</v>
      </c>
      <c r="G19" s="83">
        <f>SUM(Wittenberg!G18)</f>
        <v>3625</v>
      </c>
      <c r="H19" s="83">
        <f>SUM(Wittenberg!H18)</f>
        <v>3742</v>
      </c>
      <c r="I19" s="83">
        <f>SUM(Wittenberg!I18)</f>
        <v>3991</v>
      </c>
      <c r="J19" s="54">
        <f>SUM(Wittenberg!J18)</f>
        <v>3191</v>
      </c>
      <c r="K19" s="54">
        <f>SUM(Wittenberg!K18)</f>
        <v>2823</v>
      </c>
      <c r="L19" s="54">
        <f>SUM(Wittenberg!L18)</f>
        <v>3240</v>
      </c>
      <c r="M19" s="54">
        <f>SUM(Wittenberg!M18)</f>
        <v>3456</v>
      </c>
      <c r="N19" s="54">
        <f>SUM(Wittenberg!N18)</f>
        <v>3028</v>
      </c>
      <c r="O19" s="54">
        <f>SUM(Wittenberg!O18)</f>
        <v>3522</v>
      </c>
      <c r="P19" s="54">
        <f>SUM(Wittenberg!P18)</f>
        <v>3101</v>
      </c>
      <c r="Q19" s="54">
        <f>SUM(Wittenberg!Q18)</f>
        <v>3084</v>
      </c>
      <c r="R19" s="54">
        <f>SUM(Wittenberg!R18)</f>
        <v>3692</v>
      </c>
      <c r="S19" s="54"/>
      <c r="T19" s="54"/>
      <c r="U19" s="54">
        <f>SUM(Wittenberg!U18)</f>
        <v>3850</v>
      </c>
      <c r="V19" s="54"/>
      <c r="W19" s="54">
        <f>SUM(Wittenberg!W18)</f>
        <v>3944</v>
      </c>
      <c r="X19" s="54">
        <f>SUM(Wittenberg!X18)</f>
        <v>4106</v>
      </c>
      <c r="Y19" s="54">
        <f>SUM(Wittenberg!Y18)</f>
        <v>4936</v>
      </c>
      <c r="Z19" s="54">
        <f>SUM(Wittenberg!Z18)</f>
        <v>5074</v>
      </c>
      <c r="AA19" s="54">
        <f>SUM(Wittenberg!AA18)</f>
        <v>5750</v>
      </c>
      <c r="AB19" s="54">
        <f>SUM(Wittenberg!AB18)</f>
        <v>5788</v>
      </c>
      <c r="AC19" s="54">
        <f>SUM(Wittenberg!AC18)</f>
        <v>5949</v>
      </c>
      <c r="AD19" s="54">
        <f>SUM(Wittenberg!AD18)</f>
        <v>5418</v>
      </c>
      <c r="AE19" s="54">
        <f>SUM(Wittenberg!AE18)</f>
        <v>5480</v>
      </c>
      <c r="AF19" s="54">
        <f>SUM(Wittenberg!AF18)</f>
        <v>4675</v>
      </c>
      <c r="AG19" s="54">
        <f>SUM(Wittenberg!AG18)</f>
        <v>3599</v>
      </c>
      <c r="AH19" s="54">
        <f>SUM(Wittenberg!AH18)</f>
        <v>3983</v>
      </c>
      <c r="AI19" s="54">
        <f>SUM(Wittenberg!AI18)</f>
        <v>3887</v>
      </c>
      <c r="AJ19" s="54">
        <f>SUM(Wittenberg!AJ18)</f>
        <v>3773</v>
      </c>
      <c r="AK19" s="54">
        <f>SUM(Wittenberg!AK18)</f>
        <v>0</v>
      </c>
      <c r="AL19" s="54">
        <f>SUM(Wittenberg!AL18)</f>
        <v>0</v>
      </c>
      <c r="AM19" s="54">
        <f>SUM(Wittenberg!AM18)</f>
        <v>0</v>
      </c>
      <c r="AN19" s="54">
        <f>SUM(Wittenberg!AN18)</f>
        <v>0</v>
      </c>
      <c r="AO19" s="54">
        <f>SUM(Wittenberg!AO18)</f>
        <v>0</v>
      </c>
      <c r="AP19" s="54">
        <f>SUM(Wittenberg!AP18)</f>
        <v>0</v>
      </c>
      <c r="AQ19" s="54">
        <f>SUM(Wittenberg!AQ18)</f>
        <v>0</v>
      </c>
      <c r="AR19" s="54">
        <f>SUM(Wittenberg!AR18)</f>
        <v>0</v>
      </c>
      <c r="AS19" s="54">
        <f>SUM(Wittenberg!AS18)</f>
        <v>0</v>
      </c>
      <c r="AT19" s="54">
        <f>SUM(Wittenberg!AT18)</f>
        <v>0</v>
      </c>
      <c r="AU19" s="54">
        <f>SUM(Wittenberg!AU18)</f>
        <v>0</v>
      </c>
      <c r="AV19" s="54">
        <f>SUM(Wittenberg!AV18)</f>
        <v>0</v>
      </c>
      <c r="AW19" s="54">
        <f>SUM(Wittenberg!AW18)</f>
        <v>0</v>
      </c>
      <c r="AX19" s="54">
        <f>SUM(Wittenberg!AX18)</f>
        <v>0</v>
      </c>
      <c r="AY19" s="54">
        <f>SUM(Wittenberg!AY18)</f>
        <v>0</v>
      </c>
      <c r="AZ19" s="54">
        <f>SUM(Wittenberg!AZ18)</f>
        <v>0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>
        <f t="shared" si="47"/>
        <v>3489.6</v>
      </c>
      <c r="BK19">
        <f t="shared" si="48"/>
        <v>3502.7</v>
      </c>
      <c r="BL19">
        <f t="shared" si="49"/>
        <v>3524</v>
      </c>
      <c r="BM19">
        <f t="shared" si="50"/>
        <v>3467.4</v>
      </c>
      <c r="BN19">
        <f t="shared" si="51"/>
        <v>3451.2</v>
      </c>
      <c r="BO19">
        <f t="shared" si="52"/>
        <v>3371.9</v>
      </c>
      <c r="BP19">
        <f t="shared" si="53"/>
        <v>3317.8</v>
      </c>
      <c r="BQ19">
        <f t="shared" si="54"/>
        <v>3312.8</v>
      </c>
      <c r="BR19">
        <f t="shared" si="55"/>
        <v>3237.4444444444443</v>
      </c>
      <c r="BS19">
        <f t="shared" si="56"/>
        <v>3243.25</v>
      </c>
      <c r="BT19">
        <f t="shared" si="57"/>
        <v>3371.625</v>
      </c>
      <c r="BU19">
        <f t="shared" si="58"/>
        <v>3390.4285714285716</v>
      </c>
      <c r="BV19">
        <f t="shared" si="59"/>
        <v>3460.1428571428573</v>
      </c>
      <c r="BW19">
        <f t="shared" si="60"/>
        <v>3614.1428571428573</v>
      </c>
      <c r="BX19">
        <f t="shared" si="61"/>
        <v>3816.1428571428573</v>
      </c>
      <c r="BY19">
        <f t="shared" si="62"/>
        <v>4098</v>
      </c>
      <c r="BZ19">
        <f t="shared" si="63"/>
        <v>4478.8571428571431</v>
      </c>
      <c r="CA19">
        <f t="shared" si="64"/>
        <v>4778.2857142857147</v>
      </c>
      <c r="CB19">
        <f t="shared" si="65"/>
        <v>4924.625</v>
      </c>
      <c r="CC19">
        <f t="shared" si="66"/>
        <v>4979.4444444444443</v>
      </c>
      <c r="CD19">
        <f t="shared" si="67"/>
        <v>5160.5555555555557</v>
      </c>
      <c r="CE19">
        <f t="shared" si="68"/>
        <v>5112</v>
      </c>
      <c r="CF19">
        <f t="shared" si="69"/>
        <v>5077.5</v>
      </c>
      <c r="CG19">
        <f t="shared" si="70"/>
        <v>5065.2</v>
      </c>
      <c r="CH19">
        <f t="shared" si="71"/>
        <v>4960.3</v>
      </c>
      <c r="CI19">
        <f t="shared" si="72"/>
        <v>4830.2</v>
      </c>
      <c r="CJ19">
        <f t="shared" si="73"/>
        <v>4728</v>
      </c>
      <c r="CK19">
        <f t="shared" si="74"/>
        <v>4595.5</v>
      </c>
      <c r="CL19">
        <f t="shared" si="75"/>
        <v>4402.1428571428569</v>
      </c>
      <c r="CM19">
        <f t="shared" si="76"/>
        <v>4232.833333333333</v>
      </c>
      <c r="CN19">
        <f t="shared" si="77"/>
        <v>3983.4</v>
      </c>
      <c r="CO19">
        <f t="shared" si="78"/>
        <v>3810.5</v>
      </c>
      <c r="CP19">
        <f t="shared" si="79"/>
        <v>3881</v>
      </c>
      <c r="CQ19">
        <f t="shared" si="80"/>
        <v>3830</v>
      </c>
      <c r="CR19">
        <f t="shared" si="81"/>
        <v>3773</v>
      </c>
      <c r="CS19" t="e">
        <f t="shared" si="82"/>
        <v>#DIV/0!</v>
      </c>
      <c r="CT19" t="e">
        <f t="shared" si="83"/>
        <v>#DIV/0!</v>
      </c>
      <c r="CU19" t="e">
        <f t="shared" si="84"/>
        <v>#DIV/0!</v>
      </c>
      <c r="CV19" t="e">
        <f t="shared" si="85"/>
        <v>#DIV/0!</v>
      </c>
      <c r="CW19" t="e">
        <f t="shared" si="86"/>
        <v>#DIV/0!</v>
      </c>
      <c r="CX19" t="e">
        <f t="shared" si="87"/>
        <v>#DIV/0!</v>
      </c>
      <c r="CY19" t="e">
        <f t="shared" si="88"/>
        <v>#DIV/0!</v>
      </c>
    </row>
    <row r="20" spans="1:103" ht="20" customHeight="1" x14ac:dyDescent="0.2">
      <c r="A20" s="49" t="s">
        <v>55</v>
      </c>
      <c r="B20" s="82">
        <f>SUM('Woodland Valley'!B18)</f>
        <v>1789</v>
      </c>
      <c r="C20" s="82">
        <f>SUM('Woodland Valley'!C18)</f>
        <v>1722</v>
      </c>
      <c r="D20" s="82">
        <f>SUM('Woodland Valley'!D18)</f>
        <v>1899</v>
      </c>
      <c r="E20" s="82">
        <f>SUM('Woodland Valley'!E18)</f>
        <v>2145</v>
      </c>
      <c r="F20" s="82">
        <f>SUM('Woodland Valley'!F18)</f>
        <v>2471</v>
      </c>
      <c r="G20" s="82">
        <f>SUM('Woodland Valley'!G18)</f>
        <v>2136</v>
      </c>
      <c r="H20" s="82">
        <f>SUM('Woodland Valley'!H18)</f>
        <v>2191</v>
      </c>
      <c r="I20" s="82">
        <f>SUM('Woodland Valley'!I18)</f>
        <v>2452</v>
      </c>
      <c r="J20" s="52">
        <f>SUM('Woodland Valley'!J18)</f>
        <v>1738</v>
      </c>
      <c r="K20" s="52">
        <f>SUM('Woodland Valley'!K18)</f>
        <v>1393</v>
      </c>
      <c r="L20" s="52">
        <f>SUM('Woodland Valley'!L18)</f>
        <v>2237</v>
      </c>
      <c r="M20" s="52">
        <f>SUM('Woodland Valley'!M18)</f>
        <v>1782</v>
      </c>
      <c r="N20" s="52">
        <f>SUM('Woodland Valley'!N18)</f>
        <v>1473</v>
      </c>
      <c r="O20" s="52">
        <f>SUM('Woodland Valley'!O18)</f>
        <v>1789</v>
      </c>
      <c r="P20" s="52">
        <f>SUM('Woodland Valley'!P18)</f>
        <v>1499</v>
      </c>
      <c r="Q20" s="52">
        <f>SUM('Woodland Valley'!Q18)</f>
        <v>1909</v>
      </c>
      <c r="R20" s="52">
        <f>SUM('Woodland Valley'!R18)</f>
        <v>1529</v>
      </c>
      <c r="S20" s="52"/>
      <c r="T20" s="52"/>
      <c r="U20" s="52"/>
      <c r="V20" s="52"/>
      <c r="W20" s="52">
        <f>SUM('Woodland Valley'!W18)</f>
        <v>1617</v>
      </c>
      <c r="X20" s="52">
        <f>SUM('Woodland Valley'!X18)</f>
        <v>1656</v>
      </c>
      <c r="Y20" s="52">
        <f>SUM('Woodland Valley'!Y18)</f>
        <v>1682</v>
      </c>
      <c r="Z20" s="52">
        <f>SUM('Woodland Valley'!Z18)</f>
        <v>2079</v>
      </c>
      <c r="AA20" s="52">
        <f>SUM('Woodland Valley'!AA18)</f>
        <v>2208</v>
      </c>
      <c r="AB20" s="52">
        <f>SUM('Woodland Valley'!AB18)</f>
        <v>2095</v>
      </c>
      <c r="AC20" s="52">
        <f>SUM('Woodland Valley'!AC18)</f>
        <v>1476</v>
      </c>
      <c r="AD20" s="52">
        <f>SUM('Woodland Valley'!AD18)</f>
        <v>1530</v>
      </c>
      <c r="AE20" s="52">
        <f>SUM('Woodland Valley'!AE18)</f>
        <v>1337</v>
      </c>
      <c r="AF20" s="52">
        <f>SUM('Woodland Valley'!AF18)</f>
        <v>1193</v>
      </c>
      <c r="AG20" s="52">
        <f>SUM('Woodland Valley'!AG18)</f>
        <v>1260</v>
      </c>
      <c r="AH20" s="52">
        <f>SUM('Woodland Valley'!AH18)</f>
        <v>1022</v>
      </c>
      <c r="AI20" s="52">
        <f>SUM('Woodland Valley'!AI18)</f>
        <v>648</v>
      </c>
      <c r="AJ20" s="52">
        <f>SUM('Woodland Valley'!AJ18)</f>
        <v>146</v>
      </c>
      <c r="AK20" s="52">
        <f>SUM('Woodland Valley'!AK18)</f>
        <v>0</v>
      </c>
      <c r="AL20" s="52">
        <f>SUM('Woodland Valley'!AL18)</f>
        <v>0</v>
      </c>
      <c r="AM20" s="52">
        <f>SUM('Woodland Valley'!AM18)</f>
        <v>0</v>
      </c>
      <c r="AN20" s="52">
        <f>SUM('Woodland Valley'!AN18)</f>
        <v>0</v>
      </c>
      <c r="AO20" s="52">
        <f>SUM('Woodland Valley'!AO18)</f>
        <v>0</v>
      </c>
      <c r="AP20" s="52">
        <f>SUM('Woodland Valley'!AP18)</f>
        <v>0</v>
      </c>
      <c r="AQ20" s="52">
        <f>SUM('Woodland Valley'!AQ18)</f>
        <v>0</v>
      </c>
      <c r="AR20" s="52">
        <f>SUM('Woodland Valley'!AR18)</f>
        <v>0</v>
      </c>
      <c r="AS20" s="52">
        <f>SUM('Woodland Valley'!AS18)</f>
        <v>0</v>
      </c>
      <c r="AT20" s="52">
        <f>SUM('Woodland Valley'!AT18)</f>
        <v>0</v>
      </c>
      <c r="AU20" s="52">
        <f>SUM('Woodland Valley'!AU18)</f>
        <v>0</v>
      </c>
      <c r="AV20" s="52">
        <f>SUM('Woodland Valley'!AV18)</f>
        <v>0</v>
      </c>
      <c r="AW20" s="52">
        <f>SUM('Woodland Valley'!AW18)</f>
        <v>0</v>
      </c>
      <c r="AX20" s="52">
        <f>SUM('Woodland Valley'!AX18)</f>
        <v>0</v>
      </c>
      <c r="AY20" s="52">
        <f>SUM('Woodland Valley'!AY18)</f>
        <v>0</v>
      </c>
      <c r="AZ20" s="52">
        <f>SUM('Woodland Valley'!AZ18)</f>
        <v>0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>
        <f t="shared" si="47"/>
        <v>1993.6</v>
      </c>
      <c r="BK20">
        <f t="shared" si="48"/>
        <v>2038.4</v>
      </c>
      <c r="BL20">
        <f t="shared" si="49"/>
        <v>2044.4</v>
      </c>
      <c r="BM20">
        <f t="shared" si="50"/>
        <v>2001.8</v>
      </c>
      <c r="BN20">
        <f t="shared" si="51"/>
        <v>1966.2</v>
      </c>
      <c r="BO20">
        <f t="shared" si="52"/>
        <v>1869</v>
      </c>
      <c r="BP20">
        <f t="shared" si="53"/>
        <v>1846.3</v>
      </c>
      <c r="BQ20">
        <f t="shared" si="54"/>
        <v>1780.1</v>
      </c>
      <c r="BR20">
        <f t="shared" si="55"/>
        <v>1705.4444444444443</v>
      </c>
      <c r="BS20">
        <f t="shared" si="56"/>
        <v>1701.375</v>
      </c>
      <c r="BT20">
        <f t="shared" si="57"/>
        <v>1745.4285714285713</v>
      </c>
      <c r="BU20">
        <f t="shared" si="58"/>
        <v>1663.5</v>
      </c>
      <c r="BV20">
        <f t="shared" si="59"/>
        <v>1636</v>
      </c>
      <c r="BW20">
        <f t="shared" si="60"/>
        <v>1666.5</v>
      </c>
      <c r="BX20">
        <f t="shared" si="61"/>
        <v>1648.6666666666667</v>
      </c>
      <c r="BY20">
        <f t="shared" si="62"/>
        <v>1745.3333333333333</v>
      </c>
      <c r="BZ20">
        <f t="shared" si="63"/>
        <v>1795.1666666666667</v>
      </c>
      <c r="CA20">
        <f t="shared" si="64"/>
        <v>1889.5</v>
      </c>
      <c r="CB20">
        <f t="shared" si="65"/>
        <v>1830.4285714285713</v>
      </c>
      <c r="CC20">
        <f t="shared" si="66"/>
        <v>1792.875</v>
      </c>
      <c r="CD20">
        <f t="shared" si="67"/>
        <v>1742.2222222222222</v>
      </c>
      <c r="CE20">
        <f t="shared" si="68"/>
        <v>1687.3</v>
      </c>
      <c r="CF20">
        <f t="shared" si="69"/>
        <v>1651.6</v>
      </c>
      <c r="CG20">
        <f t="shared" si="70"/>
        <v>1588.2</v>
      </c>
      <c r="CH20">
        <f t="shared" si="71"/>
        <v>1484.8</v>
      </c>
      <c r="CI20">
        <f t="shared" si="72"/>
        <v>1291.5</v>
      </c>
      <c r="CJ20">
        <f t="shared" si="73"/>
        <v>1189.6666666666667</v>
      </c>
      <c r="CK20">
        <f t="shared" si="74"/>
        <v>1076.5</v>
      </c>
      <c r="CL20">
        <f t="shared" si="75"/>
        <v>1019.4285714285714</v>
      </c>
      <c r="CM20">
        <f t="shared" si="76"/>
        <v>934.33333333333337</v>
      </c>
      <c r="CN20">
        <f t="shared" si="77"/>
        <v>853.8</v>
      </c>
      <c r="CO20">
        <f t="shared" si="78"/>
        <v>769</v>
      </c>
      <c r="CP20">
        <f t="shared" si="79"/>
        <v>605.33333333333337</v>
      </c>
      <c r="CQ20">
        <f t="shared" si="80"/>
        <v>397</v>
      </c>
      <c r="CR20">
        <f t="shared" si="81"/>
        <v>146</v>
      </c>
      <c r="CS20" t="e">
        <f t="shared" si="82"/>
        <v>#DIV/0!</v>
      </c>
      <c r="CT20" t="e">
        <f t="shared" si="83"/>
        <v>#DIV/0!</v>
      </c>
      <c r="CU20" t="e">
        <f t="shared" si="84"/>
        <v>#DIV/0!</v>
      </c>
      <c r="CV20" t="e">
        <f t="shared" si="85"/>
        <v>#DIV/0!</v>
      </c>
      <c r="CW20" t="e">
        <f t="shared" si="86"/>
        <v>#DIV/0!</v>
      </c>
      <c r="CX20" t="e">
        <f t="shared" si="87"/>
        <v>#DIV/0!</v>
      </c>
      <c r="CY20" t="e">
        <f t="shared" si="88"/>
        <v>#DIV/0!</v>
      </c>
    </row>
    <row r="21" spans="1:103" ht="20" customHeight="1" x14ac:dyDescent="0.2">
      <c r="A21" s="10" t="s">
        <v>72</v>
      </c>
      <c r="B21" s="83"/>
      <c r="C21" s="83"/>
      <c r="D21" s="83"/>
      <c r="E21" s="83"/>
      <c r="F21" s="83"/>
      <c r="G21" s="83"/>
      <c r="H21" s="83"/>
      <c r="I21" s="83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>
        <f>SUM('Lane Street'!Y18)</f>
        <v>776</v>
      </c>
      <c r="Z21" s="54">
        <f>SUM('Lane Street'!Z18)</f>
        <v>604</v>
      </c>
      <c r="AA21" s="54">
        <f>SUM('Lane Street'!AA18)</f>
        <v>760</v>
      </c>
      <c r="AB21" s="54">
        <f>SUM('Lane Street'!AB18)</f>
        <v>591</v>
      </c>
      <c r="AC21" s="54">
        <f>SUM('Lane Street'!AC18)</f>
        <v>563</v>
      </c>
      <c r="AD21" s="54">
        <f>SUM('Lane Street'!AD18)</f>
        <v>623</v>
      </c>
      <c r="AE21" s="54">
        <f>SUM('Lane Street'!AE18)</f>
        <v>788</v>
      </c>
      <c r="AF21" s="54">
        <f>SUM('Lane Street'!AF18)</f>
        <v>654</v>
      </c>
      <c r="AG21" s="54">
        <f>SUM('Lane Street'!AG18)</f>
        <v>545</v>
      </c>
      <c r="AH21" s="54">
        <f>SUM('Lane Street'!AH18)</f>
        <v>514</v>
      </c>
      <c r="AI21" s="54">
        <f>SUM('Lane Street'!AI18)</f>
        <v>405</v>
      </c>
      <c r="AJ21" s="54">
        <f>SUM('Lane Street'!AJ18)</f>
        <v>0</v>
      </c>
      <c r="AK21" s="54">
        <f>SUM('Lane Street'!AK18)</f>
        <v>0</v>
      </c>
      <c r="AL21" s="54">
        <f>SUM('Lane Street'!AL18)</f>
        <v>0</v>
      </c>
      <c r="AM21" s="54">
        <f>SUM('Lane Street'!AM18)</f>
        <v>0</v>
      </c>
      <c r="AN21" s="54">
        <f>SUM('Lane Street'!AN18)</f>
        <v>0</v>
      </c>
      <c r="AO21" s="54">
        <f>SUM('Lane Street'!AO18)</f>
        <v>0</v>
      </c>
      <c r="AP21" s="54">
        <f>SUM('Lane Street'!AP18)</f>
        <v>0</v>
      </c>
      <c r="AQ21" s="54">
        <f>SUM('Lane Street'!AQ18)</f>
        <v>0</v>
      </c>
      <c r="AR21" s="54">
        <f>SUM('Lane Street'!AR18)</f>
        <v>0</v>
      </c>
      <c r="AS21" s="54">
        <f>SUM('Lane Street'!AS18)</f>
        <v>0</v>
      </c>
      <c r="AT21" s="54">
        <f>SUM('Lane Street'!AT18)</f>
        <v>0</v>
      </c>
      <c r="AU21" s="54">
        <f>SUM('Lane Street'!AU18)</f>
        <v>0</v>
      </c>
      <c r="AV21" s="54">
        <f>SUM('Lane Street'!AV18)</f>
        <v>0</v>
      </c>
      <c r="AW21" s="54">
        <f>SUM('Lane Street'!AW18)</f>
        <v>0</v>
      </c>
      <c r="AX21" s="54">
        <f>SUM('Lane Street'!AX18)</f>
        <v>0</v>
      </c>
      <c r="AY21" s="54">
        <f>SUM('Lane Street'!AY18)</f>
        <v>0</v>
      </c>
      <c r="AZ21" s="54">
        <f>SUM('Lane Street'!AZ18)</f>
        <v>0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f t="shared" si="47"/>
        <v>#DIV/0!</v>
      </c>
      <c r="BK21" t="e">
        <f t="shared" si="48"/>
        <v>#DIV/0!</v>
      </c>
      <c r="BL21" t="e">
        <f t="shared" si="49"/>
        <v>#DIV/0!</v>
      </c>
      <c r="BM21" t="e">
        <f t="shared" si="50"/>
        <v>#DIV/0!</v>
      </c>
      <c r="BN21" t="e">
        <f t="shared" si="51"/>
        <v>#DIV/0!</v>
      </c>
      <c r="BO21" t="e">
        <f t="shared" si="52"/>
        <v>#DIV/0!</v>
      </c>
      <c r="BP21" t="e">
        <f t="shared" si="53"/>
        <v>#DIV/0!</v>
      </c>
      <c r="BQ21" t="e">
        <f t="shared" si="54"/>
        <v>#DIV/0!</v>
      </c>
      <c r="BR21" t="e">
        <f t="shared" si="55"/>
        <v>#DIV/0!</v>
      </c>
      <c r="BS21" t="e">
        <f t="shared" si="56"/>
        <v>#DIV/0!</v>
      </c>
      <c r="BT21"/>
      <c r="BU21"/>
      <c r="BV21"/>
      <c r="BW21"/>
      <c r="BX21">
        <f t="shared" si="61"/>
        <v>776</v>
      </c>
      <c r="BY21">
        <f t="shared" si="62"/>
        <v>690</v>
      </c>
      <c r="BZ21">
        <f t="shared" si="63"/>
        <v>713.33333333333337</v>
      </c>
      <c r="CA21">
        <f t="shared" si="64"/>
        <v>682.75</v>
      </c>
      <c r="CB21">
        <f t="shared" si="65"/>
        <v>658.8</v>
      </c>
      <c r="CC21">
        <f t="shared" si="66"/>
        <v>652.83333333333337</v>
      </c>
      <c r="CD21">
        <f t="shared" si="67"/>
        <v>672.14285714285711</v>
      </c>
      <c r="CE21">
        <f t="shared" si="68"/>
        <v>669.875</v>
      </c>
      <c r="CF21">
        <f t="shared" si="69"/>
        <v>656</v>
      </c>
      <c r="CG21">
        <f t="shared" si="70"/>
        <v>641.79999999999995</v>
      </c>
      <c r="CH21">
        <f t="shared" si="71"/>
        <v>604.70000000000005</v>
      </c>
      <c r="CI21">
        <f t="shared" si="72"/>
        <v>604.77777777777783</v>
      </c>
      <c r="CJ21">
        <f t="shared" si="73"/>
        <v>585.375</v>
      </c>
      <c r="CK21">
        <f t="shared" si="74"/>
        <v>584.57142857142856</v>
      </c>
      <c r="CL21">
        <f t="shared" si="75"/>
        <v>588.16666666666663</v>
      </c>
      <c r="CM21">
        <f t="shared" si="76"/>
        <v>581.20000000000005</v>
      </c>
      <c r="CN21">
        <f t="shared" si="77"/>
        <v>529.5</v>
      </c>
      <c r="CO21">
        <f t="shared" si="78"/>
        <v>488</v>
      </c>
      <c r="CP21">
        <f t="shared" si="79"/>
        <v>459.5</v>
      </c>
      <c r="CQ21">
        <f t="shared" si="80"/>
        <v>405</v>
      </c>
      <c r="CR21" t="e">
        <f t="shared" si="81"/>
        <v>#DIV/0!</v>
      </c>
      <c r="CS21" t="e">
        <f t="shared" si="82"/>
        <v>#DIV/0!</v>
      </c>
      <c r="CT21" t="e">
        <f t="shared" si="83"/>
        <v>#DIV/0!</v>
      </c>
      <c r="CU21" t="e">
        <f t="shared" si="84"/>
        <v>#DIV/0!</v>
      </c>
      <c r="CV21" t="e">
        <f t="shared" si="85"/>
        <v>#DIV/0!</v>
      </c>
      <c r="CW21" t="e">
        <f t="shared" si="86"/>
        <v>#DIV/0!</v>
      </c>
      <c r="CX21" t="e">
        <f t="shared" si="87"/>
        <v>#DIV/0!</v>
      </c>
      <c r="CY21" t="e">
        <f t="shared" si="88"/>
        <v>#DIV/0!</v>
      </c>
    </row>
    <row r="22" spans="1:103" s="35" customFormat="1" ht="20" customHeight="1" thickBot="1" x14ac:dyDescent="0.25">
      <c r="A22" s="59" t="s">
        <v>69</v>
      </c>
      <c r="B22" s="84">
        <f>SUM(B14:B20)</f>
        <v>19493</v>
      </c>
      <c r="C22" s="84">
        <f t="shared" ref="C22:X22" si="89">SUM(C14:C20)</f>
        <v>19544</v>
      </c>
      <c r="D22" s="84">
        <f t="shared" si="89"/>
        <v>20538</v>
      </c>
      <c r="E22" s="84">
        <f t="shared" si="89"/>
        <v>21353</v>
      </c>
      <c r="F22" s="84">
        <f t="shared" si="89"/>
        <v>22281</v>
      </c>
      <c r="G22" s="84">
        <f t="shared" si="89"/>
        <v>20473</v>
      </c>
      <c r="H22" s="84">
        <f t="shared" si="89"/>
        <v>21896</v>
      </c>
      <c r="I22" s="84">
        <f t="shared" si="89"/>
        <v>23278</v>
      </c>
      <c r="J22" s="58">
        <f t="shared" si="89"/>
        <v>18922</v>
      </c>
      <c r="K22" s="58">
        <f t="shared" si="89"/>
        <v>19549</v>
      </c>
      <c r="L22" s="58">
        <f t="shared" si="89"/>
        <v>19113</v>
      </c>
      <c r="M22" s="58">
        <f t="shared" si="89"/>
        <v>19223</v>
      </c>
      <c r="N22" s="58">
        <f t="shared" si="89"/>
        <v>17804</v>
      </c>
      <c r="O22" s="58">
        <f t="shared" si="89"/>
        <v>18918</v>
      </c>
      <c r="P22" s="58">
        <f t="shared" si="89"/>
        <v>16847</v>
      </c>
      <c r="Q22" s="58">
        <f t="shared" si="89"/>
        <v>18240</v>
      </c>
      <c r="R22" s="58">
        <f t="shared" si="89"/>
        <v>18558</v>
      </c>
      <c r="S22" s="58"/>
      <c r="T22" s="58"/>
      <c r="U22" s="58">
        <f t="shared" si="89"/>
        <v>20118</v>
      </c>
      <c r="V22" s="58"/>
      <c r="W22" s="58">
        <f t="shared" si="89"/>
        <v>22081</v>
      </c>
      <c r="X22" s="58">
        <f t="shared" si="89"/>
        <v>22627</v>
      </c>
      <c r="Y22" s="58">
        <f>SUM(Y14:Y21)</f>
        <v>26784</v>
      </c>
      <c r="Z22" s="58">
        <f>SUM(Z14:Z21)</f>
        <v>28808</v>
      </c>
      <c r="AA22" s="58">
        <f>SUM(AA14:AA21)</f>
        <v>32455</v>
      </c>
      <c r="AB22" s="58">
        <f>SUM(AB14:AB21)</f>
        <v>33211</v>
      </c>
      <c r="AC22" s="58">
        <f>SUM(AC14:AC21)</f>
        <v>26451</v>
      </c>
      <c r="AD22" s="58">
        <f t="shared" ref="AD22:AZ22" si="90">SUM(AD14:AD21)</f>
        <v>28593</v>
      </c>
      <c r="AE22" s="58">
        <f t="shared" si="90"/>
        <v>32747</v>
      </c>
      <c r="AF22" s="58">
        <f t="shared" si="90"/>
        <v>28494</v>
      </c>
      <c r="AG22" s="58">
        <f t="shared" si="90"/>
        <v>23842</v>
      </c>
      <c r="AH22" s="58">
        <f t="shared" si="90"/>
        <v>19405</v>
      </c>
      <c r="AI22" s="58">
        <f t="shared" si="90"/>
        <v>14786</v>
      </c>
      <c r="AJ22" s="58">
        <f t="shared" si="90"/>
        <v>6515</v>
      </c>
      <c r="AK22" s="58">
        <f t="shared" si="90"/>
        <v>0</v>
      </c>
      <c r="AL22" s="58">
        <f t="shared" si="90"/>
        <v>0</v>
      </c>
      <c r="AM22" s="58">
        <f t="shared" si="90"/>
        <v>0</v>
      </c>
      <c r="AN22" s="58">
        <f t="shared" si="90"/>
        <v>0</v>
      </c>
      <c r="AO22" s="58">
        <f t="shared" si="90"/>
        <v>0</v>
      </c>
      <c r="AP22" s="58">
        <f t="shared" si="90"/>
        <v>0</v>
      </c>
      <c r="AQ22" s="58">
        <f t="shared" si="90"/>
        <v>0</v>
      </c>
      <c r="AR22" s="58">
        <f t="shared" si="90"/>
        <v>0</v>
      </c>
      <c r="AS22" s="58">
        <f t="shared" si="90"/>
        <v>0</v>
      </c>
      <c r="AT22" s="58">
        <f t="shared" si="90"/>
        <v>0</v>
      </c>
      <c r="AU22" s="58">
        <f t="shared" si="90"/>
        <v>0</v>
      </c>
      <c r="AV22" s="58">
        <f t="shared" si="90"/>
        <v>0</v>
      </c>
      <c r="AW22" s="58">
        <f t="shared" si="90"/>
        <v>0</v>
      </c>
      <c r="AX22" s="58">
        <f t="shared" si="90"/>
        <v>0</v>
      </c>
      <c r="AY22" s="58">
        <f t="shared" si="90"/>
        <v>0</v>
      </c>
      <c r="AZ22" s="58">
        <f t="shared" si="90"/>
        <v>0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>
        <f t="shared" si="47"/>
        <v>20732.7</v>
      </c>
      <c r="BK22">
        <f t="shared" si="48"/>
        <v>20694.7</v>
      </c>
      <c r="BL22">
        <f t="shared" si="49"/>
        <v>20662.599999999999</v>
      </c>
      <c r="BM22">
        <f t="shared" si="50"/>
        <v>20389.2</v>
      </c>
      <c r="BN22">
        <f t="shared" si="51"/>
        <v>20145.7</v>
      </c>
      <c r="BO22">
        <f t="shared" si="52"/>
        <v>19602.3</v>
      </c>
      <c r="BP22">
        <f t="shared" si="53"/>
        <v>19379</v>
      </c>
      <c r="BQ22">
        <f t="shared" si="54"/>
        <v>19045.2</v>
      </c>
      <c r="BR22">
        <f t="shared" si="55"/>
        <v>18574.888888888891</v>
      </c>
      <c r="BS22">
        <f t="shared" si="56"/>
        <v>18531.5</v>
      </c>
      <c r="BT22">
        <f t="shared" si="57"/>
        <v>18602.625</v>
      </c>
      <c r="BU22">
        <f t="shared" si="58"/>
        <v>18529.714285714286</v>
      </c>
      <c r="BV22">
        <f t="shared" si="59"/>
        <v>18938</v>
      </c>
      <c r="BW22">
        <f t="shared" si="60"/>
        <v>19627</v>
      </c>
      <c r="BX22">
        <f t="shared" si="61"/>
        <v>20750.714285714286</v>
      </c>
      <c r="BY22">
        <f t="shared" si="62"/>
        <v>22459.428571428572</v>
      </c>
      <c r="BZ22">
        <f t="shared" si="63"/>
        <v>24490.142857142859</v>
      </c>
      <c r="CA22">
        <f t="shared" si="64"/>
        <v>26583.428571428572</v>
      </c>
      <c r="CB22">
        <f t="shared" si="65"/>
        <v>26566.875</v>
      </c>
      <c r="CC22">
        <f t="shared" si="66"/>
        <v>26792</v>
      </c>
      <c r="CD22">
        <f t="shared" si="67"/>
        <v>28195.222222222223</v>
      </c>
      <c r="CE22">
        <f t="shared" si="68"/>
        <v>28225.1</v>
      </c>
      <c r="CF22">
        <f t="shared" si="69"/>
        <v>28401.200000000001</v>
      </c>
      <c r="CG22">
        <f t="shared" si="70"/>
        <v>28079</v>
      </c>
      <c r="CH22">
        <f t="shared" si="71"/>
        <v>26879.200000000001</v>
      </c>
      <c r="CI22">
        <f t="shared" si="72"/>
        <v>24649.9</v>
      </c>
      <c r="CJ22">
        <f t="shared" si="73"/>
        <v>23782.666666666668</v>
      </c>
      <c r="CK22">
        <f t="shared" si="74"/>
        <v>22604.125</v>
      </c>
      <c r="CL22">
        <f t="shared" si="75"/>
        <v>22054.571428571428</v>
      </c>
      <c r="CM22">
        <f t="shared" si="76"/>
        <v>20964.833333333332</v>
      </c>
      <c r="CN22">
        <f t="shared" si="77"/>
        <v>18608.400000000001</v>
      </c>
      <c r="CO22">
        <f t="shared" si="78"/>
        <v>16137</v>
      </c>
      <c r="CP22">
        <f t="shared" si="79"/>
        <v>13568.666666666666</v>
      </c>
      <c r="CQ22">
        <f t="shared" si="80"/>
        <v>10650.5</v>
      </c>
      <c r="CR22">
        <f t="shared" si="81"/>
        <v>6515</v>
      </c>
      <c r="CS22" t="e">
        <f t="shared" si="82"/>
        <v>#DIV/0!</v>
      </c>
      <c r="CT22" t="e">
        <f t="shared" si="83"/>
        <v>#DIV/0!</v>
      </c>
      <c r="CU22" t="e">
        <f t="shared" si="84"/>
        <v>#DIV/0!</v>
      </c>
      <c r="CV22" t="e">
        <f t="shared" si="85"/>
        <v>#DIV/0!</v>
      </c>
      <c r="CW22" t="e">
        <f t="shared" si="86"/>
        <v>#DIV/0!</v>
      </c>
      <c r="CX22" t="e">
        <f t="shared" si="87"/>
        <v>#DIV/0!</v>
      </c>
      <c r="CY22" t="e">
        <f t="shared" si="88"/>
        <v>#DIV/0!</v>
      </c>
    </row>
    <row r="23" spans="1:103" s="75" customFormat="1" ht="20" customHeight="1" thickBot="1" x14ac:dyDescent="0.25">
      <c r="A23" s="140" t="s">
        <v>61</v>
      </c>
      <c r="B23" s="141">
        <f>SUM(B11+B22)</f>
        <v>22700</v>
      </c>
      <c r="C23" s="141">
        <f t="shared" ref="C23:X23" si="91">SUM(C11+C22)</f>
        <v>22759</v>
      </c>
      <c r="D23" s="141">
        <f t="shared" si="91"/>
        <v>24003</v>
      </c>
      <c r="E23" s="141">
        <f t="shared" si="91"/>
        <v>25128</v>
      </c>
      <c r="F23" s="141">
        <f t="shared" si="91"/>
        <v>26309</v>
      </c>
      <c r="G23" s="141">
        <f t="shared" si="91"/>
        <v>24031</v>
      </c>
      <c r="H23" s="141">
        <f t="shared" si="91"/>
        <v>26212</v>
      </c>
      <c r="I23" s="141">
        <f t="shared" si="91"/>
        <v>27781</v>
      </c>
      <c r="J23" s="142">
        <f t="shared" si="91"/>
        <v>23587</v>
      </c>
      <c r="K23" s="74">
        <f t="shared" si="91"/>
        <v>23830</v>
      </c>
      <c r="L23" s="74">
        <f t="shared" si="91"/>
        <v>23413</v>
      </c>
      <c r="M23" s="74">
        <f t="shared" si="91"/>
        <v>23705</v>
      </c>
      <c r="N23" s="74">
        <f t="shared" si="91"/>
        <v>21909</v>
      </c>
      <c r="O23" s="74">
        <f t="shared" si="91"/>
        <v>22899</v>
      </c>
      <c r="P23" s="74">
        <f t="shared" si="91"/>
        <v>20859</v>
      </c>
      <c r="Q23" s="74">
        <f t="shared" si="91"/>
        <v>22710</v>
      </c>
      <c r="R23" s="74">
        <f t="shared" si="91"/>
        <v>22612</v>
      </c>
      <c r="S23" s="74"/>
      <c r="T23" s="74"/>
      <c r="U23" s="74">
        <f t="shared" si="91"/>
        <v>29572</v>
      </c>
      <c r="V23" s="74"/>
      <c r="W23" s="74">
        <f t="shared" si="91"/>
        <v>26301</v>
      </c>
      <c r="X23" s="74">
        <f t="shared" si="91"/>
        <v>26842</v>
      </c>
      <c r="Y23" s="74">
        <f>SUM(Y11+Y22)</f>
        <v>31677</v>
      </c>
      <c r="Z23" s="74">
        <f>SUM(Z11+Z22)</f>
        <v>34060</v>
      </c>
      <c r="AA23" s="74">
        <f>SUM(AA11+AA22)</f>
        <v>38800</v>
      </c>
      <c r="AB23" s="74">
        <f>SUM(AB11+AB22)</f>
        <v>38311</v>
      </c>
      <c r="AC23" s="74">
        <f>SUM(AC11+AC22)</f>
        <v>31552</v>
      </c>
      <c r="AD23" s="74">
        <f t="shared" ref="AD23:AZ23" si="92">SUM(AD11+AD22)</f>
        <v>34595</v>
      </c>
      <c r="AE23" s="74">
        <f t="shared" si="92"/>
        <v>40765</v>
      </c>
      <c r="AF23" s="74">
        <f t="shared" si="92"/>
        <v>35005</v>
      </c>
      <c r="AG23" s="74">
        <f t="shared" si="92"/>
        <v>28910</v>
      </c>
      <c r="AH23" s="74">
        <f t="shared" si="92"/>
        <v>23887</v>
      </c>
      <c r="AI23" s="74">
        <f t="shared" si="92"/>
        <v>16431</v>
      </c>
      <c r="AJ23" s="74">
        <f t="shared" si="92"/>
        <v>6515</v>
      </c>
      <c r="AK23" s="74">
        <f t="shared" si="92"/>
        <v>0</v>
      </c>
      <c r="AL23" s="74">
        <f t="shared" si="92"/>
        <v>0</v>
      </c>
      <c r="AM23" s="74">
        <f t="shared" si="92"/>
        <v>0</v>
      </c>
      <c r="AN23" s="74">
        <f t="shared" si="92"/>
        <v>0</v>
      </c>
      <c r="AO23" s="74">
        <f t="shared" si="92"/>
        <v>0</v>
      </c>
      <c r="AP23" s="74">
        <f t="shared" si="92"/>
        <v>0</v>
      </c>
      <c r="AQ23" s="74">
        <f t="shared" si="92"/>
        <v>0</v>
      </c>
      <c r="AR23" s="74">
        <f t="shared" si="92"/>
        <v>0</v>
      </c>
      <c r="AS23" s="74">
        <f t="shared" si="92"/>
        <v>0</v>
      </c>
      <c r="AT23" s="74">
        <f t="shared" si="92"/>
        <v>0</v>
      </c>
      <c r="AU23" s="74">
        <f t="shared" si="92"/>
        <v>0</v>
      </c>
      <c r="AV23" s="74">
        <f t="shared" si="92"/>
        <v>0</v>
      </c>
      <c r="AW23" s="74">
        <f t="shared" si="92"/>
        <v>0</v>
      </c>
      <c r="AX23" s="74">
        <f t="shared" si="92"/>
        <v>0</v>
      </c>
      <c r="AY23" s="74">
        <f t="shared" si="92"/>
        <v>0</v>
      </c>
      <c r="AZ23" s="74">
        <f t="shared" si="92"/>
        <v>0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e">
        <v>#N/A</v>
      </c>
      <c r="BI23" t="e">
        <v>#N/A</v>
      </c>
      <c r="BJ23">
        <f t="shared" si="47"/>
        <v>24634</v>
      </c>
      <c r="BK23">
        <f t="shared" si="48"/>
        <v>24705.3</v>
      </c>
      <c r="BL23">
        <f t="shared" si="49"/>
        <v>24799.9</v>
      </c>
      <c r="BM23">
        <f t="shared" si="50"/>
        <v>24590.5</v>
      </c>
      <c r="BN23">
        <f t="shared" si="51"/>
        <v>24367.599999999999</v>
      </c>
      <c r="BO23">
        <f t="shared" si="52"/>
        <v>23822.6</v>
      </c>
      <c r="BP23">
        <f t="shared" si="53"/>
        <v>23690.5</v>
      </c>
      <c r="BQ23">
        <f t="shared" si="54"/>
        <v>23330.5</v>
      </c>
      <c r="BR23">
        <f t="shared" si="55"/>
        <v>22836</v>
      </c>
      <c r="BS23">
        <f t="shared" si="56"/>
        <v>22742.125</v>
      </c>
      <c r="BT23">
        <f t="shared" si="57"/>
        <v>23459.875</v>
      </c>
      <c r="BU23">
        <f t="shared" si="58"/>
        <v>23466.571428571428</v>
      </c>
      <c r="BV23">
        <f t="shared" si="59"/>
        <v>23837.428571428572</v>
      </c>
      <c r="BW23">
        <f t="shared" si="60"/>
        <v>24542.142857142859</v>
      </c>
      <c r="BX23">
        <f t="shared" si="61"/>
        <v>25796.142857142859</v>
      </c>
      <c r="BY23">
        <f t="shared" si="62"/>
        <v>27682</v>
      </c>
      <c r="BZ23">
        <f t="shared" si="63"/>
        <v>29980.571428571428</v>
      </c>
      <c r="CA23">
        <f t="shared" si="64"/>
        <v>32223.285714285714</v>
      </c>
      <c r="CB23">
        <f t="shared" si="65"/>
        <v>32139.375</v>
      </c>
      <c r="CC23">
        <f t="shared" si="66"/>
        <v>32412.222222222223</v>
      </c>
      <c r="CD23">
        <f t="shared" si="67"/>
        <v>33655.888888888891</v>
      </c>
      <c r="CE23">
        <f t="shared" si="68"/>
        <v>33790.800000000003</v>
      </c>
      <c r="CF23">
        <f t="shared" si="69"/>
        <v>34051.699999999997</v>
      </c>
      <c r="CG23">
        <f t="shared" si="70"/>
        <v>33756.199999999997</v>
      </c>
      <c r="CH23">
        <f t="shared" si="71"/>
        <v>32231.599999999999</v>
      </c>
      <c r="CI23">
        <f t="shared" si="72"/>
        <v>29477.1</v>
      </c>
      <c r="CJ23">
        <f t="shared" si="73"/>
        <v>28441.222222222223</v>
      </c>
      <c r="CK23">
        <f t="shared" si="74"/>
        <v>27207.5</v>
      </c>
      <c r="CL23">
        <f t="shared" si="75"/>
        <v>26586.857142857141</v>
      </c>
      <c r="CM23">
        <f t="shared" si="76"/>
        <v>25252.166666666668</v>
      </c>
      <c r="CN23">
        <f t="shared" si="77"/>
        <v>22149.599999999999</v>
      </c>
      <c r="CO23">
        <f t="shared" si="78"/>
        <v>18935.75</v>
      </c>
      <c r="CP23">
        <f t="shared" si="79"/>
        <v>15611</v>
      </c>
      <c r="CQ23">
        <f t="shared" si="80"/>
        <v>11473</v>
      </c>
      <c r="CR23">
        <f t="shared" si="81"/>
        <v>6515</v>
      </c>
      <c r="CS23" t="e">
        <f t="shared" si="82"/>
        <v>#DIV/0!</v>
      </c>
      <c r="CT23" t="e">
        <f t="shared" si="83"/>
        <v>#DIV/0!</v>
      </c>
      <c r="CU23" t="e">
        <f t="shared" si="84"/>
        <v>#DIV/0!</v>
      </c>
      <c r="CV23" t="e">
        <f t="shared" si="85"/>
        <v>#DIV/0!</v>
      </c>
      <c r="CW23" t="e">
        <f t="shared" si="86"/>
        <v>#DIV/0!</v>
      </c>
      <c r="CX23" t="e">
        <f t="shared" si="87"/>
        <v>#DIV/0!</v>
      </c>
      <c r="CY23" t="e">
        <f t="shared" si="88"/>
        <v>#DIV/0!</v>
      </c>
    </row>
    <row r="24" spans="1:103" ht="20" customHeight="1" x14ac:dyDescent="0.2">
      <c r="A24" s="143"/>
      <c r="B24" s="138"/>
      <c r="C24" s="138"/>
      <c r="D24" s="138"/>
      <c r="E24" s="138"/>
      <c r="F24" s="138"/>
      <c r="G24" s="138"/>
      <c r="H24" s="138"/>
      <c r="I24" s="144"/>
      <c r="J24" s="26" t="s">
        <v>123</v>
      </c>
      <c r="K24" s="29"/>
      <c r="L24" s="38" t="s">
        <v>121</v>
      </c>
      <c r="M24" s="29"/>
      <c r="N24" s="29"/>
      <c r="O24" s="29"/>
      <c r="P24" s="29"/>
      <c r="Q24" s="29"/>
      <c r="R24" s="29"/>
      <c r="S24" s="29"/>
      <c r="T24" s="29"/>
      <c r="U24" s="38" t="s">
        <v>121</v>
      </c>
      <c r="V24" s="29"/>
      <c r="W24" s="29"/>
      <c r="X24" s="29"/>
      <c r="Y24" s="29"/>
      <c r="Z24" s="38"/>
      <c r="AA24" s="38" t="s">
        <v>87</v>
      </c>
      <c r="AB24" s="29"/>
      <c r="AC24" s="29"/>
      <c r="AD24" s="29"/>
      <c r="AE24" s="29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B24" s="1"/>
    </row>
    <row r="25" spans="1:103" ht="20" customHeight="1" x14ac:dyDescent="0.2">
      <c r="A25" s="143"/>
      <c r="B25" s="138"/>
      <c r="C25" s="138"/>
      <c r="D25" s="138"/>
      <c r="E25" s="138"/>
      <c r="F25" s="138"/>
      <c r="G25" s="138"/>
      <c r="H25" s="138"/>
      <c r="I25" s="144"/>
      <c r="J25" s="61"/>
      <c r="K25" s="90">
        <v>2000</v>
      </c>
      <c r="L25" s="90">
        <v>2001</v>
      </c>
      <c r="M25" s="90">
        <v>2002</v>
      </c>
      <c r="N25" s="90">
        <v>2003</v>
      </c>
      <c r="O25" s="90">
        <v>2004</v>
      </c>
      <c r="P25" s="90">
        <v>2005</v>
      </c>
      <c r="Q25" s="90">
        <v>2006</v>
      </c>
      <c r="R25" s="90">
        <v>2007</v>
      </c>
      <c r="S25" s="90">
        <v>2008</v>
      </c>
      <c r="T25" s="90">
        <v>2009</v>
      </c>
      <c r="U25" s="90">
        <v>2010</v>
      </c>
      <c r="V25" s="90">
        <v>2011</v>
      </c>
      <c r="W25" s="90">
        <v>2012</v>
      </c>
      <c r="X25" s="90">
        <v>2013</v>
      </c>
      <c r="Y25" s="91">
        <v>2014</v>
      </c>
      <c r="Z25" s="90">
        <v>2015</v>
      </c>
      <c r="AA25" s="90">
        <v>2016</v>
      </c>
      <c r="AB25" s="90">
        <v>2017</v>
      </c>
      <c r="AC25" s="90">
        <v>2018</v>
      </c>
      <c r="AD25" s="90">
        <v>2019</v>
      </c>
      <c r="AE25" s="90">
        <v>2020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B25" s="1"/>
    </row>
    <row r="26" spans="1:103" ht="20" customHeight="1" x14ac:dyDescent="0.2">
      <c r="A26" s="143"/>
      <c r="B26" s="138"/>
      <c r="C26" s="138"/>
      <c r="D26" s="138"/>
      <c r="E26" s="138"/>
      <c r="F26" s="138"/>
      <c r="G26" s="138"/>
      <c r="H26" s="138"/>
      <c r="I26" s="144"/>
      <c r="J26" s="48" t="s">
        <v>17</v>
      </c>
      <c r="K26">
        <v>806.5</v>
      </c>
      <c r="L26">
        <v>805.3</v>
      </c>
      <c r="M26">
        <v>817.3</v>
      </c>
      <c r="N26">
        <v>792.8</v>
      </c>
      <c r="O26">
        <v>796.9</v>
      </c>
      <c r="P26">
        <v>787.5</v>
      </c>
      <c r="Q26">
        <v>779.6</v>
      </c>
      <c r="R26">
        <v>780.5</v>
      </c>
      <c r="S26">
        <v>756</v>
      </c>
      <c r="T26">
        <v>757.875</v>
      </c>
      <c r="U26">
        <v>717.875</v>
      </c>
      <c r="V26">
        <v>708.71428571428567</v>
      </c>
      <c r="W26">
        <v>717.42857142857144</v>
      </c>
      <c r="X26">
        <v>760.71428571428567</v>
      </c>
      <c r="Y26">
        <v>785.28571428571433</v>
      </c>
      <c r="Z26">
        <v>842.42857142857144</v>
      </c>
      <c r="AA26">
        <v>922.42857142857144</v>
      </c>
      <c r="AB26">
        <v>961</v>
      </c>
      <c r="AC26">
        <v>970.75</v>
      </c>
      <c r="AD26">
        <v>996.88888888888891</v>
      </c>
      <c r="AE26">
        <v>1139.1111111111111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B26" s="1"/>
    </row>
    <row r="27" spans="1:103" ht="20" customHeight="1" x14ac:dyDescent="0.2">
      <c r="A27" s="143"/>
      <c r="B27" s="138"/>
      <c r="C27" s="138"/>
      <c r="D27" s="138"/>
      <c r="E27" s="138"/>
      <c r="F27" s="138"/>
      <c r="G27" s="138"/>
      <c r="H27" s="138"/>
      <c r="I27" s="144"/>
      <c r="J27" s="49" t="s">
        <v>117</v>
      </c>
      <c r="K27">
        <v>281.60000000000002</v>
      </c>
      <c r="L27">
        <v>267.60000000000002</v>
      </c>
      <c r="M27">
        <v>262.39999999999998</v>
      </c>
      <c r="N27">
        <v>258.39999999999998</v>
      </c>
      <c r="O27">
        <v>242</v>
      </c>
      <c r="P27">
        <v>231.5</v>
      </c>
      <c r="Q27">
        <v>224</v>
      </c>
      <c r="R27">
        <v>217.7</v>
      </c>
      <c r="S27">
        <v>223.22222222222223</v>
      </c>
      <c r="T27">
        <v>169.375</v>
      </c>
      <c r="U27">
        <v>162.125</v>
      </c>
      <c r="V27">
        <v>166.71428571428572</v>
      </c>
      <c r="W27">
        <v>155.16666666666666</v>
      </c>
      <c r="X27">
        <v>133</v>
      </c>
      <c r="Y27">
        <v>116.4</v>
      </c>
      <c r="Z27">
        <v>98.8</v>
      </c>
      <c r="AA27">
        <v>96.2</v>
      </c>
      <c r="AB27">
        <v>100.6</v>
      </c>
      <c r="AC27">
        <v>99.333333333333329</v>
      </c>
      <c r="AD27">
        <v>101.14285714285714</v>
      </c>
      <c r="AE27">
        <v>114.42857142857143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B27" s="1"/>
    </row>
    <row r="28" spans="1:103" ht="20" customHeight="1" x14ac:dyDescent="0.2">
      <c r="A28" s="143"/>
      <c r="B28" s="138"/>
      <c r="C28" s="138"/>
      <c r="D28" s="138"/>
      <c r="E28" s="138"/>
      <c r="F28" s="138"/>
      <c r="G28" s="138"/>
      <c r="H28" s="138"/>
      <c r="I28" s="144"/>
      <c r="J28" s="48" t="s">
        <v>18</v>
      </c>
      <c r="K28">
        <v>1309.8</v>
      </c>
      <c r="L28">
        <v>1312.3</v>
      </c>
      <c r="M28">
        <v>1313.7</v>
      </c>
      <c r="N28">
        <v>1294</v>
      </c>
      <c r="O28">
        <v>1226.9000000000001</v>
      </c>
      <c r="P28">
        <v>1161.3</v>
      </c>
      <c r="Q28">
        <v>1175.0999999999999</v>
      </c>
      <c r="R28">
        <v>1127.0999999999999</v>
      </c>
      <c r="S28">
        <v>1106.7777777777778</v>
      </c>
      <c r="T28">
        <v>1104.125</v>
      </c>
      <c r="U28">
        <v>1055.75</v>
      </c>
      <c r="V28">
        <v>1026.8571428571429</v>
      </c>
      <c r="W28">
        <v>939.71428571428567</v>
      </c>
      <c r="X28">
        <v>899.71428571428567</v>
      </c>
      <c r="Y28">
        <v>910.71428571428567</v>
      </c>
      <c r="Z28">
        <v>915.42857142857144</v>
      </c>
      <c r="AA28">
        <v>903.57142857142856</v>
      </c>
      <c r="AB28">
        <v>901.57142857142856</v>
      </c>
      <c r="AC28">
        <v>902.25</v>
      </c>
      <c r="AD28">
        <v>916</v>
      </c>
      <c r="AE28">
        <v>972.55555555555554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B28" s="1"/>
      <c r="BC28" s="6"/>
      <c r="BD28" s="6"/>
      <c r="BF28" s="6"/>
      <c r="BG28" s="6"/>
      <c r="BH28" s="6"/>
    </row>
    <row r="29" spans="1:103" ht="20" customHeight="1" x14ac:dyDescent="0.2">
      <c r="A29" s="143"/>
      <c r="B29" s="138"/>
      <c r="C29" s="138"/>
      <c r="D29" s="138"/>
      <c r="E29" s="138"/>
      <c r="F29" s="138"/>
      <c r="G29" s="138"/>
      <c r="H29" s="138"/>
      <c r="I29" s="144"/>
      <c r="J29" s="49" t="s">
        <v>118</v>
      </c>
      <c r="K29">
        <v>311</v>
      </c>
      <c r="L29">
        <v>333.3</v>
      </c>
      <c r="M29">
        <v>355.5</v>
      </c>
      <c r="N29">
        <v>368.1</v>
      </c>
      <c r="O29">
        <v>384.4</v>
      </c>
      <c r="P29">
        <v>391.6</v>
      </c>
      <c r="Q29">
        <v>391.2</v>
      </c>
      <c r="R29">
        <v>377.3</v>
      </c>
      <c r="S29">
        <v>379.66666666666669</v>
      </c>
      <c r="T29">
        <v>370</v>
      </c>
      <c r="U29">
        <v>1304.25</v>
      </c>
      <c r="V29">
        <v>1426.2857142857142</v>
      </c>
      <c r="W29">
        <v>1386.4285714285713</v>
      </c>
      <c r="X29">
        <v>1358.1428571428571</v>
      </c>
      <c r="Y29">
        <v>1332.4285714285713</v>
      </c>
      <c r="Z29">
        <v>1333.1428571428571</v>
      </c>
      <c r="AA29">
        <v>1325.8571428571429</v>
      </c>
      <c r="AB29">
        <v>1319.7142857142858</v>
      </c>
      <c r="AC29">
        <v>1183.75</v>
      </c>
      <c r="AD29">
        <v>1071.3333333333333</v>
      </c>
      <c r="AE29">
        <v>214.44444444444446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B29" s="1"/>
    </row>
    <row r="30" spans="1:103" ht="20" customHeight="1" x14ac:dyDescent="0.2">
      <c r="A30" s="143"/>
      <c r="B30" s="138"/>
      <c r="C30" s="138"/>
      <c r="D30" s="138"/>
      <c r="E30" s="138"/>
      <c r="F30" s="138"/>
      <c r="G30" s="138"/>
      <c r="H30" s="138"/>
      <c r="I30" s="144"/>
      <c r="J30" s="48" t="s">
        <v>19</v>
      </c>
      <c r="K30">
        <v>728.8</v>
      </c>
      <c r="L30">
        <v>764.1</v>
      </c>
      <c r="M30">
        <v>805.6</v>
      </c>
      <c r="N30">
        <v>835.1</v>
      </c>
      <c r="O30">
        <v>856.7</v>
      </c>
      <c r="P30">
        <v>865.1</v>
      </c>
      <c r="Q30">
        <v>888.3</v>
      </c>
      <c r="R30">
        <v>909</v>
      </c>
      <c r="S30">
        <v>917</v>
      </c>
      <c r="T30">
        <v>919.375</v>
      </c>
      <c r="U30">
        <v>943</v>
      </c>
      <c r="V30">
        <v>956</v>
      </c>
      <c r="W30">
        <v>1006.8333333333334</v>
      </c>
      <c r="X30">
        <v>1044</v>
      </c>
      <c r="Y30">
        <v>1138.3333333333333</v>
      </c>
      <c r="Z30">
        <v>1229.1666666666667</v>
      </c>
      <c r="AA30">
        <v>1378.6666666666667</v>
      </c>
      <c r="AB30">
        <v>1416.1666666666667</v>
      </c>
      <c r="AC30">
        <v>1427.7142857142858</v>
      </c>
      <c r="AD30">
        <v>1504.25</v>
      </c>
      <c r="AE30">
        <v>1681.6666666666667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B30" s="1"/>
      <c r="BC30" s="6"/>
      <c r="BD30" s="6"/>
      <c r="BF30" s="6"/>
      <c r="BG30" s="6"/>
      <c r="BH30" s="6"/>
    </row>
    <row r="31" spans="1:103" ht="20" customHeight="1" x14ac:dyDescent="0.2">
      <c r="A31" s="143"/>
      <c r="B31" s="138"/>
      <c r="C31" s="138"/>
      <c r="D31" s="138"/>
      <c r="E31" s="138"/>
      <c r="F31" s="138"/>
      <c r="G31" s="138"/>
      <c r="H31" s="138"/>
      <c r="I31" s="144"/>
      <c r="J31" s="49" t="s">
        <v>20</v>
      </c>
      <c r="K31">
        <v>463.6</v>
      </c>
      <c r="L31">
        <v>528</v>
      </c>
      <c r="M31">
        <v>582.79999999999995</v>
      </c>
      <c r="N31">
        <v>652.9</v>
      </c>
      <c r="O31">
        <v>715</v>
      </c>
      <c r="P31">
        <v>783.3</v>
      </c>
      <c r="Q31">
        <v>853.3</v>
      </c>
      <c r="R31">
        <v>873.7</v>
      </c>
      <c r="S31">
        <v>878.44444444444446</v>
      </c>
      <c r="T31">
        <v>889.875</v>
      </c>
      <c r="U31">
        <v>905.28571428571433</v>
      </c>
      <c r="V31">
        <v>920.33333333333337</v>
      </c>
      <c r="W31">
        <v>1003.1666666666666</v>
      </c>
      <c r="X31">
        <v>1057.8333333333333</v>
      </c>
      <c r="Y31">
        <v>1117.8333333333333</v>
      </c>
      <c r="Z31">
        <v>1175.3333333333333</v>
      </c>
      <c r="AA31">
        <v>1269.5</v>
      </c>
      <c r="AB31">
        <v>1367.1666666666667</v>
      </c>
      <c r="AC31">
        <v>1362.2857142857142</v>
      </c>
      <c r="AD31">
        <v>1372.75</v>
      </c>
      <c r="AE31">
        <v>1363.8888888888889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B31" s="1"/>
    </row>
    <row r="32" spans="1:103" ht="20" customHeight="1" x14ac:dyDescent="0.2">
      <c r="A32" s="145"/>
      <c r="B32" s="139"/>
      <c r="C32" s="139"/>
      <c r="D32" s="139"/>
      <c r="E32" s="139"/>
      <c r="F32" s="139"/>
      <c r="G32" s="139"/>
      <c r="H32" s="139"/>
      <c r="I32" s="144"/>
      <c r="J32" s="70" t="s">
        <v>68</v>
      </c>
      <c r="K32">
        <v>3901.3</v>
      </c>
      <c r="L32">
        <v>4010.6</v>
      </c>
      <c r="M32">
        <v>4137.3</v>
      </c>
      <c r="N32">
        <v>4201.3</v>
      </c>
      <c r="O32">
        <v>4221.8999999999996</v>
      </c>
      <c r="P32">
        <v>4220.3</v>
      </c>
      <c r="Q32">
        <v>4311.5</v>
      </c>
      <c r="R32">
        <v>4285.3</v>
      </c>
      <c r="S32">
        <v>4261.1111111111113</v>
      </c>
      <c r="T32">
        <v>4210.625</v>
      </c>
      <c r="U32">
        <v>4857.25</v>
      </c>
      <c r="V32">
        <v>4936.8571428571431</v>
      </c>
      <c r="W32">
        <v>4899.4285714285716</v>
      </c>
      <c r="X32">
        <v>4915.1428571428569</v>
      </c>
      <c r="Y32">
        <v>5045.4285714285716</v>
      </c>
      <c r="Z32">
        <v>5222.5714285714284</v>
      </c>
      <c r="AA32">
        <v>5490.4285714285716</v>
      </c>
      <c r="AB32">
        <v>5639.8571428571431</v>
      </c>
      <c r="AC32">
        <v>5572.5</v>
      </c>
      <c r="AD32">
        <v>5620.2222222222226</v>
      </c>
      <c r="AE32">
        <v>5460.666666666667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B32" s="1"/>
    </row>
    <row r="33" spans="1:60" ht="20" customHeight="1" x14ac:dyDescent="0.2">
      <c r="A33" s="139"/>
      <c r="B33" s="139"/>
      <c r="C33" s="139"/>
      <c r="D33" s="139"/>
      <c r="E33" s="139"/>
      <c r="F33" s="139"/>
      <c r="G33" s="139"/>
      <c r="H33" s="139"/>
      <c r="I33" s="14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B33" s="1"/>
    </row>
    <row r="34" spans="1:60" ht="20" customHeight="1" x14ac:dyDescent="0.2">
      <c r="A34" s="145"/>
      <c r="B34" s="139"/>
      <c r="C34" s="139"/>
      <c r="D34" s="139"/>
      <c r="E34" s="139"/>
      <c r="F34" s="139"/>
      <c r="G34" s="139"/>
      <c r="H34" s="139"/>
      <c r="I34" s="144"/>
      <c r="J34" s="9" t="s">
        <v>122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B34" s="1"/>
    </row>
    <row r="35" spans="1:60" ht="20" customHeight="1" x14ac:dyDescent="0.2">
      <c r="A35" s="139"/>
      <c r="B35" s="139"/>
      <c r="C35" s="139"/>
      <c r="D35" s="139"/>
      <c r="E35" s="139"/>
      <c r="F35" s="139"/>
      <c r="G35" s="139"/>
      <c r="H35" s="139"/>
      <c r="I35" s="144"/>
      <c r="J35" s="49" t="s">
        <v>21</v>
      </c>
      <c r="K35">
        <v>1940.5</v>
      </c>
      <c r="L35">
        <v>1819.4</v>
      </c>
      <c r="M35">
        <v>1769</v>
      </c>
      <c r="N35">
        <v>1683</v>
      </c>
      <c r="O35">
        <v>1622</v>
      </c>
      <c r="P35">
        <v>1556.7</v>
      </c>
      <c r="Q35">
        <v>1516.4</v>
      </c>
      <c r="R35">
        <v>1484.3</v>
      </c>
      <c r="S35">
        <v>1414.4444444444443</v>
      </c>
      <c r="T35">
        <v>1338.625</v>
      </c>
      <c r="U35">
        <v>1327.625</v>
      </c>
      <c r="V35">
        <v>1393.7142857142858</v>
      </c>
      <c r="W35">
        <v>1478.8571428571429</v>
      </c>
      <c r="X35">
        <v>1586.4285714285713</v>
      </c>
      <c r="Y35">
        <v>1687.5714285714287</v>
      </c>
      <c r="Z35">
        <v>1832.2857142857142</v>
      </c>
      <c r="AA35">
        <v>2023.8571428571429</v>
      </c>
      <c r="AB35">
        <v>2182.8571428571427</v>
      </c>
      <c r="AC35">
        <v>2169.375</v>
      </c>
      <c r="AD35">
        <v>2206.5555555555557</v>
      </c>
      <c r="AE35">
        <v>2422.8888888888887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B35" s="1"/>
    </row>
    <row r="36" spans="1:60" ht="20" customHeight="1" x14ac:dyDescent="0.2">
      <c r="A36" s="143"/>
      <c r="B36" s="138"/>
      <c r="C36" s="138"/>
      <c r="D36" s="138"/>
      <c r="E36" s="138"/>
      <c r="F36" s="138"/>
      <c r="G36" s="138"/>
      <c r="H36" s="138"/>
      <c r="I36" s="144"/>
      <c r="J36" s="48" t="s">
        <v>22</v>
      </c>
      <c r="K36">
        <v>853.6</v>
      </c>
      <c r="L36">
        <v>834</v>
      </c>
      <c r="M36">
        <v>832.1</v>
      </c>
      <c r="N36">
        <v>820.4</v>
      </c>
      <c r="O36">
        <v>802.9</v>
      </c>
      <c r="P36">
        <v>773.7</v>
      </c>
      <c r="Q36">
        <v>734.8</v>
      </c>
      <c r="R36">
        <v>699.4</v>
      </c>
      <c r="S36">
        <v>680.88888888888891</v>
      </c>
      <c r="T36">
        <v>646.5</v>
      </c>
      <c r="U36">
        <v>658</v>
      </c>
      <c r="V36">
        <v>670</v>
      </c>
      <c r="W36">
        <v>689.14285714285711</v>
      </c>
      <c r="X36">
        <v>716.14285714285711</v>
      </c>
      <c r="Y36">
        <v>771.42857142857144</v>
      </c>
      <c r="Z36">
        <v>832.14285714285711</v>
      </c>
      <c r="AA36">
        <v>906.71428571428567</v>
      </c>
      <c r="AB36">
        <v>991.57142857142856</v>
      </c>
      <c r="AC36">
        <v>994.125</v>
      </c>
      <c r="AD36">
        <v>995.88888888888891</v>
      </c>
      <c r="AE36">
        <v>1057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B36" s="1"/>
      <c r="BC36" s="6"/>
      <c r="BD36" s="6"/>
      <c r="BF36" s="6"/>
      <c r="BG36" s="6"/>
      <c r="BH36" s="6"/>
    </row>
    <row r="37" spans="1:60" ht="20" customHeight="1" x14ac:dyDescent="0.2">
      <c r="A37" s="143"/>
      <c r="B37" s="138"/>
      <c r="C37" s="138"/>
      <c r="D37" s="138"/>
      <c r="E37" s="138"/>
      <c r="F37" s="138"/>
      <c r="G37" s="138"/>
      <c r="H37" s="138"/>
      <c r="I37" s="144"/>
      <c r="J37" s="49" t="s">
        <v>23</v>
      </c>
      <c r="K37">
        <v>4956.8999999999996</v>
      </c>
      <c r="L37">
        <v>4990.2</v>
      </c>
      <c r="M37">
        <v>5057.7</v>
      </c>
      <c r="N37">
        <v>5098.6000000000004</v>
      </c>
      <c r="O37">
        <v>5154</v>
      </c>
      <c r="P37">
        <v>5023</v>
      </c>
      <c r="Q37">
        <v>4999.3999999999996</v>
      </c>
      <c r="R37">
        <v>4936.5</v>
      </c>
      <c r="S37">
        <v>4852.2222222222226</v>
      </c>
      <c r="T37">
        <v>4965.75</v>
      </c>
      <c r="U37">
        <v>5133</v>
      </c>
      <c r="V37">
        <v>5138.7142857142853</v>
      </c>
      <c r="W37">
        <v>5272</v>
      </c>
      <c r="X37">
        <v>5580</v>
      </c>
      <c r="Y37">
        <v>6029.5714285714284</v>
      </c>
      <c r="Z37">
        <v>6648.7142857142853</v>
      </c>
      <c r="AA37">
        <v>7426</v>
      </c>
      <c r="AB37">
        <v>8374.7142857142862</v>
      </c>
      <c r="AC37">
        <v>8344</v>
      </c>
      <c r="AD37">
        <v>8427.2222222222226</v>
      </c>
      <c r="AE37">
        <v>8657.1111111111113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B37" s="1"/>
    </row>
    <row r="38" spans="1:60" ht="20" customHeight="1" x14ac:dyDescent="0.2">
      <c r="A38" s="143"/>
      <c r="B38" s="138"/>
      <c r="C38" s="138"/>
      <c r="D38" s="138"/>
      <c r="E38" s="138"/>
      <c r="F38" s="138"/>
      <c r="G38" s="138"/>
      <c r="H38" s="138"/>
      <c r="I38" s="144"/>
      <c r="J38" s="48" t="s">
        <v>53</v>
      </c>
      <c r="K38">
        <v>1621.3</v>
      </c>
      <c r="L38">
        <v>1656.6</v>
      </c>
      <c r="M38">
        <v>1680.9</v>
      </c>
      <c r="N38">
        <v>1654</v>
      </c>
      <c r="O38">
        <v>1646.9</v>
      </c>
      <c r="P38">
        <v>1633.7</v>
      </c>
      <c r="Q38">
        <v>1667.1</v>
      </c>
      <c r="R38">
        <v>1643.3</v>
      </c>
      <c r="S38">
        <v>1614.4444444444443</v>
      </c>
      <c r="T38">
        <v>1628.25</v>
      </c>
      <c r="U38">
        <v>1655.625</v>
      </c>
      <c r="V38">
        <v>1648.5714285714287</v>
      </c>
      <c r="W38">
        <v>1734.1428571428571</v>
      </c>
      <c r="X38">
        <v>1818.5714285714287</v>
      </c>
      <c r="Y38">
        <v>1945.5714285714287</v>
      </c>
      <c r="Z38">
        <v>2133.5714285714284</v>
      </c>
      <c r="AA38">
        <v>2300.5714285714284</v>
      </c>
      <c r="AB38">
        <v>2468.5714285714284</v>
      </c>
      <c r="AC38">
        <v>2451.75</v>
      </c>
      <c r="AD38">
        <v>2480.7777777777778</v>
      </c>
      <c r="AE38">
        <v>2657.5555555555557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B38" s="1"/>
    </row>
    <row r="39" spans="1:60" ht="20" customHeight="1" x14ac:dyDescent="0.2">
      <c r="A39" s="143"/>
      <c r="B39" s="138"/>
      <c r="C39" s="138"/>
      <c r="D39" s="138"/>
      <c r="E39" s="138"/>
      <c r="F39" s="138"/>
      <c r="G39" s="138"/>
      <c r="H39" s="138"/>
      <c r="I39" s="144"/>
      <c r="J39" s="49" t="s">
        <v>54</v>
      </c>
      <c r="K39">
        <v>5877.2</v>
      </c>
      <c r="L39">
        <v>5853.4</v>
      </c>
      <c r="M39">
        <v>5754.5</v>
      </c>
      <c r="N39">
        <v>5664</v>
      </c>
      <c r="O39">
        <v>5502.5</v>
      </c>
      <c r="P39">
        <v>5374.3</v>
      </c>
      <c r="Q39">
        <v>5297.2</v>
      </c>
      <c r="R39">
        <v>5188.8</v>
      </c>
      <c r="S39">
        <v>5070</v>
      </c>
      <c r="T39">
        <v>5007.75</v>
      </c>
      <c r="U39">
        <v>4929.5</v>
      </c>
      <c r="V39">
        <v>4862.4285714285716</v>
      </c>
      <c r="W39">
        <v>4901.4285714285716</v>
      </c>
      <c r="X39">
        <v>4883.2857142857147</v>
      </c>
      <c r="Y39">
        <v>4976.4285714285716</v>
      </c>
      <c r="Z39">
        <v>5221.5714285714284</v>
      </c>
      <c r="AA39">
        <v>5509.7142857142853</v>
      </c>
      <c r="AB39">
        <v>5777.7142857142853</v>
      </c>
      <c r="AC39">
        <v>5669.625</v>
      </c>
      <c r="AD39">
        <v>5673.2222222222226</v>
      </c>
      <c r="AE39">
        <v>5975.1111111111113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B39" s="1"/>
    </row>
    <row r="40" spans="1:60" ht="20" customHeight="1" x14ac:dyDescent="0.2">
      <c r="A40" s="143"/>
      <c r="B40" s="138"/>
      <c r="C40" s="138"/>
      <c r="D40" s="138"/>
      <c r="E40" s="138"/>
      <c r="F40" s="138"/>
      <c r="G40" s="138"/>
      <c r="H40" s="138"/>
      <c r="I40" s="144"/>
      <c r="J40" s="48" t="s">
        <v>24</v>
      </c>
      <c r="K40">
        <v>3489.6</v>
      </c>
      <c r="L40">
        <v>3502.7</v>
      </c>
      <c r="M40">
        <v>3524</v>
      </c>
      <c r="N40">
        <v>3467.4</v>
      </c>
      <c r="O40">
        <v>3451.2</v>
      </c>
      <c r="P40">
        <v>3371.9</v>
      </c>
      <c r="Q40">
        <v>3317.8</v>
      </c>
      <c r="R40">
        <v>3312.8</v>
      </c>
      <c r="S40">
        <v>3237.4444444444443</v>
      </c>
      <c r="T40">
        <v>3243.25</v>
      </c>
      <c r="U40">
        <v>3371.625</v>
      </c>
      <c r="V40">
        <v>3390.4285714285716</v>
      </c>
      <c r="W40">
        <v>3460.1428571428573</v>
      </c>
      <c r="X40">
        <v>3614.1428571428573</v>
      </c>
      <c r="Y40">
        <v>3816.1428571428573</v>
      </c>
      <c r="Z40">
        <v>4098</v>
      </c>
      <c r="AA40">
        <v>4478.8571428571431</v>
      </c>
      <c r="AB40">
        <v>4778.2857142857147</v>
      </c>
      <c r="AC40">
        <v>4924.625</v>
      </c>
      <c r="AD40">
        <v>4979.4444444444443</v>
      </c>
      <c r="AE40">
        <v>5160.5555555555557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B40" s="1"/>
      <c r="BC40" s="6"/>
      <c r="BD40" s="6"/>
      <c r="BF40" s="6"/>
      <c r="BG40" s="6"/>
      <c r="BH40" s="6"/>
    </row>
    <row r="41" spans="1:60" ht="20" customHeight="1" x14ac:dyDescent="0.2">
      <c r="A41" s="143"/>
      <c r="B41" s="138"/>
      <c r="C41" s="138"/>
      <c r="D41" s="138"/>
      <c r="E41" s="138"/>
      <c r="F41" s="138"/>
      <c r="G41" s="138"/>
      <c r="H41" s="138"/>
      <c r="I41" s="144"/>
      <c r="J41" s="49" t="s">
        <v>55</v>
      </c>
      <c r="K41">
        <v>1993.6</v>
      </c>
      <c r="L41">
        <v>2038.4</v>
      </c>
      <c r="M41">
        <v>2044.4</v>
      </c>
      <c r="N41">
        <v>2001.8</v>
      </c>
      <c r="O41">
        <v>1966.2</v>
      </c>
      <c r="P41">
        <v>1869</v>
      </c>
      <c r="Q41">
        <v>1846.3</v>
      </c>
      <c r="R41">
        <v>1780.1</v>
      </c>
      <c r="S41">
        <v>1705.4444444444443</v>
      </c>
      <c r="T41">
        <v>1701.375</v>
      </c>
      <c r="U41">
        <v>1745.4285714285713</v>
      </c>
      <c r="V41">
        <v>1663.5</v>
      </c>
      <c r="W41">
        <v>1636</v>
      </c>
      <c r="X41">
        <v>1666.5</v>
      </c>
      <c r="Y41">
        <v>1648.6666666666667</v>
      </c>
      <c r="Z41">
        <v>1745.3333333333333</v>
      </c>
      <c r="AA41">
        <v>1795.1666666666667</v>
      </c>
      <c r="AB41">
        <v>1889.5</v>
      </c>
      <c r="AC41">
        <v>1830.4285714285713</v>
      </c>
      <c r="AD41">
        <v>1792.875</v>
      </c>
      <c r="AE41">
        <v>1742.2222222222222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B41" s="1"/>
    </row>
    <row r="42" spans="1:60" ht="20" customHeight="1" x14ac:dyDescent="0.2">
      <c r="A42" s="143"/>
      <c r="B42" s="138"/>
      <c r="C42" s="138"/>
      <c r="D42" s="138"/>
      <c r="E42" s="138"/>
      <c r="F42" s="138"/>
      <c r="G42" s="138"/>
      <c r="H42" s="138"/>
      <c r="I42" s="144"/>
      <c r="J42" s="10" t="s">
        <v>72</v>
      </c>
      <c r="K42" s="137" t="e">
        <v>#DIV/0!</v>
      </c>
      <c r="L42" s="137" t="e">
        <v>#DIV/0!</v>
      </c>
      <c r="M42" s="137" t="e">
        <v>#DIV/0!</v>
      </c>
      <c r="N42" s="137" t="e">
        <v>#DIV/0!</v>
      </c>
      <c r="O42" s="137" t="e">
        <v>#DIV/0!</v>
      </c>
      <c r="P42" s="137" t="e">
        <v>#DIV/0!</v>
      </c>
      <c r="Q42" s="137" t="e">
        <v>#DIV/0!</v>
      </c>
      <c r="R42" s="137" t="e">
        <v>#DIV/0!</v>
      </c>
      <c r="S42" s="137" t="e">
        <v>#DIV/0!</v>
      </c>
      <c r="T42" s="137" t="e">
        <v>#DIV/0!</v>
      </c>
      <c r="U42" s="137"/>
      <c r="V42" s="137"/>
      <c r="W42" s="137"/>
      <c r="X42" s="137"/>
      <c r="Y42">
        <v>776</v>
      </c>
      <c r="Z42">
        <v>690</v>
      </c>
      <c r="AA42">
        <v>713.33333333333337</v>
      </c>
      <c r="AB42">
        <v>682.75</v>
      </c>
      <c r="AC42">
        <v>658.8</v>
      </c>
      <c r="AD42">
        <v>652.83333333333337</v>
      </c>
      <c r="AE42">
        <v>672.14285714285711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B42" s="1"/>
    </row>
    <row r="43" spans="1:60" ht="20" customHeight="1" thickBot="1" x14ac:dyDescent="0.25">
      <c r="A43" s="143"/>
      <c r="B43" s="138"/>
      <c r="C43" s="138"/>
      <c r="D43" s="138"/>
      <c r="E43" s="138"/>
      <c r="F43" s="138"/>
      <c r="G43" s="138"/>
      <c r="H43" s="138"/>
      <c r="I43" s="144"/>
      <c r="J43" s="59" t="s">
        <v>69</v>
      </c>
      <c r="K43">
        <v>20732.7</v>
      </c>
      <c r="L43">
        <v>20694.7</v>
      </c>
      <c r="M43">
        <v>20662.599999999999</v>
      </c>
      <c r="N43">
        <v>20389.2</v>
      </c>
      <c r="O43">
        <v>20145.7</v>
      </c>
      <c r="P43">
        <v>19602.3</v>
      </c>
      <c r="Q43">
        <v>19379</v>
      </c>
      <c r="R43">
        <v>19045.2</v>
      </c>
      <c r="S43">
        <v>18574.888888888891</v>
      </c>
      <c r="T43">
        <v>18531.5</v>
      </c>
      <c r="U43">
        <v>18602.625</v>
      </c>
      <c r="V43">
        <v>18529.714285714286</v>
      </c>
      <c r="W43">
        <v>18938</v>
      </c>
      <c r="X43">
        <v>19627</v>
      </c>
      <c r="Y43">
        <v>20750.714285714286</v>
      </c>
      <c r="Z43">
        <v>22459.428571428572</v>
      </c>
      <c r="AA43">
        <v>24490.142857142859</v>
      </c>
      <c r="AB43">
        <v>26583.428571428572</v>
      </c>
      <c r="AC43">
        <v>26566.875</v>
      </c>
      <c r="AD43">
        <v>26792</v>
      </c>
      <c r="AE43">
        <v>28195.222222222223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B43" s="1"/>
    </row>
    <row r="44" spans="1:60" ht="20" customHeight="1" x14ac:dyDescent="0.2">
      <c r="A44" s="143"/>
      <c r="B44" s="138"/>
      <c r="C44" s="138"/>
      <c r="D44" s="138"/>
      <c r="E44" s="138"/>
      <c r="F44" s="138"/>
      <c r="G44" s="138"/>
      <c r="H44" s="138"/>
      <c r="I44" s="144"/>
      <c r="J44" s="140" t="s">
        <v>61</v>
      </c>
      <c r="K44">
        <v>24634</v>
      </c>
      <c r="L44">
        <v>24705.3</v>
      </c>
      <c r="M44">
        <v>24799.9</v>
      </c>
      <c r="N44">
        <v>24590.5</v>
      </c>
      <c r="O44">
        <v>24367.599999999999</v>
      </c>
      <c r="P44">
        <v>23822.6</v>
      </c>
      <c r="Q44">
        <v>23690.5</v>
      </c>
      <c r="R44">
        <v>23330.5</v>
      </c>
      <c r="S44">
        <v>22836</v>
      </c>
      <c r="T44">
        <v>22742.125</v>
      </c>
      <c r="U44">
        <v>23459.875</v>
      </c>
      <c r="V44">
        <v>23466.571428571428</v>
      </c>
      <c r="W44">
        <v>23837.428571428572</v>
      </c>
      <c r="X44">
        <v>24542.142857142859</v>
      </c>
      <c r="Y44">
        <v>25796.142857142859</v>
      </c>
      <c r="Z44">
        <v>27682</v>
      </c>
      <c r="AA44">
        <v>29980.571428571428</v>
      </c>
      <c r="AB44">
        <v>32223.285714285714</v>
      </c>
      <c r="AC44">
        <v>32139.375</v>
      </c>
      <c r="AD44">
        <v>32412.222222222223</v>
      </c>
      <c r="AE44">
        <v>33655.888888888891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B44" s="1"/>
      <c r="BC44" s="6"/>
      <c r="BD44" s="6"/>
      <c r="BF44" s="6"/>
      <c r="BG44" s="6"/>
      <c r="BH44" s="6"/>
    </row>
    <row r="45" spans="1:60" ht="20" customHeight="1" x14ac:dyDescent="0.2">
      <c r="A45" s="7"/>
      <c r="B45" s="40"/>
      <c r="C45" s="40"/>
      <c r="D45" s="40"/>
      <c r="E45" s="44"/>
      <c r="F45" s="44"/>
      <c r="G45" s="49"/>
      <c r="H45" s="46"/>
      <c r="I45" s="8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3"/>
      <c r="V45" s="53"/>
      <c r="W45" s="53"/>
      <c r="X45" s="53"/>
      <c r="Y45" s="53"/>
      <c r="Z45" s="53"/>
      <c r="AA45" s="53"/>
      <c r="AB45" s="53"/>
      <c r="AC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B45" s="1"/>
    </row>
    <row r="46" spans="1:60" ht="20" customHeight="1" x14ac:dyDescent="0.2">
      <c r="A46" s="7"/>
      <c r="B46" s="40"/>
      <c r="C46" s="40"/>
      <c r="D46" s="40"/>
      <c r="E46" s="44"/>
      <c r="F46" s="44"/>
      <c r="G46" s="49"/>
      <c r="H46" s="46"/>
      <c r="I46" s="8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3"/>
      <c r="V46" s="53"/>
      <c r="W46" s="53"/>
      <c r="X46" s="53"/>
      <c r="Y46" s="53"/>
      <c r="Z46" s="53"/>
      <c r="AA46" s="53"/>
      <c r="AB46" s="53"/>
      <c r="AC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B46" s="1"/>
    </row>
    <row r="47" spans="1:60" ht="20" customHeight="1" x14ac:dyDescent="0.2">
      <c r="A47" s="7"/>
      <c r="B47" s="40"/>
      <c r="C47" s="40"/>
      <c r="D47" s="40"/>
      <c r="E47" s="44"/>
      <c r="F47" s="44"/>
      <c r="G47" s="49"/>
      <c r="H47" s="46"/>
      <c r="I47" s="8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3"/>
      <c r="V47" s="53"/>
      <c r="W47" s="53"/>
      <c r="X47" s="53"/>
      <c r="Y47" s="53"/>
      <c r="Z47" s="53"/>
      <c r="AA47" s="53"/>
      <c r="AB47" s="53"/>
      <c r="AC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B47" s="1"/>
    </row>
    <row r="48" spans="1:60" ht="20" customHeight="1" x14ac:dyDescent="0.2">
      <c r="A48" s="1"/>
      <c r="B48" s="1"/>
      <c r="AC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E48" s="1"/>
    </row>
    <row r="49" spans="1:52" ht="20" customHeight="1" x14ac:dyDescent="0.2">
      <c r="A49" s="1"/>
      <c r="B49" s="1"/>
      <c r="AC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ht="20" customHeight="1" x14ac:dyDescent="0.2">
      <c r="A50" s="1"/>
      <c r="B50" s="1"/>
      <c r="AC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ht="20" customHeight="1" x14ac:dyDescent="0.2">
      <c r="A51" s="1"/>
      <c r="B51" s="1"/>
      <c r="AC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ht="20" customHeight="1" x14ac:dyDescent="0.2">
      <c r="A52" s="1"/>
      <c r="B52" s="1"/>
      <c r="AC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ht="20" customHeight="1" x14ac:dyDescent="0.2">
      <c r="A53" s="1"/>
      <c r="B53" s="1"/>
      <c r="AC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ht="20" customHeight="1" x14ac:dyDescent="0.2">
      <c r="A54" s="1"/>
      <c r="B54" s="1"/>
      <c r="AC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ht="20" customHeight="1" x14ac:dyDescent="0.2">
      <c r="A55" s="1"/>
      <c r="B55" s="1"/>
      <c r="AC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ht="20" customHeight="1" x14ac:dyDescent="0.2">
      <c r="A56" s="1"/>
      <c r="B56" s="1"/>
      <c r="AC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ht="20" customHeight="1" x14ac:dyDescent="0.2">
      <c r="A57" s="1"/>
      <c r="B57" s="1"/>
      <c r="AC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ht="20" customHeight="1" x14ac:dyDescent="0.2">
      <c r="A58" s="1"/>
      <c r="B58" s="1"/>
      <c r="AC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20" customHeight="1" x14ac:dyDescent="0.2">
      <c r="A59" s="2"/>
      <c r="B59" s="1"/>
      <c r="C59" s="6"/>
      <c r="D59" s="6"/>
      <c r="E59" s="6"/>
      <c r="F59" s="87"/>
      <c r="G59" s="6"/>
      <c r="H59" s="88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20" customHeight="1" x14ac:dyDescent="0.2">
      <c r="A60" s="1"/>
      <c r="B60" s="1"/>
      <c r="AC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20" customHeight="1" x14ac:dyDescent="0.2">
      <c r="A61" s="8"/>
      <c r="B61" s="1"/>
      <c r="AC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20" customHeight="1" x14ac:dyDescent="0.2">
      <c r="AC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20" customHeight="1" x14ac:dyDescent="0.2"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20" customHeight="1" x14ac:dyDescent="0.2"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31:52" ht="20" customHeight="1" x14ac:dyDescent="0.2"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31:52" ht="20" customHeight="1" x14ac:dyDescent="0.2"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31:52" ht="20" customHeight="1" x14ac:dyDescent="0.2"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31:52" ht="20" customHeight="1" x14ac:dyDescent="0.2"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31:52" ht="20" customHeight="1" x14ac:dyDescent="0.2"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31:52" ht="20" customHeight="1" x14ac:dyDescent="0.2"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31:52" ht="20" customHeight="1" x14ac:dyDescent="0.2"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31:52" ht="20" customHeight="1" x14ac:dyDescent="0.2"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31:52" ht="20" customHeight="1" x14ac:dyDescent="0.2"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31:52" ht="20" customHeight="1" x14ac:dyDescent="0.2"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31:52" ht="20" customHeight="1" x14ac:dyDescent="0.2"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31:52" ht="20" customHeight="1" x14ac:dyDescent="0.2"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31:52" ht="20" customHeight="1" x14ac:dyDescent="0.2"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31:52" ht="20" customHeight="1" x14ac:dyDescent="0.2"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31:52" ht="20" customHeight="1" x14ac:dyDescent="0.2"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31:52" ht="20" customHeight="1" x14ac:dyDescent="0.2"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31:52" ht="20" customHeight="1" x14ac:dyDescent="0.2"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31:52" ht="20" customHeight="1" x14ac:dyDescent="0.2"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31:52" ht="20" customHeight="1" x14ac:dyDescent="0.2"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31:52" ht="20" customHeight="1" x14ac:dyDescent="0.2"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31:52" ht="20" customHeight="1" x14ac:dyDescent="0.2"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31:52" ht="20" customHeight="1" x14ac:dyDescent="0.2"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31:52" ht="20" customHeight="1" x14ac:dyDescent="0.2"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31:52" ht="20" customHeight="1" x14ac:dyDescent="0.2"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31:52" ht="20" customHeight="1" x14ac:dyDescent="0.2"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31:52" ht="20" customHeight="1" x14ac:dyDescent="0.2"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31:52" ht="20" customHeight="1" x14ac:dyDescent="0.2"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31:52" ht="20" customHeight="1" x14ac:dyDescent="0.2"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31:52" ht="20" customHeight="1" x14ac:dyDescent="0.2"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</sheetData>
  <pageMargins left="0.7" right="0.7" top="1" bottom="0.7" header="0.5" footer="0.5"/>
  <pageSetup paperSize="5" scale="17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transitionEvaluation="1" codeName="Sheet38">
    <pageSetUpPr fitToPage="1"/>
  </sheetPr>
  <dimension ref="A1:CY191"/>
  <sheetViews>
    <sheetView defaultGridColor="0" topLeftCell="A17" colorId="22" zoomScale="60" zoomScaleNormal="60" workbookViewId="0">
      <selection activeCell="A4" sqref="A4"/>
    </sheetView>
  </sheetViews>
  <sheetFormatPr baseColWidth="10" defaultColWidth="9.42578125" defaultRowHeight="20" customHeight="1" x14ac:dyDescent="0.2"/>
  <cols>
    <col min="1" max="1" width="43.85546875" style="5" customWidth="1"/>
    <col min="2" max="2" width="10" style="5" customWidth="1"/>
    <col min="3" max="3" width="9.28515625" style="5" customWidth="1"/>
    <col min="4" max="4" width="10.140625" style="5" customWidth="1"/>
    <col min="5" max="5" width="11.42578125" style="5" customWidth="1"/>
    <col min="6" max="6" width="10.140625" style="5" customWidth="1"/>
    <col min="7" max="7" width="9" style="5" customWidth="1"/>
    <col min="8" max="8" width="9.5703125" style="5" customWidth="1"/>
    <col min="9" max="9" width="8.7109375" style="56" customWidth="1"/>
    <col min="10" max="10" width="28.7109375" style="56" customWidth="1"/>
    <col min="11" max="18" width="8.7109375" style="56" customWidth="1"/>
    <col min="19" max="20" width="8.7109375" style="56" hidden="1" customWidth="1"/>
    <col min="21" max="21" width="8.7109375" style="56" customWidth="1"/>
    <col min="22" max="22" width="8.7109375" style="56" hidden="1" customWidth="1"/>
    <col min="23" max="28" width="8.7109375" style="56" customWidth="1"/>
    <col min="29" max="29" width="9.42578125" customWidth="1"/>
    <col min="30" max="30" width="13.42578125" style="5" customWidth="1"/>
    <col min="32" max="52" width="9.42578125" customWidth="1"/>
    <col min="53" max="53" width="13.85546875" style="5" customWidth="1"/>
    <col min="54" max="75" width="9.42578125" style="5" customWidth="1"/>
    <col min="76" max="76" width="9.85546875" style="5" customWidth="1"/>
    <col min="77" max="80" width="9.42578125" style="5" customWidth="1"/>
    <col min="81" max="82" width="9.42578125" style="5"/>
    <col min="83" max="104" width="0" style="5" hidden="1" customWidth="1"/>
    <col min="105" max="16384" width="9.42578125" style="5"/>
  </cols>
  <sheetData>
    <row r="1" spans="1:103" s="34" customFormat="1" ht="46.5" customHeight="1" x14ac:dyDescent="0.35">
      <c r="A1" s="152" t="s">
        <v>127</v>
      </c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BB1" s="35"/>
      <c r="BF1" s="35"/>
    </row>
    <row r="2" spans="1:103" s="34" customFormat="1" ht="25" customHeight="1" x14ac:dyDescent="0.25">
      <c r="A2" s="36"/>
      <c r="E2" s="3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BB2" s="35"/>
      <c r="BC2" s="35"/>
      <c r="BF2" s="35"/>
    </row>
    <row r="3" spans="1:103" s="29" customFormat="1" ht="20" customHeight="1" x14ac:dyDescent="0.2">
      <c r="A3" s="26"/>
      <c r="B3" s="27">
        <v>1991</v>
      </c>
      <c r="C3" s="27">
        <v>1992</v>
      </c>
      <c r="D3" s="27">
        <v>1993</v>
      </c>
      <c r="E3" s="27">
        <v>1994</v>
      </c>
      <c r="F3" s="27">
        <v>1995</v>
      </c>
      <c r="G3" s="27">
        <v>1996</v>
      </c>
      <c r="H3" s="41">
        <v>1997</v>
      </c>
      <c r="I3" s="50">
        <v>1998</v>
      </c>
      <c r="J3" s="50">
        <v>1999</v>
      </c>
      <c r="K3" s="50">
        <v>2000</v>
      </c>
      <c r="L3" s="50">
        <v>2001</v>
      </c>
      <c r="M3" s="50">
        <v>2002</v>
      </c>
      <c r="N3" s="50">
        <v>2003</v>
      </c>
      <c r="O3" s="50">
        <v>2004</v>
      </c>
      <c r="P3" s="50">
        <v>2005</v>
      </c>
      <c r="Q3" s="50">
        <v>2006</v>
      </c>
      <c r="R3" s="50">
        <v>2007</v>
      </c>
      <c r="S3" s="50">
        <v>2008</v>
      </c>
      <c r="T3" s="50">
        <v>2009</v>
      </c>
      <c r="U3" s="51">
        <v>2010</v>
      </c>
      <c r="V3" s="51">
        <v>2011</v>
      </c>
      <c r="W3" s="51">
        <v>2012</v>
      </c>
      <c r="X3" s="51">
        <v>2013</v>
      </c>
      <c r="Y3" s="51">
        <v>2014</v>
      </c>
      <c r="Z3" s="51">
        <v>2015</v>
      </c>
      <c r="AA3" s="51">
        <v>2016</v>
      </c>
      <c r="AB3" s="51">
        <v>2017</v>
      </c>
      <c r="AC3" s="77">
        <v>2018</v>
      </c>
      <c r="AD3" s="51">
        <v>2019</v>
      </c>
      <c r="AE3" s="51">
        <v>2020</v>
      </c>
      <c r="AF3" s="51">
        <v>2021</v>
      </c>
      <c r="AG3" s="77">
        <v>2022</v>
      </c>
      <c r="AH3" s="51">
        <v>2023</v>
      </c>
      <c r="AI3" s="51">
        <v>2024</v>
      </c>
      <c r="AJ3" s="51">
        <v>2025</v>
      </c>
      <c r="AK3" s="77">
        <v>2026</v>
      </c>
      <c r="AL3" s="51">
        <v>2027</v>
      </c>
      <c r="AM3" s="51">
        <v>2028</v>
      </c>
      <c r="AN3" s="51">
        <v>2029</v>
      </c>
      <c r="AO3" s="77">
        <v>2030</v>
      </c>
      <c r="AP3" s="51">
        <v>2031</v>
      </c>
      <c r="AQ3" s="51">
        <v>2032</v>
      </c>
      <c r="AR3" s="51">
        <v>2033</v>
      </c>
      <c r="AS3" s="77">
        <v>2034</v>
      </c>
      <c r="AT3" s="51">
        <v>2035</v>
      </c>
      <c r="AU3" s="51">
        <v>2036</v>
      </c>
      <c r="AV3" s="51">
        <v>2037</v>
      </c>
      <c r="AW3" s="77">
        <v>2038</v>
      </c>
      <c r="AX3" s="51">
        <v>2039</v>
      </c>
      <c r="AY3" s="51">
        <v>2040</v>
      </c>
      <c r="AZ3" s="51">
        <v>2041</v>
      </c>
      <c r="BA3" s="38" t="s">
        <v>75</v>
      </c>
      <c r="BC3" s="30"/>
      <c r="BD3" s="30"/>
      <c r="BF3" s="30"/>
      <c r="BG3" s="30"/>
      <c r="BH3" s="30"/>
      <c r="BY3" s="38"/>
      <c r="BZ3" s="38" t="s">
        <v>75</v>
      </c>
      <c r="CA3" s="38"/>
      <c r="CB3" s="38"/>
    </row>
    <row r="4" spans="1:103" s="10" customFormat="1" ht="20" customHeight="1" x14ac:dyDescent="0.2">
      <c r="A4" s="9" t="s">
        <v>12</v>
      </c>
      <c r="B4" s="39"/>
      <c r="C4" s="39"/>
      <c r="D4" s="39"/>
      <c r="E4" s="39"/>
      <c r="F4" s="39"/>
      <c r="G4" s="39"/>
      <c r="H4" s="43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  <c r="V4" s="55"/>
      <c r="W4" s="55"/>
      <c r="X4" s="55"/>
      <c r="Y4" s="55"/>
      <c r="Z4" s="55"/>
      <c r="AA4" s="55"/>
      <c r="AB4" s="55"/>
      <c r="BA4" s="89">
        <v>1991</v>
      </c>
      <c r="BB4" s="89">
        <v>1992</v>
      </c>
      <c r="BC4" s="89">
        <v>1993</v>
      </c>
      <c r="BD4" s="89">
        <v>1994</v>
      </c>
      <c r="BE4" s="89">
        <v>1995</v>
      </c>
      <c r="BF4" s="89">
        <v>1996</v>
      </c>
      <c r="BG4" s="89">
        <v>1997</v>
      </c>
      <c r="BH4" s="89">
        <v>1998</v>
      </c>
      <c r="BI4" s="89">
        <v>1999</v>
      </c>
      <c r="BJ4" s="89">
        <v>2000</v>
      </c>
      <c r="BK4" s="89">
        <v>2001</v>
      </c>
      <c r="BL4" s="89">
        <v>2002</v>
      </c>
      <c r="BM4" s="89">
        <v>2003</v>
      </c>
      <c r="BN4" s="89">
        <v>2004</v>
      </c>
      <c r="BO4" s="89">
        <v>2005</v>
      </c>
      <c r="BP4" s="89">
        <v>2006</v>
      </c>
      <c r="BQ4" s="89">
        <v>2007</v>
      </c>
      <c r="BR4" s="89">
        <v>2008</v>
      </c>
      <c r="BS4" s="89">
        <v>2009</v>
      </c>
      <c r="BT4" s="89">
        <v>2010</v>
      </c>
      <c r="BU4" s="89">
        <v>2011</v>
      </c>
      <c r="BV4" s="89">
        <v>2012</v>
      </c>
      <c r="BW4" s="89">
        <v>2013</v>
      </c>
      <c r="BX4" s="92">
        <v>2014</v>
      </c>
      <c r="BY4" s="89">
        <v>2015</v>
      </c>
      <c r="BZ4" s="89">
        <v>2016</v>
      </c>
      <c r="CA4" s="89">
        <v>2017</v>
      </c>
      <c r="CB4" s="89">
        <v>2018</v>
      </c>
      <c r="CC4" s="89">
        <v>2019</v>
      </c>
      <c r="CD4" s="89">
        <v>2020</v>
      </c>
      <c r="CE4" s="89">
        <v>2021</v>
      </c>
      <c r="CF4" s="89">
        <v>2022</v>
      </c>
      <c r="CG4" s="89">
        <v>2023</v>
      </c>
      <c r="CH4" s="89">
        <v>2024</v>
      </c>
      <c r="CI4" s="89">
        <v>2025</v>
      </c>
      <c r="CJ4" s="89">
        <v>2026</v>
      </c>
      <c r="CK4" s="89">
        <v>2027</v>
      </c>
      <c r="CL4" s="89">
        <v>2028</v>
      </c>
      <c r="CM4" s="89">
        <v>2029</v>
      </c>
      <c r="CN4" s="89">
        <v>2030</v>
      </c>
      <c r="CO4" s="89">
        <v>2031</v>
      </c>
      <c r="CP4" s="89">
        <v>2032</v>
      </c>
      <c r="CQ4" s="89">
        <v>2033</v>
      </c>
      <c r="CR4" s="89">
        <v>2034</v>
      </c>
      <c r="CS4" s="89">
        <v>2035</v>
      </c>
      <c r="CT4" s="89">
        <v>2036</v>
      </c>
      <c r="CU4" s="89">
        <v>2037</v>
      </c>
      <c r="CV4" s="89">
        <v>2038</v>
      </c>
      <c r="CW4" s="89">
        <v>2039</v>
      </c>
      <c r="CX4" s="89">
        <v>2040</v>
      </c>
      <c r="CY4" s="89">
        <v>2041</v>
      </c>
    </row>
    <row r="5" spans="1:103" ht="20" customHeight="1" x14ac:dyDescent="0.2">
      <c r="A5" s="49" t="s">
        <v>16</v>
      </c>
      <c r="B5" s="52">
        <f>SUM('Alder Lake'!B18)</f>
        <v>1348</v>
      </c>
      <c r="C5" s="52">
        <f>SUM('Alder Lake'!C18)</f>
        <v>823</v>
      </c>
      <c r="D5" s="52">
        <f>SUM('Alder Lake'!D18)</f>
        <v>1170</v>
      </c>
      <c r="E5" s="52">
        <f>SUM('Alder Lake'!E18)</f>
        <v>826</v>
      </c>
      <c r="F5" s="52">
        <f>SUM('Alder Lake'!F18)</f>
        <v>1296</v>
      </c>
      <c r="G5" s="52">
        <f>SUM('Alder Lake'!G18)</f>
        <v>1151</v>
      </c>
      <c r="H5" s="52">
        <f>SUM('Alder Lake'!H18)</f>
        <v>1250</v>
      </c>
      <c r="I5" s="52">
        <f>SUM('Alder Lake'!I18)</f>
        <v>2013</v>
      </c>
      <c r="J5" s="52">
        <f>SUM('Alder Lake'!J18)</f>
        <v>2135</v>
      </c>
      <c r="K5" s="52">
        <f>SUM('Alder Lake'!K18)</f>
        <v>1472</v>
      </c>
      <c r="L5" s="52">
        <f>SUM('Alder Lake'!L18)</f>
        <v>1579</v>
      </c>
      <c r="M5" s="52">
        <f>SUM('Alder Lake'!M18)</f>
        <v>1828</v>
      </c>
      <c r="N5" s="52">
        <f>SUM('Alder Lake'!N18)</f>
        <v>1630</v>
      </c>
      <c r="O5" s="52">
        <f>SUM('Alder Lake'!O18)</f>
        <v>1440</v>
      </c>
      <c r="P5" s="52">
        <f>SUM('Alder Lake'!P18)</f>
        <v>1368</v>
      </c>
      <c r="Q5" s="52">
        <f>SUM('Alder Lake'!Q18)</f>
        <v>1608</v>
      </c>
      <c r="R5" s="52">
        <f>SUM('Alder Lake'!R18)</f>
        <v>1616</v>
      </c>
      <c r="S5" s="52"/>
      <c r="T5" s="52"/>
      <c r="U5" s="52">
        <f>SUM('Alder Lake'!U18)</f>
        <v>1760</v>
      </c>
      <c r="V5" s="52"/>
      <c r="W5" s="52">
        <f>SUM('Alder Lake'!W18)</f>
        <v>1691</v>
      </c>
      <c r="X5" s="52">
        <f>SUM('Alder Lake'!X18)</f>
        <v>0</v>
      </c>
      <c r="Y5" s="52">
        <f>SUM('Alder Lake'!Y18)</f>
        <v>1622</v>
      </c>
      <c r="Z5" s="52">
        <f>SUM('Alder Lake'!Z18)</f>
        <v>1824</v>
      </c>
      <c r="AA5" s="52">
        <f>SUM('Alder Lake'!AA18)</f>
        <v>2678</v>
      </c>
      <c r="AB5" s="52">
        <f>SUM('Alder Lake'!AB18)</f>
        <v>2316</v>
      </c>
      <c r="AC5" s="52">
        <f>SUM('Alder Lake'!AC18)</f>
        <v>2058</v>
      </c>
      <c r="AD5" s="52">
        <f>SUM('Alder Lake'!AD18)</f>
        <v>2242</v>
      </c>
      <c r="AE5" s="52">
        <f>SUM('Alder Lake'!AE18)</f>
        <v>2476</v>
      </c>
      <c r="AF5" s="52">
        <f>SUM('Alder Lake'!AF18)</f>
        <v>2283</v>
      </c>
      <c r="AG5" s="52">
        <f>SUM('Alder Lake'!AG18)</f>
        <v>1723</v>
      </c>
      <c r="AH5" s="52">
        <f>SUM('Alder Lake'!AH18)</f>
        <v>1734</v>
      </c>
      <c r="AI5" s="52">
        <f>SUM('Alder Lake'!AI18)</f>
        <v>1441</v>
      </c>
      <c r="AJ5" s="52">
        <f>SUM('Alder Lake'!AJ18)</f>
        <v>0</v>
      </c>
      <c r="AK5" s="52">
        <f>SUM('Alder Lake'!AK18)</f>
        <v>0</v>
      </c>
      <c r="AL5" s="52">
        <f>SUM('Alder Lake'!AL18)</f>
        <v>0</v>
      </c>
      <c r="AM5" s="52">
        <f>SUM('Alder Lake'!AM18)</f>
        <v>0</v>
      </c>
      <c r="AN5" s="52">
        <f>SUM('Alder Lake'!AN18)</f>
        <v>0</v>
      </c>
      <c r="AO5" s="52">
        <f>SUM('Alder Lake'!AO18)</f>
        <v>0</v>
      </c>
      <c r="AP5" s="52">
        <f>SUM('Alder Lake'!AP18)</f>
        <v>0</v>
      </c>
      <c r="AQ5" s="52">
        <f>SUM('Alder Lake'!AQ18)</f>
        <v>0</v>
      </c>
      <c r="AR5" s="52">
        <f>SUM('Alder Lake'!AR18)</f>
        <v>0</v>
      </c>
      <c r="AS5" s="52">
        <f>SUM('Alder Lake'!AS18)</f>
        <v>0</v>
      </c>
      <c r="AT5" s="52">
        <f>SUM('Alder Lake'!AT18)</f>
        <v>0</v>
      </c>
      <c r="AU5" s="52">
        <f>SUM('Alder Lake'!AU18)</f>
        <v>0</v>
      </c>
      <c r="AV5" s="52">
        <f>SUM('Alder Lake'!AV18)</f>
        <v>0</v>
      </c>
      <c r="AW5" s="52">
        <f>SUM('Alder Lake'!AW18)</f>
        <v>0</v>
      </c>
      <c r="AX5" s="52">
        <f>SUM('Alder Lake'!AX18)</f>
        <v>0</v>
      </c>
      <c r="AY5" s="52">
        <f>SUM('Alder Lake'!AY18)</f>
        <v>0</v>
      </c>
      <c r="AZ5" s="52">
        <f>SUM('Alder Lake'!AZ18)</f>
        <v>0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>
        <f>AVERAGEIF(B5:K5,"&gt;0")</f>
        <v>1348.4</v>
      </c>
      <c r="BK5">
        <f t="shared" ref="BK5:CP5" si="0">AVERAGEIF(C5:L5,"&gt;0")</f>
        <v>1371.5</v>
      </c>
      <c r="BL5">
        <f t="shared" si="0"/>
        <v>1472</v>
      </c>
      <c r="BM5">
        <f t="shared" si="0"/>
        <v>1518</v>
      </c>
      <c r="BN5">
        <f t="shared" si="0"/>
        <v>1579.4</v>
      </c>
      <c r="BO5">
        <f t="shared" si="0"/>
        <v>1586.6</v>
      </c>
      <c r="BP5">
        <f t="shared" si="0"/>
        <v>1632.3</v>
      </c>
      <c r="BQ5">
        <f t="shared" si="0"/>
        <v>1668.9</v>
      </c>
      <c r="BR5">
        <f t="shared" si="0"/>
        <v>1630.6666666666667</v>
      </c>
      <c r="BS5">
        <f t="shared" si="0"/>
        <v>1567.625</v>
      </c>
      <c r="BT5">
        <f t="shared" si="0"/>
        <v>1603.625</v>
      </c>
      <c r="BU5">
        <f t="shared" si="0"/>
        <v>1607.1428571428571</v>
      </c>
      <c r="BV5">
        <f t="shared" si="0"/>
        <v>1587.5714285714287</v>
      </c>
      <c r="BW5">
        <f t="shared" si="0"/>
        <v>1580.5</v>
      </c>
      <c r="BX5">
        <f t="shared" si="0"/>
        <v>1610.8333333333333</v>
      </c>
      <c r="BY5">
        <f t="shared" si="0"/>
        <v>1686.8333333333333</v>
      </c>
      <c r="BZ5">
        <f t="shared" si="0"/>
        <v>1865.1666666666667</v>
      </c>
      <c r="CA5">
        <f t="shared" si="0"/>
        <v>1981.8333333333333</v>
      </c>
      <c r="CB5">
        <f t="shared" si="0"/>
        <v>1992.7142857142858</v>
      </c>
      <c r="CC5">
        <f t="shared" si="0"/>
        <v>2023.875</v>
      </c>
      <c r="CD5">
        <f t="shared" si="0"/>
        <v>2113.375</v>
      </c>
      <c r="CE5">
        <f t="shared" si="0"/>
        <v>2132.2222222222222</v>
      </c>
      <c r="CF5">
        <f t="shared" si="0"/>
        <v>2135.7777777777778</v>
      </c>
      <c r="CG5">
        <f t="shared" si="0"/>
        <v>2095.6</v>
      </c>
      <c r="CH5">
        <f t="shared" si="0"/>
        <v>2077.5</v>
      </c>
      <c r="CI5">
        <f t="shared" si="0"/>
        <v>2105.6666666666665</v>
      </c>
      <c r="CJ5">
        <f t="shared" si="0"/>
        <v>2034.125</v>
      </c>
      <c r="CK5">
        <f t="shared" si="0"/>
        <v>1993.8571428571429</v>
      </c>
      <c r="CL5">
        <f t="shared" si="0"/>
        <v>1983.1666666666667</v>
      </c>
      <c r="CM5">
        <f t="shared" si="0"/>
        <v>1931.4</v>
      </c>
      <c r="CN5">
        <f t="shared" si="0"/>
        <v>1795.25</v>
      </c>
      <c r="CO5">
        <f t="shared" si="0"/>
        <v>1632.6666666666667</v>
      </c>
      <c r="CP5">
        <f t="shared" si="0"/>
        <v>1587.5</v>
      </c>
      <c r="CQ5">
        <f t="shared" ref="CQ5:CY5" si="1">AVERAGEIF(AI5:AR5,"&gt;0")</f>
        <v>1441</v>
      </c>
      <c r="CR5" t="e">
        <f t="shared" si="1"/>
        <v>#DIV/0!</v>
      </c>
      <c r="CS5" t="e">
        <f t="shared" si="1"/>
        <v>#DIV/0!</v>
      </c>
      <c r="CT5" t="e">
        <f t="shared" si="1"/>
        <v>#DIV/0!</v>
      </c>
      <c r="CU5" t="e">
        <f t="shared" si="1"/>
        <v>#DIV/0!</v>
      </c>
      <c r="CV5" t="e">
        <f t="shared" si="1"/>
        <v>#DIV/0!</v>
      </c>
      <c r="CW5" t="e">
        <f t="shared" si="1"/>
        <v>#DIV/0!</v>
      </c>
      <c r="CX5" t="e">
        <f t="shared" si="1"/>
        <v>#DIV/0!</v>
      </c>
      <c r="CY5" t="e">
        <f t="shared" si="1"/>
        <v>#DIV/0!</v>
      </c>
    </row>
    <row r="6" spans="1:103" s="10" customFormat="1" ht="20" customHeight="1" x14ac:dyDescent="0.2">
      <c r="A6" s="48" t="s">
        <v>115</v>
      </c>
      <c r="B6" s="54"/>
      <c r="C6" s="54"/>
      <c r="D6" s="54"/>
      <c r="E6" s="54">
        <f>SUM('Beaverkill Road to BLM FT'!E18)</f>
        <v>671</v>
      </c>
      <c r="F6" s="54">
        <f>SUM('Beaverkill Road to BLM FT'!F18)</f>
        <v>830</v>
      </c>
      <c r="G6" s="54">
        <f>SUM('Beaverkill Road to BLM FT'!G18)</f>
        <v>617</v>
      </c>
      <c r="H6" s="54">
        <f>SUM('Beaverkill Road to BLM FT'!H18)</f>
        <v>871</v>
      </c>
      <c r="I6" s="54">
        <f>SUM('Beaverkill Road to BLM FT'!I18)</f>
        <v>1076</v>
      </c>
      <c r="J6" s="54">
        <f>SUM('Beaverkill Road to BLM FT'!J18)</f>
        <v>946</v>
      </c>
      <c r="K6" s="54">
        <f>SUM('Beaverkill Road to BLM FT'!K18)</f>
        <v>944</v>
      </c>
      <c r="L6" s="54">
        <f>SUM('Beaverkill Road to BLM FT'!L18)</f>
        <v>1003</v>
      </c>
      <c r="M6" s="54">
        <f>SUM('Beaverkill Road to BLM FT'!M18)</f>
        <v>895</v>
      </c>
      <c r="N6" s="54">
        <f>SUM('Beaverkill Road to BLM FT'!N18)</f>
        <v>1059</v>
      </c>
      <c r="O6" s="54">
        <f>SUM('Beaverkill Road to BLM FT'!O18)</f>
        <v>1060</v>
      </c>
      <c r="P6" s="54">
        <f>SUM('Beaverkill Road to BLM FT'!P18)</f>
        <v>954</v>
      </c>
      <c r="Q6" s="54">
        <f>SUM('Beaverkill Road to BLM FT'!Q18)</f>
        <v>1021</v>
      </c>
      <c r="R6" s="54">
        <f>SUM('Beaverkill Road to BLM FT'!R18)</f>
        <v>1088</v>
      </c>
      <c r="S6" s="54"/>
      <c r="T6" s="54"/>
      <c r="U6" s="54">
        <f>SUM('Beaverkill Road to BLM FT'!U18)</f>
        <v>1398</v>
      </c>
      <c r="V6" s="54"/>
      <c r="W6" s="54">
        <f>SUM('Beaverkill Road to BLM FT'!W18)</f>
        <v>1641</v>
      </c>
      <c r="X6" s="54">
        <f>SUM('Beaverkill Road to BLM FT'!X18)</f>
        <v>0</v>
      </c>
      <c r="Y6" s="54">
        <f>SUM('Beaverkill Road to BLM FT'!Y18)</f>
        <v>1193</v>
      </c>
      <c r="Z6" s="54">
        <f>SUM('Beaverkill Road to BLM FT'!Z18)</f>
        <v>1307</v>
      </c>
      <c r="AA6" s="54">
        <f>SUM('Beaverkill Road to BLM FT'!AA18)</f>
        <v>1732</v>
      </c>
      <c r="AB6" s="54">
        <f>SUM('Beaverkill Road to BLM FT'!AB18)</f>
        <v>1326</v>
      </c>
      <c r="AC6" s="54">
        <f>SUM('Beaverkill Road to BLM FT'!AC18)</f>
        <v>1340</v>
      </c>
      <c r="AD6" s="54">
        <f>SUM('Beaverkill Road to BLM FT'!AD18)</f>
        <v>2123.3333333333335</v>
      </c>
      <c r="AE6" s="54">
        <f>SUM('Beaverkill Road to BLM FT'!AE18)</f>
        <v>1960</v>
      </c>
      <c r="AF6" s="54">
        <f>SUM('Beaverkill Road to BLM FT'!AF18)</f>
        <v>1973</v>
      </c>
      <c r="AG6" s="54">
        <f>SUM('Beaverkill Road to BLM FT'!AG18)</f>
        <v>1956</v>
      </c>
      <c r="AH6" s="54">
        <f>SUM('Beaverkill Road to BLM FT'!AH18)</f>
        <v>1788</v>
      </c>
      <c r="AI6" s="54">
        <f>SUM('Beaverkill Road to BLM FT'!AI18)</f>
        <v>1289</v>
      </c>
      <c r="AJ6" s="54">
        <f>SUM('Beaverkill Road to BLM FT'!AJ18)</f>
        <v>0</v>
      </c>
      <c r="AK6" s="54">
        <f>SUM('Beaverkill Road to BLM FT'!AK18)</f>
        <v>0</v>
      </c>
      <c r="AL6" s="54">
        <f>SUM('Beaverkill Road to BLM FT'!AL18)</f>
        <v>0</v>
      </c>
      <c r="AM6" s="54">
        <f>SUM('Beaverkill Road to BLM FT'!AM18)</f>
        <v>0</v>
      </c>
      <c r="AN6" s="54">
        <f>SUM('Beaverkill Road to BLM FT'!AN18)</f>
        <v>0</v>
      </c>
      <c r="AO6" s="54">
        <f>SUM('Beaverkill Road to BLM FT'!AO18)</f>
        <v>0</v>
      </c>
      <c r="AP6" s="54">
        <f>SUM('Beaverkill Road to BLM FT'!AP18)</f>
        <v>0</v>
      </c>
      <c r="AQ6" s="54">
        <f>SUM('Beaverkill Road to BLM FT'!AQ18)</f>
        <v>0</v>
      </c>
      <c r="AR6" s="54">
        <f>SUM('Beaverkill Road to BLM FT'!AR18)</f>
        <v>0</v>
      </c>
      <c r="AS6" s="54">
        <f>SUM('Beaverkill Road to BLM FT'!AS18)</f>
        <v>0</v>
      </c>
      <c r="AT6" s="54">
        <f>SUM('Beaverkill Road to BLM FT'!AT18)</f>
        <v>0</v>
      </c>
      <c r="AU6" s="54">
        <f>SUM('Beaverkill Road to BLM FT'!AU18)</f>
        <v>0</v>
      </c>
      <c r="AV6" s="54">
        <f>SUM('Beaverkill Road to BLM FT'!AV18)</f>
        <v>0</v>
      </c>
      <c r="AW6" s="54">
        <f>SUM('Beaverkill Road to BLM FT'!AW18)</f>
        <v>0</v>
      </c>
      <c r="AX6" s="54">
        <f>SUM('Beaverkill Road to BLM FT'!AX18)</f>
        <v>0</v>
      </c>
      <c r="AY6" s="54">
        <f>SUM('Beaverkill Road to BLM FT'!AY18)</f>
        <v>0</v>
      </c>
      <c r="AZ6" s="54">
        <f>SUM('Beaverkill Road to BLM FT'!AZ18)</f>
        <v>0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>
        <f t="shared" ref="BJ6:BJ11" si="2">AVERAGEIF(B6:K6,"&gt;0")</f>
        <v>850.71428571428567</v>
      </c>
      <c r="BK6">
        <f t="shared" ref="BK6:BK11" si="3">AVERAGEIF(C6:L6,"&gt;0")</f>
        <v>869.75</v>
      </c>
      <c r="BL6">
        <f t="shared" ref="BL6:BL11" si="4">AVERAGEIF(D6:M6,"&gt;0")</f>
        <v>872.55555555555554</v>
      </c>
      <c r="BM6">
        <f t="shared" ref="BM6:BM11" si="5">AVERAGEIF(E6:N6,"&gt;0")</f>
        <v>891.2</v>
      </c>
      <c r="BN6">
        <f t="shared" ref="BN6:BN11" si="6">AVERAGEIF(F6:O6,"&gt;0")</f>
        <v>930.1</v>
      </c>
      <c r="BO6">
        <f t="shared" ref="BO6:BO11" si="7">AVERAGEIF(G6:P6,"&gt;0")</f>
        <v>942.5</v>
      </c>
      <c r="BP6">
        <f t="shared" ref="BP6:BP11" si="8">AVERAGEIF(H6:Q6,"&gt;0")</f>
        <v>982.9</v>
      </c>
      <c r="BQ6">
        <f t="shared" ref="BQ6:BQ11" si="9">AVERAGEIF(I6:R6,"&gt;0")</f>
        <v>1004.6</v>
      </c>
      <c r="BR6">
        <f t="shared" ref="BR6:BR11" si="10">AVERAGEIF(J6:S6,"&gt;0")</f>
        <v>996.66666666666663</v>
      </c>
      <c r="BS6">
        <f t="shared" ref="BS6:BS11" si="11">AVERAGEIF(K6:T6,"&gt;0")</f>
        <v>1003</v>
      </c>
      <c r="BT6">
        <f t="shared" ref="BT6:BT11" si="12">AVERAGEIF(L6:U6,"&gt;0")</f>
        <v>1059.75</v>
      </c>
      <c r="BU6">
        <f t="shared" ref="BU6:BU11" si="13">AVERAGEIF(M6:V6,"&gt;0")</f>
        <v>1067.8571428571429</v>
      </c>
      <c r="BV6">
        <f t="shared" ref="BV6:BV11" si="14">AVERAGEIF(N6:W6,"&gt;0")</f>
        <v>1174.4285714285713</v>
      </c>
      <c r="BW6">
        <f t="shared" ref="BW6:BW11" si="15">AVERAGEIF(O6:X6,"&gt;0")</f>
        <v>1193.6666666666667</v>
      </c>
      <c r="BX6">
        <f t="shared" ref="BX6:BX11" si="16">AVERAGEIF(P6:Y6,"&gt;0")</f>
        <v>1215.8333333333333</v>
      </c>
      <c r="BY6">
        <f t="shared" ref="BY6:BY11" si="17">AVERAGEIF(Q6:Z6,"&gt;0")</f>
        <v>1274.6666666666667</v>
      </c>
      <c r="BZ6">
        <f t="shared" ref="BZ6:BZ11" si="18">AVERAGEIF(R6:AA6,"&gt;0")</f>
        <v>1393.1666666666667</v>
      </c>
      <c r="CA6">
        <f t="shared" ref="CA6:CA11" si="19">AVERAGEIF(S6:AB6,"&gt;0")</f>
        <v>1432.8333333333333</v>
      </c>
      <c r="CB6">
        <f t="shared" ref="CB6:CB11" si="20">AVERAGEIF(T6:AC6,"&gt;0")</f>
        <v>1419.5714285714287</v>
      </c>
      <c r="CC6">
        <f t="shared" ref="CC6:CC11" si="21">AVERAGEIF(U6:AD6,"&gt;0")</f>
        <v>1507.5416666666667</v>
      </c>
      <c r="CD6">
        <f t="shared" ref="CD6:CD11" si="22">AVERAGEIF(V6:AE6,"&gt;0")</f>
        <v>1577.7916666666667</v>
      </c>
      <c r="CE6">
        <f t="shared" ref="CE6:CE11" si="23">AVERAGEIF(W6:AF6,"&gt;0")</f>
        <v>1621.7037037037037</v>
      </c>
      <c r="CF6">
        <f t="shared" ref="CF6:CF11" si="24">AVERAGEIF(X6:AG6,"&gt;0")</f>
        <v>1656.7037037037037</v>
      </c>
      <c r="CG6">
        <f t="shared" ref="CG6:CG11" si="25">AVERAGEIF(Y6:AH6,"&gt;0")</f>
        <v>1669.8333333333335</v>
      </c>
      <c r="CH6">
        <f t="shared" ref="CH6:CH11" si="26">AVERAGEIF(Z6:AI6,"&gt;0")</f>
        <v>1679.4333333333336</v>
      </c>
      <c r="CI6">
        <f t="shared" ref="CI6:CI11" si="27">AVERAGEIF(AA6:AJ6,"&gt;0")</f>
        <v>1720.8148148148148</v>
      </c>
      <c r="CJ6">
        <f t="shared" ref="CJ6:CJ11" si="28">AVERAGEIF(AB6:AK6,"&gt;0")</f>
        <v>1719.4166666666667</v>
      </c>
      <c r="CK6">
        <f t="shared" ref="CK6:CK11" si="29">AVERAGEIF(AC6:AL6,"&gt;0")</f>
        <v>1775.6190476190477</v>
      </c>
      <c r="CL6">
        <f t="shared" ref="CL6:CL11" si="30">AVERAGEIF(AD6:AM6,"&gt;0")</f>
        <v>1848.2222222222224</v>
      </c>
      <c r="CM6">
        <f t="shared" ref="CM6:CM11" si="31">AVERAGEIF(AE6:AN6,"&gt;0")</f>
        <v>1793.2</v>
      </c>
      <c r="CN6">
        <f t="shared" ref="CN6:CN11" si="32">AVERAGEIF(AF6:AO6,"&gt;0")</f>
        <v>1751.5</v>
      </c>
      <c r="CO6">
        <f t="shared" ref="CO6:CO11" si="33">AVERAGEIF(AG6:AP6,"&gt;0")</f>
        <v>1677.6666666666667</v>
      </c>
      <c r="CP6">
        <f t="shared" ref="CP6:CP11" si="34">AVERAGEIF(AH6:AQ6,"&gt;0")</f>
        <v>1538.5</v>
      </c>
      <c r="CQ6">
        <f t="shared" ref="CQ6:CQ7" si="35">AVERAGE(AI6:AR6)</f>
        <v>128.9</v>
      </c>
      <c r="CR6">
        <f t="shared" ref="CR6:CR7" si="36">AVERAGE(AJ6:AS6)</f>
        <v>0</v>
      </c>
      <c r="CS6">
        <f t="shared" ref="CS6:CS7" si="37">AVERAGE(AK6:AT6)</f>
        <v>0</v>
      </c>
      <c r="CT6">
        <f t="shared" ref="CT6:CT7" si="38">AVERAGE(AL6:AU6)</f>
        <v>0</v>
      </c>
      <c r="CU6">
        <f t="shared" ref="CU6:CU7" si="39">AVERAGE(AM6:AV6)</f>
        <v>0</v>
      </c>
      <c r="CV6">
        <f t="shared" ref="CV6:CV7" si="40">AVERAGE(AN6:AW6)</f>
        <v>0</v>
      </c>
      <c r="CW6">
        <f t="shared" ref="CW6:CW7" si="41">AVERAGE(AO6:AX6)</f>
        <v>0</v>
      </c>
      <c r="CX6">
        <f t="shared" ref="CX6:CX7" si="42">AVERAGE(AP6:AY6)</f>
        <v>0</v>
      </c>
      <c r="CY6">
        <f t="shared" ref="CY6:CY7" si="43">AVERAGE(AQ6:AZ6)</f>
        <v>0</v>
      </c>
    </row>
    <row r="7" spans="1:103" ht="20" customHeight="1" x14ac:dyDescent="0.2">
      <c r="A7" s="49" t="s">
        <v>114</v>
      </c>
      <c r="B7" s="52"/>
      <c r="C7" s="52"/>
      <c r="D7" s="52"/>
      <c r="E7" s="52">
        <f>SUM('Dry Brook Ridge to Lean-to '!E18)</f>
        <v>349</v>
      </c>
      <c r="F7" s="52">
        <f>SUM('Dry Brook Ridge to Lean-to '!F18)</f>
        <v>457</v>
      </c>
      <c r="G7" s="52">
        <f>SUM('Dry Brook Ridge to Lean-to '!G18)</f>
        <v>313</v>
      </c>
      <c r="H7" s="52">
        <f>SUM('Dry Brook Ridge to Lean-to '!H18)</f>
        <v>270</v>
      </c>
      <c r="I7" s="52">
        <f>SUM('Dry Brook Ridge to Lean-to '!I18)</f>
        <v>271</v>
      </c>
      <c r="J7" s="52">
        <f>SUM('Dry Brook Ridge to Lean-to '!J18)</f>
        <v>257</v>
      </c>
      <c r="K7" s="52">
        <f>SUM('Dry Brook Ridge to Lean-to '!K18)</f>
        <v>263</v>
      </c>
      <c r="L7" s="52">
        <f>SUM('Dry Brook Ridge to Lean-to '!L18)</f>
        <v>230</v>
      </c>
      <c r="M7" s="52">
        <f>SUM('Dry Brook Ridge to Lean-to '!M18)</f>
        <v>243</v>
      </c>
      <c r="N7" s="52">
        <f>SUM('Dry Brook Ridge to Lean-to '!N18)</f>
        <v>162</v>
      </c>
      <c r="O7" s="52">
        <f>SUM('Dry Brook Ridge to Lean-to '!O18)</f>
        <v>236</v>
      </c>
      <c r="P7" s="52">
        <f>SUM('Dry Brook Ridge to Lean-to '!P18)</f>
        <v>313</v>
      </c>
      <c r="Q7" s="52">
        <f>SUM('Dry Brook Ridge to Lean-to '!Q18)</f>
        <v>153</v>
      </c>
      <c r="R7" s="52">
        <f>SUM('Dry Brook Ridge to Lean-to '!R18)</f>
        <v>152</v>
      </c>
      <c r="S7" s="52"/>
      <c r="T7" s="52"/>
      <c r="U7" s="52">
        <f>SUM('Dry Brook Ridge to Lean-to '!U18)</f>
        <v>126</v>
      </c>
      <c r="V7" s="52"/>
      <c r="W7" s="52">
        <f>SUM('Dry Brook Ridge to Lean-to '!W18)</f>
        <v>260</v>
      </c>
      <c r="X7" s="52">
        <f>SUM('Dry Brook Ridge to Lean-to '!X18)</f>
        <v>161</v>
      </c>
      <c r="Y7" s="52">
        <f>SUM('Dry Brook Ridge to Lean-to '!Y18)</f>
        <v>227</v>
      </c>
      <c r="Z7" s="52">
        <f>SUM('Dry Brook Ridge to Lean-to '!Z18)</f>
        <v>196</v>
      </c>
      <c r="AA7" s="52">
        <f>SUM('Dry Brook Ridge to Lean-to '!AA18)</f>
        <v>251</v>
      </c>
      <c r="AB7" s="52">
        <f>SUM('Dry Brook Ridge to Lean-to '!AB18)</f>
        <v>209</v>
      </c>
      <c r="AC7" s="52">
        <f>SUM('Dry Brook Ridge to Lean-to '!AC18)</f>
        <v>320</v>
      </c>
      <c r="AD7" s="52">
        <f>SUM('Dry Brook Ridge to Lean-to '!AD18)</f>
        <v>362</v>
      </c>
      <c r="AE7" s="52">
        <f>SUM('Dry Brook Ridge to Lean-to '!AE18)</f>
        <v>296.99999999999994</v>
      </c>
      <c r="AF7" s="52">
        <f>SUM('Dry Brook Ridge to Lean-to '!AF18)</f>
        <v>343</v>
      </c>
      <c r="AG7" s="52">
        <f>SUM('Dry Brook Ridge to Lean-to '!AG18)</f>
        <v>299</v>
      </c>
      <c r="AH7" s="52">
        <f>SUM('Dry Brook Ridge to Lean-to '!AH18)</f>
        <v>235</v>
      </c>
      <c r="AI7" s="52">
        <f>SUM('Dry Brook Ridge to Lean-to '!AI18)</f>
        <v>186</v>
      </c>
      <c r="AJ7" s="52">
        <f>SUM('Dry Brook Ridge to Lean-to '!AJ18)</f>
        <v>0</v>
      </c>
      <c r="AK7" s="52">
        <f>SUM('Dry Brook Ridge to Lean-to '!AK18)</f>
        <v>0</v>
      </c>
      <c r="AL7" s="52">
        <f>SUM('Dry Brook Ridge to Lean-to '!AL18)</f>
        <v>0</v>
      </c>
      <c r="AM7" s="52">
        <f>SUM('Dry Brook Ridge to Lean-to '!AM18)</f>
        <v>0</v>
      </c>
      <c r="AN7" s="52">
        <f>SUM('Dry Brook Ridge to Lean-to '!AN18)</f>
        <v>0</v>
      </c>
      <c r="AO7" s="52">
        <f>SUM('Dry Brook Ridge to Lean-to '!AO18)</f>
        <v>0</v>
      </c>
      <c r="AP7" s="52">
        <f>SUM('Dry Brook Ridge to Lean-to '!AP18)</f>
        <v>0</v>
      </c>
      <c r="AQ7" s="52">
        <f>SUM('Dry Brook Ridge to Lean-to '!AQ18)</f>
        <v>0</v>
      </c>
      <c r="AR7" s="52">
        <f>SUM('Dry Brook Ridge to Lean-to '!AR18)</f>
        <v>0</v>
      </c>
      <c r="AS7" s="52">
        <f>SUM('Dry Brook Ridge to Lean-to '!AS18)</f>
        <v>0</v>
      </c>
      <c r="AT7" s="52">
        <f>SUM('Dry Brook Ridge to Lean-to '!AT18)</f>
        <v>0</v>
      </c>
      <c r="AU7" s="52">
        <f>SUM('Dry Brook Ridge to Lean-to '!AU18)</f>
        <v>0</v>
      </c>
      <c r="AV7" s="52">
        <f>SUM('Dry Brook Ridge to Lean-to '!AV18)</f>
        <v>0</v>
      </c>
      <c r="AW7" s="52">
        <f>SUM('Dry Brook Ridge to Lean-to '!AW18)</f>
        <v>0</v>
      </c>
      <c r="AX7" s="52">
        <f>SUM('Dry Brook Ridge to Lean-to '!AX18)</f>
        <v>0</v>
      </c>
      <c r="AY7" s="52">
        <f>SUM('Dry Brook Ridge to Lean-to '!AY18)</f>
        <v>0</v>
      </c>
      <c r="AZ7" s="52">
        <f>SUM('Dry Brook Ridge to Lean-to '!AZ18)</f>
        <v>0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>
        <f t="shared" si="2"/>
        <v>311.42857142857144</v>
      </c>
      <c r="BK7">
        <f t="shared" si="3"/>
        <v>301.25</v>
      </c>
      <c r="BL7">
        <f t="shared" si="4"/>
        <v>294.77777777777777</v>
      </c>
      <c r="BM7">
        <f t="shared" si="5"/>
        <v>281.5</v>
      </c>
      <c r="BN7">
        <f t="shared" si="6"/>
        <v>270.2</v>
      </c>
      <c r="BO7">
        <f t="shared" si="7"/>
        <v>255.8</v>
      </c>
      <c r="BP7">
        <f t="shared" si="8"/>
        <v>239.8</v>
      </c>
      <c r="BQ7">
        <f t="shared" si="9"/>
        <v>228</v>
      </c>
      <c r="BR7">
        <f t="shared" si="10"/>
        <v>223.22222222222223</v>
      </c>
      <c r="BS7">
        <f t="shared" si="11"/>
        <v>219</v>
      </c>
      <c r="BT7">
        <f t="shared" si="12"/>
        <v>201.875</v>
      </c>
      <c r="BU7">
        <f t="shared" si="13"/>
        <v>197.85714285714286</v>
      </c>
      <c r="BV7">
        <f t="shared" si="14"/>
        <v>200.28571428571428</v>
      </c>
      <c r="BW7">
        <f t="shared" si="15"/>
        <v>200.14285714285714</v>
      </c>
      <c r="BX7">
        <f t="shared" si="16"/>
        <v>198.85714285714286</v>
      </c>
      <c r="BY7">
        <f t="shared" si="17"/>
        <v>182.14285714285714</v>
      </c>
      <c r="BZ7">
        <f t="shared" si="18"/>
        <v>196.14285714285714</v>
      </c>
      <c r="CA7">
        <f t="shared" si="19"/>
        <v>204.28571428571428</v>
      </c>
      <c r="CB7">
        <f t="shared" si="20"/>
        <v>218.75</v>
      </c>
      <c r="CC7">
        <f t="shared" si="21"/>
        <v>234.66666666666666</v>
      </c>
      <c r="CD7">
        <f t="shared" si="22"/>
        <v>253.66666666666666</v>
      </c>
      <c r="CE7">
        <f t="shared" si="23"/>
        <v>262.60000000000002</v>
      </c>
      <c r="CF7">
        <f t="shared" si="24"/>
        <v>266.5</v>
      </c>
      <c r="CG7">
        <f t="shared" si="25"/>
        <v>273.89999999999998</v>
      </c>
      <c r="CH7">
        <f t="shared" si="26"/>
        <v>269.8</v>
      </c>
      <c r="CI7">
        <f t="shared" si="27"/>
        <v>278</v>
      </c>
      <c r="CJ7">
        <f t="shared" si="28"/>
        <v>281.375</v>
      </c>
      <c r="CK7">
        <f t="shared" si="29"/>
        <v>291.71428571428572</v>
      </c>
      <c r="CL7">
        <f t="shared" si="30"/>
        <v>287</v>
      </c>
      <c r="CM7">
        <f t="shared" si="31"/>
        <v>272</v>
      </c>
      <c r="CN7">
        <f t="shared" si="32"/>
        <v>265.75</v>
      </c>
      <c r="CO7">
        <f t="shared" si="33"/>
        <v>240</v>
      </c>
      <c r="CP7">
        <f t="shared" si="34"/>
        <v>210.5</v>
      </c>
      <c r="CQ7">
        <f t="shared" si="35"/>
        <v>18.600000000000001</v>
      </c>
      <c r="CR7">
        <f t="shared" si="36"/>
        <v>0</v>
      </c>
      <c r="CS7">
        <f t="shared" si="37"/>
        <v>0</v>
      </c>
      <c r="CT7">
        <f t="shared" si="38"/>
        <v>0</v>
      </c>
      <c r="CU7">
        <f t="shared" si="39"/>
        <v>0</v>
      </c>
      <c r="CV7">
        <f t="shared" si="40"/>
        <v>0</v>
      </c>
      <c r="CW7">
        <f t="shared" si="41"/>
        <v>0</v>
      </c>
      <c r="CX7">
        <f t="shared" si="42"/>
        <v>0</v>
      </c>
      <c r="CY7">
        <f t="shared" si="43"/>
        <v>0</v>
      </c>
    </row>
    <row r="8" spans="1:103" s="10" customFormat="1" ht="20" customHeight="1" x14ac:dyDescent="0.2">
      <c r="A8" s="48" t="s">
        <v>15</v>
      </c>
      <c r="B8" s="54">
        <f>SUM('Kelly Hollow'!B18)</f>
        <v>242</v>
      </c>
      <c r="C8" s="54">
        <f>SUM('Kelly Hollow'!C18)</f>
        <v>275</v>
      </c>
      <c r="D8" s="54">
        <f>SUM('Kelly Hollow'!D18)</f>
        <v>223</v>
      </c>
      <c r="E8" s="54">
        <f>SUM('Kelly Hollow'!E18)</f>
        <v>327</v>
      </c>
      <c r="F8" s="54">
        <f>SUM('Kelly Hollow'!F18)</f>
        <v>345</v>
      </c>
      <c r="G8" s="54">
        <f>SUM('Kelly Hollow'!G18)</f>
        <v>290</v>
      </c>
      <c r="H8" s="54">
        <f>SUM('Kelly Hollow'!H18)</f>
        <v>428</v>
      </c>
      <c r="I8" s="54">
        <f>SUM('Kelly Hollow'!I18)</f>
        <v>393</v>
      </c>
      <c r="J8" s="54">
        <f>SUM('Kelly Hollow'!J18)</f>
        <v>379</v>
      </c>
      <c r="K8" s="54">
        <f>SUM('Kelly Hollow'!K18)</f>
        <v>423</v>
      </c>
      <c r="L8" s="54">
        <f>SUM('Kelly Hollow'!L18)</f>
        <v>468</v>
      </c>
      <c r="M8" s="54">
        <f>SUM('Kelly Hollow'!M18)</f>
        <v>544</v>
      </c>
      <c r="N8" s="54">
        <f>SUM('Kelly Hollow'!N18)</f>
        <v>511</v>
      </c>
      <c r="O8" s="54">
        <f>SUM('Kelly Hollow'!O18)</f>
        <v>525</v>
      </c>
      <c r="P8" s="54">
        <f>SUM('Kelly Hollow'!P18)</f>
        <v>595</v>
      </c>
      <c r="Q8" s="54">
        <f>SUM('Kelly Hollow'!Q18)</f>
        <v>598</v>
      </c>
      <c r="R8" s="54">
        <f>SUM('Kelly Hollow'!R18)</f>
        <v>687</v>
      </c>
      <c r="S8" s="54"/>
      <c r="T8" s="54"/>
      <c r="U8" s="54">
        <f>SUM('Kelly Hollow'!U18)</f>
        <v>916</v>
      </c>
      <c r="V8" s="54"/>
      <c r="W8" s="54">
        <f>SUM('Kelly Hollow'!W18)</f>
        <v>901</v>
      </c>
      <c r="X8" s="54">
        <f>SUM('Kelly Hollow'!X18)</f>
        <v>733</v>
      </c>
      <c r="Y8" s="54">
        <f>SUM('Kelly Hollow'!Y18)</f>
        <v>714</v>
      </c>
      <c r="Z8" s="54">
        <f>SUM('Kelly Hollow'!Z18)</f>
        <v>760</v>
      </c>
      <c r="AA8" s="54">
        <f>SUM('Kelly Hollow'!AA18)</f>
        <v>952</v>
      </c>
      <c r="AB8" s="54">
        <f>SUM('Kelly Hollow'!AB18)</f>
        <v>901</v>
      </c>
      <c r="AC8" s="54">
        <f>SUM('Kelly Hollow'!AC18)</f>
        <v>974</v>
      </c>
      <c r="AD8" s="54">
        <f>SUM('Kelly Hollow'!AD18)</f>
        <v>1229</v>
      </c>
      <c r="AE8" s="54">
        <f>SUM('Kelly Hollow'!AE18)</f>
        <v>2014</v>
      </c>
      <c r="AF8" s="54">
        <f>SUM('Kelly Hollow'!AF17)</f>
        <v>0</v>
      </c>
      <c r="AG8" s="54">
        <f>SUM('Kelly Hollow'!AG17)</f>
        <v>0</v>
      </c>
      <c r="AH8" s="54">
        <f>SUM('Kelly Hollow'!AH17)</f>
        <v>0</v>
      </c>
      <c r="AI8" s="54">
        <f>SUM('Kelly Hollow'!AI17)</f>
        <v>0</v>
      </c>
      <c r="AJ8" s="54">
        <f>SUM('Kelly Hollow'!AJ17)</f>
        <v>0</v>
      </c>
      <c r="AK8" s="54">
        <f>SUM('Kelly Hollow'!AK17)</f>
        <v>0</v>
      </c>
      <c r="AL8" s="54">
        <f>SUM('Kelly Hollow'!AL17)</f>
        <v>0</v>
      </c>
      <c r="AM8" s="54">
        <f>SUM('Kelly Hollow'!AM17)</f>
        <v>0</v>
      </c>
      <c r="AN8" s="54">
        <f>SUM('Kelly Hollow'!AN17)</f>
        <v>0</v>
      </c>
      <c r="AO8" s="54">
        <f>SUM('Kelly Hollow'!AO17)</f>
        <v>0</v>
      </c>
      <c r="AP8" s="54">
        <f>SUM('Kelly Hollow'!AP17)</f>
        <v>0</v>
      </c>
      <c r="AQ8" s="54">
        <f>SUM('Kelly Hollow'!AQ17)</f>
        <v>0</v>
      </c>
      <c r="AR8" s="54">
        <f>SUM('Kelly Hollow'!AR17)</f>
        <v>0</v>
      </c>
      <c r="AS8" s="54">
        <f>SUM('Kelly Hollow'!AS17)</f>
        <v>0</v>
      </c>
      <c r="AT8" s="54">
        <f>SUM('Kelly Hollow'!AT17)</f>
        <v>0</v>
      </c>
      <c r="AU8" s="54">
        <f>SUM('Kelly Hollow'!AU17)</f>
        <v>0</v>
      </c>
      <c r="AV8" s="54">
        <f>SUM('Kelly Hollow'!AV17)</f>
        <v>0</v>
      </c>
      <c r="AW8" s="54">
        <f>SUM('Kelly Hollow'!AW17)</f>
        <v>0</v>
      </c>
      <c r="AX8" s="54">
        <f>SUM('Kelly Hollow'!AX17)</f>
        <v>0</v>
      </c>
      <c r="AY8" s="54">
        <f>SUM('Kelly Hollow'!AY17)</f>
        <v>0</v>
      </c>
      <c r="AZ8" s="54">
        <f>SUM('Kelly Hollow'!AZ17)</f>
        <v>0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>
        <f t="shared" si="2"/>
        <v>332.5</v>
      </c>
      <c r="BK8">
        <f t="shared" si="3"/>
        <v>355.1</v>
      </c>
      <c r="BL8">
        <f t="shared" si="4"/>
        <v>382</v>
      </c>
      <c r="BM8">
        <f t="shared" si="5"/>
        <v>410.8</v>
      </c>
      <c r="BN8">
        <f t="shared" si="6"/>
        <v>430.6</v>
      </c>
      <c r="BO8">
        <f t="shared" si="7"/>
        <v>455.6</v>
      </c>
      <c r="BP8">
        <f t="shared" si="8"/>
        <v>486.4</v>
      </c>
      <c r="BQ8">
        <f t="shared" si="9"/>
        <v>512.29999999999995</v>
      </c>
      <c r="BR8">
        <f t="shared" si="10"/>
        <v>525.55555555555554</v>
      </c>
      <c r="BS8">
        <f t="shared" si="11"/>
        <v>543.875</v>
      </c>
      <c r="BT8">
        <f t="shared" si="12"/>
        <v>605.5</v>
      </c>
      <c r="BU8">
        <f t="shared" si="13"/>
        <v>625.14285714285711</v>
      </c>
      <c r="BV8">
        <f t="shared" si="14"/>
        <v>676.14285714285711</v>
      </c>
      <c r="BW8">
        <f t="shared" si="15"/>
        <v>707.85714285714289</v>
      </c>
      <c r="BX8">
        <f t="shared" si="16"/>
        <v>734.85714285714289</v>
      </c>
      <c r="BY8">
        <f t="shared" si="17"/>
        <v>758.42857142857144</v>
      </c>
      <c r="BZ8">
        <f t="shared" si="18"/>
        <v>809</v>
      </c>
      <c r="CA8">
        <f t="shared" si="19"/>
        <v>839.57142857142856</v>
      </c>
      <c r="CB8">
        <f t="shared" si="20"/>
        <v>856.375</v>
      </c>
      <c r="CC8">
        <f t="shared" si="21"/>
        <v>897.77777777777783</v>
      </c>
      <c r="CD8">
        <f t="shared" si="22"/>
        <v>1019.7777777777778</v>
      </c>
      <c r="CE8">
        <f t="shared" si="23"/>
        <v>1019.7777777777778</v>
      </c>
      <c r="CF8">
        <f t="shared" si="24"/>
        <v>1034.625</v>
      </c>
      <c r="CG8">
        <f t="shared" si="25"/>
        <v>1077.7142857142858</v>
      </c>
      <c r="CH8">
        <f t="shared" si="26"/>
        <v>1138.3333333333333</v>
      </c>
      <c r="CI8">
        <f t="shared" si="27"/>
        <v>1214</v>
      </c>
      <c r="CJ8">
        <f t="shared" si="28"/>
        <v>1279.5</v>
      </c>
      <c r="CK8">
        <f t="shared" si="29"/>
        <v>1405.6666666666667</v>
      </c>
      <c r="CL8">
        <f t="shared" si="30"/>
        <v>1621.5</v>
      </c>
      <c r="CM8">
        <f t="shared" si="31"/>
        <v>2014</v>
      </c>
      <c r="CN8" t="e">
        <f t="shared" si="32"/>
        <v>#DIV/0!</v>
      </c>
      <c r="CO8" t="e">
        <f t="shared" si="33"/>
        <v>#DIV/0!</v>
      </c>
      <c r="CP8" t="e">
        <f t="shared" si="34"/>
        <v>#DIV/0!</v>
      </c>
      <c r="CQ8">
        <f t="shared" ref="CQ8:CQ11" si="44">AVERAGE(AI8:AR8)</f>
        <v>0</v>
      </c>
      <c r="CR8">
        <f t="shared" ref="CR8:CR11" si="45">AVERAGE(AJ8:AS8)</f>
        <v>0</v>
      </c>
      <c r="CS8">
        <f t="shared" ref="CS8:CS11" si="46">AVERAGE(AK8:AT8)</f>
        <v>0</v>
      </c>
      <c r="CT8">
        <f t="shared" ref="CT8:CT11" si="47">AVERAGE(AL8:AU8)</f>
        <v>0</v>
      </c>
      <c r="CU8">
        <f t="shared" ref="CU8:CU11" si="48">AVERAGE(AM8:AV8)</f>
        <v>0</v>
      </c>
      <c r="CV8">
        <f t="shared" ref="CV8:CV11" si="49">AVERAGE(AN8:AW8)</f>
        <v>0</v>
      </c>
      <c r="CW8">
        <f t="shared" ref="CW8:CW11" si="50">AVERAGE(AO8:AX8)</f>
        <v>0</v>
      </c>
      <c r="CX8">
        <f t="shared" ref="CX8:CX11" si="51">AVERAGE(AP8:AY8)</f>
        <v>0</v>
      </c>
      <c r="CY8">
        <f t="shared" ref="CY8:CY11" si="52">AVERAGE(AQ8:AZ8)</f>
        <v>0</v>
      </c>
    </row>
    <row r="9" spans="1:103" ht="20" customHeight="1" x14ac:dyDescent="0.2">
      <c r="A9" s="49" t="s">
        <v>116</v>
      </c>
      <c r="B9" s="52">
        <f>SUM('Millbrook to BLM FT'!B18)</f>
        <v>861</v>
      </c>
      <c r="C9" s="52">
        <f>SUM('Millbrook to BLM FT'!C18)</f>
        <v>765</v>
      </c>
      <c r="D9" s="52">
        <f>SUM('Millbrook to BLM FT'!D18)</f>
        <v>891</v>
      </c>
      <c r="E9" s="52">
        <f>SUM('Millbrook to BLM FT'!E18)</f>
        <v>1156</v>
      </c>
      <c r="F9" s="52">
        <f>SUM('Millbrook to BLM FT'!F18)</f>
        <v>972</v>
      </c>
      <c r="G9" s="52">
        <f>SUM('Millbrook to BLM FT'!G18)</f>
        <v>813</v>
      </c>
      <c r="H9" s="52">
        <f>SUM('Millbrook to BLM FT'!H18)</f>
        <v>927</v>
      </c>
      <c r="I9" s="52">
        <f>SUM('Millbrook to BLM FT'!I18)</f>
        <v>1168</v>
      </c>
      <c r="J9" s="52">
        <f>SUM('Millbrook to BLM FT'!J18)</f>
        <v>1359</v>
      </c>
      <c r="K9" s="52">
        <f>SUM('Millbrook to BLM FT'!K18)</f>
        <v>1316</v>
      </c>
      <c r="L9" s="52">
        <f>SUM('Millbrook to BLM FT'!L18)</f>
        <v>1534</v>
      </c>
      <c r="M9" s="52">
        <f>SUM('Millbrook to BLM FT'!M18)</f>
        <v>1328</v>
      </c>
      <c r="N9" s="52">
        <f>SUM('Millbrook to BLM FT'!N18)</f>
        <v>1131</v>
      </c>
      <c r="O9" s="52">
        <f>SUM('Millbrook to BLM FT'!O18)</f>
        <v>1341</v>
      </c>
      <c r="P9" s="52">
        <f>SUM('Millbrook to BLM FT'!P18)</f>
        <v>1152</v>
      </c>
      <c r="Q9" s="52">
        <f>SUM('Millbrook to BLM FT'!Q18)</f>
        <v>1339</v>
      </c>
      <c r="R9" s="52">
        <f>SUM('Millbrook to BLM FT'!R18)</f>
        <v>1183</v>
      </c>
      <c r="S9" s="52"/>
      <c r="T9" s="52"/>
      <c r="U9" s="52">
        <f>SUM('Millbrook to BLM FT'!U18)</f>
        <v>916</v>
      </c>
      <c r="V9" s="52"/>
      <c r="W9" s="52">
        <f>SUM('Millbrook to BLM FT'!W18)</f>
        <v>1261</v>
      </c>
      <c r="X9" s="52">
        <f>SUM('Millbrook to BLM FT'!X18)</f>
        <v>1662</v>
      </c>
      <c r="Y9" s="52">
        <f>SUM('Millbrook to BLM FT'!Y18)</f>
        <v>1932</v>
      </c>
      <c r="Z9" s="52">
        <f>SUM('Millbrook to BLM FT'!Z18)</f>
        <v>2033</v>
      </c>
      <c r="AA9" s="52">
        <f>SUM('Millbrook to BLM FT'!AA18)</f>
        <v>2525</v>
      </c>
      <c r="AB9" s="52">
        <f>SUM('Millbrook to BLM FT'!AB18)</f>
        <v>2375</v>
      </c>
      <c r="AC9" s="52">
        <f>SUM('Millbrook to BLM FT'!AC18)</f>
        <v>2186</v>
      </c>
      <c r="AD9" s="52">
        <f>SUM('Millbrook to BLM FT'!AD18)</f>
        <v>3316</v>
      </c>
      <c r="AE9" s="52">
        <f>SUM('Millbrook to BLM FT'!AE18)</f>
        <v>3158</v>
      </c>
      <c r="AF9" s="52">
        <f>SUM('Millbrook to BLM FT'!AF18)</f>
        <v>2705</v>
      </c>
      <c r="AG9" s="52">
        <f>SUM('Millbrook to BLM FT'!AG18)</f>
        <v>3212</v>
      </c>
      <c r="AH9" s="52">
        <f>SUM('Millbrook to BLM FT'!AH18)</f>
        <v>3048</v>
      </c>
      <c r="AI9" s="52">
        <f>SUM('Millbrook to BLM FT'!AI18)</f>
        <v>3198</v>
      </c>
      <c r="AJ9" s="52">
        <f>SUM('Millbrook to BLM FT'!AJ18)</f>
        <v>1802</v>
      </c>
      <c r="AK9" s="52">
        <f>SUM('Millbrook to BLM FT'!AK18)</f>
        <v>0</v>
      </c>
      <c r="AL9" s="52">
        <f>SUM('Millbrook to BLM FT'!AL18)</f>
        <v>0</v>
      </c>
      <c r="AM9" s="52">
        <f>SUM('Millbrook to BLM FT'!AM18)</f>
        <v>0</v>
      </c>
      <c r="AN9" s="52">
        <f>SUM('Millbrook to BLM FT'!AN18)</f>
        <v>0</v>
      </c>
      <c r="AO9" s="52">
        <f>SUM('Millbrook to BLM FT'!AO18)</f>
        <v>0</v>
      </c>
      <c r="AP9" s="52">
        <f>SUM('Millbrook to BLM FT'!AP18)</f>
        <v>0</v>
      </c>
      <c r="AQ9" s="52">
        <f>SUM('Millbrook to BLM FT'!AQ18)</f>
        <v>0</v>
      </c>
      <c r="AR9" s="52">
        <f>SUM('Millbrook to BLM FT'!AR18)</f>
        <v>0</v>
      </c>
      <c r="AS9" s="52">
        <f>SUM('Millbrook to BLM FT'!AS18)</f>
        <v>0</v>
      </c>
      <c r="AT9" s="52">
        <f>SUM('Millbrook to BLM FT'!AT18)</f>
        <v>0</v>
      </c>
      <c r="AU9" s="52">
        <f>SUM('Millbrook to BLM FT'!AU18)</f>
        <v>0</v>
      </c>
      <c r="AV9" s="52">
        <f>SUM('Millbrook to BLM FT'!AV18)</f>
        <v>0</v>
      </c>
      <c r="AW9" s="52">
        <f>SUM('Millbrook to BLM FT'!AW18)</f>
        <v>0</v>
      </c>
      <c r="AX9" s="52">
        <f>SUM('Millbrook to BLM FT'!AX18)</f>
        <v>0</v>
      </c>
      <c r="AY9" s="52">
        <f>SUM('Millbrook to BLM FT'!AY18)</f>
        <v>0</v>
      </c>
      <c r="AZ9" s="52">
        <f>SUM('Millbrook to BLM FT'!AZ18)</f>
        <v>0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>
        <f t="shared" si="2"/>
        <v>1022.8</v>
      </c>
      <c r="BK9">
        <f t="shared" si="3"/>
        <v>1090.0999999999999</v>
      </c>
      <c r="BL9">
        <f t="shared" si="4"/>
        <v>1146.4000000000001</v>
      </c>
      <c r="BM9">
        <f t="shared" si="5"/>
        <v>1170.4000000000001</v>
      </c>
      <c r="BN9">
        <f t="shared" si="6"/>
        <v>1188.9000000000001</v>
      </c>
      <c r="BO9">
        <f t="shared" si="7"/>
        <v>1206.9000000000001</v>
      </c>
      <c r="BP9">
        <f t="shared" si="8"/>
        <v>1259.5</v>
      </c>
      <c r="BQ9">
        <f t="shared" si="9"/>
        <v>1285.0999999999999</v>
      </c>
      <c r="BR9">
        <f t="shared" si="10"/>
        <v>1298.1111111111111</v>
      </c>
      <c r="BS9">
        <f t="shared" si="11"/>
        <v>1290.5</v>
      </c>
      <c r="BT9">
        <f t="shared" si="12"/>
        <v>1240.5</v>
      </c>
      <c r="BU9">
        <f t="shared" si="13"/>
        <v>1198.5714285714287</v>
      </c>
      <c r="BV9">
        <f t="shared" si="14"/>
        <v>1189</v>
      </c>
      <c r="BW9">
        <f t="shared" si="15"/>
        <v>1264.8571428571429</v>
      </c>
      <c r="BX9">
        <f t="shared" si="16"/>
        <v>1349.2857142857142</v>
      </c>
      <c r="BY9">
        <f t="shared" si="17"/>
        <v>1475.1428571428571</v>
      </c>
      <c r="BZ9">
        <f t="shared" si="18"/>
        <v>1644.5714285714287</v>
      </c>
      <c r="CA9">
        <f t="shared" si="19"/>
        <v>1814.8571428571429</v>
      </c>
      <c r="CB9">
        <f t="shared" si="20"/>
        <v>1861.25</v>
      </c>
      <c r="CC9">
        <f t="shared" si="21"/>
        <v>2022.8888888888889</v>
      </c>
      <c r="CD9">
        <f t="shared" si="22"/>
        <v>2272</v>
      </c>
      <c r="CE9">
        <f t="shared" si="23"/>
        <v>2315.3000000000002</v>
      </c>
      <c r="CF9">
        <f t="shared" si="24"/>
        <v>2510.4</v>
      </c>
      <c r="CG9">
        <f t="shared" si="25"/>
        <v>2649</v>
      </c>
      <c r="CH9">
        <f t="shared" si="26"/>
        <v>2775.6</v>
      </c>
      <c r="CI9">
        <f t="shared" si="27"/>
        <v>2752.5</v>
      </c>
      <c r="CJ9">
        <f t="shared" si="28"/>
        <v>2777.7777777777778</v>
      </c>
      <c r="CK9">
        <f t="shared" si="29"/>
        <v>2828.125</v>
      </c>
      <c r="CL9">
        <f t="shared" si="30"/>
        <v>2919.8571428571427</v>
      </c>
      <c r="CM9">
        <f t="shared" si="31"/>
        <v>2853.8333333333335</v>
      </c>
      <c r="CN9">
        <f t="shared" si="32"/>
        <v>2793</v>
      </c>
      <c r="CO9">
        <f t="shared" si="33"/>
        <v>2815</v>
      </c>
      <c r="CP9">
        <f t="shared" si="34"/>
        <v>2682.6666666666665</v>
      </c>
      <c r="CQ9">
        <f t="shared" si="44"/>
        <v>500</v>
      </c>
      <c r="CR9">
        <f t="shared" si="45"/>
        <v>180.2</v>
      </c>
      <c r="CS9">
        <f t="shared" si="46"/>
        <v>0</v>
      </c>
      <c r="CT9">
        <f t="shared" si="47"/>
        <v>0</v>
      </c>
      <c r="CU9">
        <f t="shared" si="48"/>
        <v>0</v>
      </c>
      <c r="CV9">
        <f t="shared" si="49"/>
        <v>0</v>
      </c>
      <c r="CW9">
        <f t="shared" si="50"/>
        <v>0</v>
      </c>
      <c r="CX9">
        <f t="shared" si="51"/>
        <v>0</v>
      </c>
      <c r="CY9">
        <f t="shared" si="52"/>
        <v>0</v>
      </c>
    </row>
    <row r="10" spans="1:103" s="10" customFormat="1" ht="20" customHeight="1" x14ac:dyDescent="0.2">
      <c r="A10" s="48" t="s">
        <v>113</v>
      </c>
      <c r="B10" s="54">
        <f>SUM('Neversink Hardenburgh Trail'!B18)</f>
        <v>259</v>
      </c>
      <c r="C10" s="54">
        <f>SUM('Neversink Hardenburgh Trail'!C18)</f>
        <v>241</v>
      </c>
      <c r="D10" s="54">
        <f>SUM('Neversink Hardenburgh Trail'!D18)</f>
        <v>327</v>
      </c>
      <c r="E10" s="54">
        <f>SUM('Neversink Hardenburgh Trail'!E18)</f>
        <v>374</v>
      </c>
      <c r="F10" s="54">
        <f>SUM('Neversink Hardenburgh Trail'!F18)</f>
        <v>305</v>
      </c>
      <c r="G10" s="54">
        <f>SUM('Neversink Hardenburgh Trail'!G18)</f>
        <v>278</v>
      </c>
      <c r="H10" s="54">
        <f>SUM('Neversink Hardenburgh Trail'!H18)</f>
        <v>291</v>
      </c>
      <c r="I10" s="54">
        <f>SUM('Neversink Hardenburgh Trail'!I18)</f>
        <v>322</v>
      </c>
      <c r="J10" s="54">
        <f>SUM('Neversink Hardenburgh Trail'!J18)</f>
        <v>243</v>
      </c>
      <c r="K10" s="54">
        <f>SUM('Neversink Hardenburgh Trail'!K18)</f>
        <v>289</v>
      </c>
      <c r="L10" s="54">
        <f>SUM('Neversink Hardenburgh Trail'!L18)</f>
        <v>240</v>
      </c>
      <c r="M10" s="54">
        <f>SUM('Neversink Hardenburgh Trail'!M18)</f>
        <v>154</v>
      </c>
      <c r="N10" s="54">
        <f>SUM('Neversink Hardenburgh Trail'!N18)</f>
        <v>100</v>
      </c>
      <c r="O10" s="54">
        <f>SUM('Neversink Hardenburgh Trail'!O18)</f>
        <v>204</v>
      </c>
      <c r="P10" s="54">
        <f>SUM('Neversink Hardenburgh Trail'!P18)</f>
        <v>197</v>
      </c>
      <c r="Q10" s="54">
        <f>SUM('Neversink Hardenburgh Trail'!Q18)</f>
        <v>184</v>
      </c>
      <c r="R10" s="54">
        <f>SUM('Neversink Hardenburgh Trail'!R18)</f>
        <v>213</v>
      </c>
      <c r="S10" s="54"/>
      <c r="T10" s="54"/>
      <c r="U10" s="54"/>
      <c r="V10" s="54"/>
      <c r="W10" s="54"/>
      <c r="X10" s="54"/>
      <c r="Y10" s="54">
        <f>SUM('Neversink Hardenburgh Trail'!Y18)</f>
        <v>155</v>
      </c>
      <c r="Z10" s="54">
        <f>SUM('Neversink Hardenburgh Trail'!Z18)</f>
        <v>237</v>
      </c>
      <c r="AA10" s="54">
        <f>SUM('Neversink Hardenburgh Trail'!AA18)</f>
        <v>206</v>
      </c>
      <c r="AB10" s="54">
        <f>SUM('Neversink Hardenburgh Trail'!AB18)</f>
        <v>235</v>
      </c>
      <c r="AC10" s="54">
        <f>SUM('Neversink Hardenburgh Trail'!AC18)</f>
        <v>203</v>
      </c>
      <c r="AD10" s="54">
        <f>SUM('Neversink Hardenburgh Trail'!AD18)</f>
        <v>276</v>
      </c>
      <c r="AE10" s="54">
        <f>SUM('Neversink Hardenburgh Trail'!AE18)</f>
        <v>169.66666666666669</v>
      </c>
      <c r="AF10" s="54">
        <f>SUM('Neversink Hardenburgh Trail'!AF18)</f>
        <v>187</v>
      </c>
      <c r="AG10" s="54">
        <f>SUM('Neversink Hardenburgh Trail'!AG18)</f>
        <v>165</v>
      </c>
      <c r="AH10" s="54">
        <f>SUM('Neversink Hardenburgh Trail'!AH18)</f>
        <v>161</v>
      </c>
      <c r="AI10" s="54">
        <f>SUM('Neversink Hardenburgh Trail'!AI18)</f>
        <v>136</v>
      </c>
      <c r="AJ10" s="54">
        <f>SUM('Neversink Hardenburgh Trail'!AJ18)</f>
        <v>0</v>
      </c>
      <c r="AK10" s="54">
        <f>SUM('Neversink Hardenburgh Trail'!AK18)</f>
        <v>0</v>
      </c>
      <c r="AL10" s="54">
        <f>SUM('Neversink Hardenburgh Trail'!AL18)</f>
        <v>0</v>
      </c>
      <c r="AM10" s="54">
        <f>SUM('Neversink Hardenburgh Trail'!AM18)</f>
        <v>0</v>
      </c>
      <c r="AN10" s="54">
        <f>SUM('Neversink Hardenburgh Trail'!AN18)</f>
        <v>0</v>
      </c>
      <c r="AO10" s="54">
        <f>SUM('Neversink Hardenburgh Trail'!AO18)</f>
        <v>0</v>
      </c>
      <c r="AP10" s="54">
        <f>SUM('Neversink Hardenburgh Trail'!AP18)</f>
        <v>0</v>
      </c>
      <c r="AQ10" s="54">
        <f>SUM('Neversink Hardenburgh Trail'!AQ18)</f>
        <v>0</v>
      </c>
      <c r="AR10" s="54">
        <f>SUM('Neversink Hardenburgh Trail'!AR18)</f>
        <v>0</v>
      </c>
      <c r="AS10" s="54">
        <f>SUM('Neversink Hardenburgh Trail'!AS18)</f>
        <v>0</v>
      </c>
      <c r="AT10" s="54">
        <f>SUM('Neversink Hardenburgh Trail'!AT18)</f>
        <v>0</v>
      </c>
      <c r="AU10" s="54">
        <f>SUM('Neversink Hardenburgh Trail'!AU18)</f>
        <v>0</v>
      </c>
      <c r="AV10" s="54">
        <f>SUM('Neversink Hardenburgh Trail'!AV18)</f>
        <v>0</v>
      </c>
      <c r="AW10" s="54">
        <f>SUM('Neversink Hardenburgh Trail'!AW18)</f>
        <v>0</v>
      </c>
      <c r="AX10" s="54">
        <f>SUM('Neversink Hardenburgh Trail'!AX18)</f>
        <v>0</v>
      </c>
      <c r="AY10" s="54">
        <f>SUM('Neversink Hardenburgh Trail'!AY18)</f>
        <v>0</v>
      </c>
      <c r="AZ10" s="54">
        <f>SUM('Neversink Hardenburgh Trail'!AZ18)</f>
        <v>0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>
        <f t="shared" si="2"/>
        <v>292.89999999999998</v>
      </c>
      <c r="BK10">
        <f t="shared" si="3"/>
        <v>291</v>
      </c>
      <c r="BL10">
        <f t="shared" si="4"/>
        <v>282.3</v>
      </c>
      <c r="BM10">
        <f t="shared" si="5"/>
        <v>259.60000000000002</v>
      </c>
      <c r="BN10">
        <f t="shared" si="6"/>
        <v>242.6</v>
      </c>
      <c r="BO10">
        <f t="shared" si="7"/>
        <v>231.8</v>
      </c>
      <c r="BP10">
        <f t="shared" si="8"/>
        <v>222.4</v>
      </c>
      <c r="BQ10">
        <f t="shared" si="9"/>
        <v>214.6</v>
      </c>
      <c r="BR10">
        <f t="shared" si="10"/>
        <v>202.66666666666666</v>
      </c>
      <c r="BS10">
        <f t="shared" si="11"/>
        <v>197.625</v>
      </c>
      <c r="BT10">
        <f t="shared" si="12"/>
        <v>184.57142857142858</v>
      </c>
      <c r="BU10">
        <f t="shared" si="13"/>
        <v>175.33333333333334</v>
      </c>
      <c r="BV10">
        <f t="shared" si="14"/>
        <v>179.6</v>
      </c>
      <c r="BW10">
        <f t="shared" si="15"/>
        <v>199.5</v>
      </c>
      <c r="BX10">
        <f t="shared" si="16"/>
        <v>187.25</v>
      </c>
      <c r="BY10">
        <f t="shared" si="17"/>
        <v>197.25</v>
      </c>
      <c r="BZ10">
        <f t="shared" si="18"/>
        <v>202.75</v>
      </c>
      <c r="CA10">
        <f t="shared" si="19"/>
        <v>208.25</v>
      </c>
      <c r="CB10">
        <f t="shared" si="20"/>
        <v>207.2</v>
      </c>
      <c r="CC10">
        <f t="shared" si="21"/>
        <v>218.66666666666666</v>
      </c>
      <c r="CD10">
        <f t="shared" si="22"/>
        <v>211.66666666666669</v>
      </c>
      <c r="CE10">
        <f t="shared" si="23"/>
        <v>208.58333333333334</v>
      </c>
      <c r="CF10">
        <f t="shared" si="24"/>
        <v>203.74074074074076</v>
      </c>
      <c r="CG10">
        <f t="shared" si="25"/>
        <v>199.46666666666667</v>
      </c>
      <c r="CH10">
        <f t="shared" si="26"/>
        <v>197.56666666666666</v>
      </c>
      <c r="CI10">
        <f t="shared" si="27"/>
        <v>193.18518518518519</v>
      </c>
      <c r="CJ10">
        <f t="shared" si="28"/>
        <v>191.58333333333334</v>
      </c>
      <c r="CK10">
        <f t="shared" si="29"/>
        <v>185.38095238095238</v>
      </c>
      <c r="CL10">
        <f t="shared" si="30"/>
        <v>182.44444444444446</v>
      </c>
      <c r="CM10">
        <f t="shared" si="31"/>
        <v>163.73333333333335</v>
      </c>
      <c r="CN10">
        <f t="shared" si="32"/>
        <v>162.25</v>
      </c>
      <c r="CO10">
        <f t="shared" si="33"/>
        <v>154</v>
      </c>
      <c r="CP10">
        <f t="shared" si="34"/>
        <v>148.5</v>
      </c>
      <c r="CQ10">
        <f t="shared" si="44"/>
        <v>13.6</v>
      </c>
      <c r="CR10">
        <f t="shared" si="45"/>
        <v>0</v>
      </c>
      <c r="CS10">
        <f t="shared" si="46"/>
        <v>0</v>
      </c>
      <c r="CT10">
        <f t="shared" si="47"/>
        <v>0</v>
      </c>
      <c r="CU10">
        <f t="shared" si="48"/>
        <v>0</v>
      </c>
      <c r="CV10">
        <f t="shared" si="49"/>
        <v>0</v>
      </c>
      <c r="CW10">
        <f t="shared" si="50"/>
        <v>0</v>
      </c>
      <c r="CX10">
        <f t="shared" si="51"/>
        <v>0</v>
      </c>
      <c r="CY10">
        <f t="shared" si="52"/>
        <v>0</v>
      </c>
    </row>
    <row r="11" spans="1:103" s="35" customFormat="1" ht="20" customHeight="1" x14ac:dyDescent="0.2">
      <c r="A11" s="70" t="s">
        <v>62</v>
      </c>
      <c r="B11" s="58">
        <f t="shared" ref="B11" si="53">SUM(B5:B10)</f>
        <v>2710</v>
      </c>
      <c r="C11" s="58">
        <f t="shared" ref="C11" si="54">SUM(C5:C10)</f>
        <v>2104</v>
      </c>
      <c r="D11" s="58">
        <f t="shared" ref="D11" si="55">SUM(D5:D10)</f>
        <v>2611</v>
      </c>
      <c r="E11" s="58">
        <f t="shared" ref="E11" si="56">SUM(E5:E10)</f>
        <v>3703</v>
      </c>
      <c r="F11" s="58">
        <f t="shared" ref="F11" si="57">SUM(F5:F10)</f>
        <v>4205</v>
      </c>
      <c r="G11" s="58">
        <f t="shared" ref="G11" si="58">SUM(G5:G10)</f>
        <v>3462</v>
      </c>
      <c r="H11" s="58">
        <f t="shared" ref="H11" si="59">SUM(H5:H10)</f>
        <v>4037</v>
      </c>
      <c r="I11" s="58">
        <f t="shared" ref="I11:Z11" si="60">SUM(I5:I10)</f>
        <v>5243</v>
      </c>
      <c r="J11" s="58">
        <f t="shared" si="60"/>
        <v>5319</v>
      </c>
      <c r="K11" s="58">
        <f t="shared" si="60"/>
        <v>4707</v>
      </c>
      <c r="L11" s="58">
        <f t="shared" si="60"/>
        <v>5054</v>
      </c>
      <c r="M11" s="58">
        <f t="shared" si="60"/>
        <v>4992</v>
      </c>
      <c r="N11" s="58">
        <f t="shared" si="60"/>
        <v>4593</v>
      </c>
      <c r="O11" s="58">
        <f t="shared" si="60"/>
        <v>4806</v>
      </c>
      <c r="P11" s="58">
        <f t="shared" si="60"/>
        <v>4579</v>
      </c>
      <c r="Q11" s="58">
        <f t="shared" si="60"/>
        <v>4903</v>
      </c>
      <c r="R11" s="58">
        <f t="shared" si="60"/>
        <v>4939</v>
      </c>
      <c r="S11" s="58"/>
      <c r="T11" s="58"/>
      <c r="U11" s="58">
        <f t="shared" si="60"/>
        <v>5116</v>
      </c>
      <c r="V11" s="58"/>
      <c r="W11" s="58">
        <f t="shared" si="60"/>
        <v>5754</v>
      </c>
      <c r="X11" s="58">
        <f t="shared" si="60"/>
        <v>2556</v>
      </c>
      <c r="Y11" s="58">
        <f t="shared" si="60"/>
        <v>5843</v>
      </c>
      <c r="Z11" s="58">
        <f t="shared" si="60"/>
        <v>6357</v>
      </c>
      <c r="AA11" s="58">
        <f t="shared" ref="AA11" si="61">SUM(AA5:AA10)</f>
        <v>8344</v>
      </c>
      <c r="AB11" s="58">
        <f t="shared" ref="AB11:AZ11" si="62">SUM(AB5:AB10)</f>
        <v>7362</v>
      </c>
      <c r="AC11" s="58">
        <f t="shared" si="62"/>
        <v>7081</v>
      </c>
      <c r="AD11" s="58">
        <f t="shared" si="62"/>
        <v>9548.3333333333339</v>
      </c>
      <c r="AE11" s="58">
        <f t="shared" si="62"/>
        <v>10074.666666666666</v>
      </c>
      <c r="AF11" s="58">
        <f t="shared" si="62"/>
        <v>7491</v>
      </c>
      <c r="AG11" s="58">
        <f t="shared" si="62"/>
        <v>7355</v>
      </c>
      <c r="AH11" s="58">
        <f t="shared" si="62"/>
        <v>6966</v>
      </c>
      <c r="AI11" s="58">
        <f t="shared" si="62"/>
        <v>6250</v>
      </c>
      <c r="AJ11" s="58">
        <f t="shared" si="62"/>
        <v>1802</v>
      </c>
      <c r="AK11" s="58">
        <f t="shared" si="62"/>
        <v>0</v>
      </c>
      <c r="AL11" s="58">
        <f t="shared" si="62"/>
        <v>0</v>
      </c>
      <c r="AM11" s="58">
        <f t="shared" si="62"/>
        <v>0</v>
      </c>
      <c r="AN11" s="58">
        <f t="shared" si="62"/>
        <v>0</v>
      </c>
      <c r="AO11" s="58">
        <f t="shared" si="62"/>
        <v>0</v>
      </c>
      <c r="AP11" s="58">
        <f t="shared" si="62"/>
        <v>0</v>
      </c>
      <c r="AQ11" s="58">
        <f t="shared" si="62"/>
        <v>0</v>
      </c>
      <c r="AR11" s="58">
        <f t="shared" si="62"/>
        <v>0</v>
      </c>
      <c r="AS11" s="58">
        <f t="shared" si="62"/>
        <v>0</v>
      </c>
      <c r="AT11" s="58">
        <f t="shared" si="62"/>
        <v>0</v>
      </c>
      <c r="AU11" s="58">
        <f t="shared" si="62"/>
        <v>0</v>
      </c>
      <c r="AV11" s="58">
        <f t="shared" si="62"/>
        <v>0</v>
      </c>
      <c r="AW11" s="58">
        <f t="shared" si="62"/>
        <v>0</v>
      </c>
      <c r="AX11" s="58">
        <f t="shared" si="62"/>
        <v>0</v>
      </c>
      <c r="AY11" s="58">
        <f t="shared" si="62"/>
        <v>0</v>
      </c>
      <c r="AZ11" s="58">
        <f t="shared" si="62"/>
        <v>0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>
        <f t="shared" si="2"/>
        <v>3810.1</v>
      </c>
      <c r="BK11">
        <f t="shared" si="3"/>
        <v>4044.5</v>
      </c>
      <c r="BL11">
        <f t="shared" si="4"/>
        <v>4333.3</v>
      </c>
      <c r="BM11">
        <f t="shared" si="5"/>
        <v>4531.5</v>
      </c>
      <c r="BN11">
        <f t="shared" si="6"/>
        <v>4641.8</v>
      </c>
      <c r="BO11">
        <f t="shared" si="7"/>
        <v>4679.2</v>
      </c>
      <c r="BP11">
        <f t="shared" si="8"/>
        <v>4823.3</v>
      </c>
      <c r="BQ11">
        <f t="shared" si="9"/>
        <v>4913.5</v>
      </c>
      <c r="BR11">
        <f t="shared" si="10"/>
        <v>4876.8888888888887</v>
      </c>
      <c r="BS11">
        <f t="shared" si="11"/>
        <v>4821.625</v>
      </c>
      <c r="BT11">
        <f t="shared" si="12"/>
        <v>4872.75</v>
      </c>
      <c r="BU11">
        <f t="shared" si="13"/>
        <v>4846.8571428571431</v>
      </c>
      <c r="BV11">
        <f t="shared" si="14"/>
        <v>4955.7142857142853</v>
      </c>
      <c r="BW11">
        <f t="shared" si="15"/>
        <v>4664.7142857142853</v>
      </c>
      <c r="BX11">
        <f t="shared" si="16"/>
        <v>4812.8571428571431</v>
      </c>
      <c r="BY11">
        <f t="shared" si="17"/>
        <v>5066.8571428571431</v>
      </c>
      <c r="BZ11">
        <f t="shared" si="18"/>
        <v>5558.4285714285716</v>
      </c>
      <c r="CA11">
        <f t="shared" si="19"/>
        <v>5904.5714285714284</v>
      </c>
      <c r="CB11">
        <f t="shared" si="20"/>
        <v>6051.625</v>
      </c>
      <c r="CC11">
        <f t="shared" si="21"/>
        <v>6440.1481481481487</v>
      </c>
      <c r="CD11">
        <f t="shared" si="22"/>
        <v>6991.1111111111113</v>
      </c>
      <c r="CE11">
        <f t="shared" si="23"/>
        <v>7041.1</v>
      </c>
      <c r="CF11">
        <f t="shared" si="24"/>
        <v>7201.2</v>
      </c>
      <c r="CG11">
        <f t="shared" si="25"/>
        <v>7642.2</v>
      </c>
      <c r="CH11">
        <f t="shared" si="26"/>
        <v>7682.9</v>
      </c>
      <c r="CI11">
        <f t="shared" si="27"/>
        <v>7227.4</v>
      </c>
      <c r="CJ11">
        <f t="shared" si="28"/>
        <v>7103.333333333333</v>
      </c>
      <c r="CK11">
        <f t="shared" si="29"/>
        <v>7071</v>
      </c>
      <c r="CL11">
        <f t="shared" si="30"/>
        <v>7069.5714285714284</v>
      </c>
      <c r="CM11">
        <f t="shared" si="31"/>
        <v>6656.4444444444443</v>
      </c>
      <c r="CN11">
        <f t="shared" si="32"/>
        <v>5972.8</v>
      </c>
      <c r="CO11">
        <f t="shared" si="33"/>
        <v>5593.25</v>
      </c>
      <c r="CP11">
        <f t="shared" si="34"/>
        <v>5006</v>
      </c>
      <c r="CQ11">
        <f t="shared" si="44"/>
        <v>805.2</v>
      </c>
      <c r="CR11">
        <f t="shared" si="45"/>
        <v>180.2</v>
      </c>
      <c r="CS11">
        <f t="shared" si="46"/>
        <v>0</v>
      </c>
      <c r="CT11">
        <f t="shared" si="47"/>
        <v>0</v>
      </c>
      <c r="CU11">
        <f t="shared" si="48"/>
        <v>0</v>
      </c>
      <c r="CV11">
        <f t="shared" si="49"/>
        <v>0</v>
      </c>
      <c r="CW11">
        <f t="shared" si="50"/>
        <v>0</v>
      </c>
      <c r="CX11">
        <f t="shared" si="51"/>
        <v>0</v>
      </c>
      <c r="CY11">
        <f t="shared" si="52"/>
        <v>0</v>
      </c>
    </row>
    <row r="12" spans="1:103" s="10" customFormat="1" ht="20" customHeight="1" x14ac:dyDescent="0.2">
      <c r="A12" s="11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5"/>
      <c r="V12" s="55"/>
      <c r="W12" s="55"/>
      <c r="X12" s="55"/>
      <c r="Y12" s="55"/>
      <c r="Z12" s="55"/>
      <c r="AA12" s="55"/>
      <c r="AB12" s="55"/>
      <c r="BB12" s="11"/>
    </row>
    <row r="13" spans="1:103" ht="20" customHeight="1" x14ac:dyDescent="0.2">
      <c r="A13" s="1" t="s">
        <v>28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3"/>
      <c r="V13" s="53"/>
      <c r="W13" s="53"/>
      <c r="X13" s="53"/>
      <c r="Y13" s="53"/>
      <c r="Z13" s="53"/>
      <c r="AA13" s="53"/>
      <c r="AB13" s="53"/>
      <c r="AC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B13" s="1"/>
    </row>
    <row r="14" spans="1:103" s="10" customFormat="1" ht="20" customHeight="1" x14ac:dyDescent="0.2">
      <c r="A14" s="10" t="s">
        <v>27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>
        <f>SUM('Onteora Lake'!M18)</f>
        <v>567</v>
      </c>
      <c r="N14" s="54"/>
      <c r="O14" s="54"/>
      <c r="P14" s="54"/>
      <c r="Q14" s="54">
        <f>SUM('Onteora Lake'!Q18)</f>
        <v>1102</v>
      </c>
      <c r="R14" s="54">
        <f>SUM('Onteora Lake'!R18)</f>
        <v>1887</v>
      </c>
      <c r="S14" s="54"/>
      <c r="T14" s="54"/>
      <c r="U14" s="54">
        <f>SUM('Onteora Lake'!U18)</f>
        <v>1711</v>
      </c>
      <c r="V14" s="54"/>
      <c r="W14" s="54">
        <f>SUM('Onteora Lake'!W18)</f>
        <v>2359</v>
      </c>
      <c r="X14" s="54">
        <f>SUM('Onteora Lake'!X18)</f>
        <v>2084</v>
      </c>
      <c r="Y14" s="54">
        <f>SUM('Onteora Lake'!Y18)</f>
        <v>2016</v>
      </c>
      <c r="Z14" s="54">
        <f>SUM('Onteora Lake'!Z18)</f>
        <v>2933</v>
      </c>
      <c r="AA14" s="54">
        <f>SUM('Onteora Lake'!AA18)</f>
        <v>3467</v>
      </c>
      <c r="AB14" s="54">
        <f>SUM('Onteora Lake'!AB18)</f>
        <v>3449</v>
      </c>
      <c r="AC14" s="54">
        <f>SUM('Onteora Lake'!AC18)</f>
        <v>3184</v>
      </c>
      <c r="AD14" s="54">
        <f>SUM('Onteora Lake'!AD18)</f>
        <v>3590</v>
      </c>
      <c r="AE14" s="54">
        <f>SUM('Onteora Lake'!AE18)</f>
        <v>3407.666666666667</v>
      </c>
      <c r="AF14" s="54">
        <f>SUM('Onteora Lake'!AF18)</f>
        <v>0</v>
      </c>
      <c r="AG14" s="54">
        <f>SUM('Onteora Lake'!AG18)</f>
        <v>1836</v>
      </c>
      <c r="AH14" s="54">
        <f>SUM('Onteora Lake'!AI18)</f>
        <v>0</v>
      </c>
      <c r="AI14" s="54">
        <f>SUM('Onteora Lake'!AJ18)</f>
        <v>0</v>
      </c>
      <c r="AJ14" s="54">
        <f>SUM('Onteora Lake'!AK18)</f>
        <v>0</v>
      </c>
      <c r="AK14" s="54">
        <f>SUM('Onteora Lake'!AL18)</f>
        <v>0</v>
      </c>
      <c r="AL14" s="54">
        <f>SUM('Onteora Lake'!AM18)</f>
        <v>0</v>
      </c>
      <c r="AM14" s="54">
        <f>SUM('Onteora Lake'!AN18)</f>
        <v>0</v>
      </c>
      <c r="AN14" s="54">
        <f>SUM('Onteora Lake'!AO18)</f>
        <v>0</v>
      </c>
      <c r="AO14" s="54">
        <f>SUM('Onteora Lake'!AP18)</f>
        <v>0</v>
      </c>
      <c r="AP14" s="54">
        <f>SUM('Onteora Lake'!AQ18)</f>
        <v>0</v>
      </c>
      <c r="AQ14" s="54">
        <f>SUM('Onteora Lake'!AR18)</f>
        <v>0</v>
      </c>
      <c r="AR14" s="54">
        <f>SUM('Onteora Lake'!AS18)</f>
        <v>0</v>
      </c>
      <c r="AS14" s="54">
        <f>SUM('Onteora Lake'!AT18)</f>
        <v>0</v>
      </c>
      <c r="AT14" s="54">
        <f>SUM('Onteora Lake'!AU18)</f>
        <v>0</v>
      </c>
      <c r="AU14" s="54">
        <f>SUM('Onteora Lake'!AV18)</f>
        <v>0</v>
      </c>
      <c r="AV14" s="54">
        <f>SUM('Onteora Lake'!AW18)</f>
        <v>0</v>
      </c>
      <c r="AW14" s="54">
        <f>SUM('Onteora Lake'!AX18)</f>
        <v>0</v>
      </c>
      <c r="AX14" s="54">
        <f>SUM('Onteora Lake'!AY18)</f>
        <v>0</v>
      </c>
      <c r="AY14" s="54">
        <f>SUM('Onteora Lake'!AZ18)</f>
        <v>0</v>
      </c>
      <c r="AZ14" s="54">
        <f>SUM('Onteora Lake'!BA18)</f>
        <v>0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f t="shared" ref="BJ14" si="63">AVERAGEIF(B14:K14,"&gt;0")</f>
        <v>#DIV/0!</v>
      </c>
      <c r="BK14" t="e">
        <f t="shared" ref="BK14" si="64">AVERAGEIF(C14:L14,"&gt;0")</f>
        <v>#DIV/0!</v>
      </c>
      <c r="BL14">
        <f t="shared" ref="BL14" si="65">AVERAGEIF(D14:M14,"&gt;0")</f>
        <v>567</v>
      </c>
      <c r="BM14">
        <f t="shared" ref="BM14" si="66">AVERAGEIF(E14:N14,"&gt;0")</f>
        <v>567</v>
      </c>
      <c r="BN14">
        <f t="shared" ref="BN14" si="67">AVERAGEIF(F14:O14,"&gt;0")</f>
        <v>567</v>
      </c>
      <c r="BO14">
        <f t="shared" ref="BO14" si="68">AVERAGEIF(G14:P14,"&gt;0")</f>
        <v>567</v>
      </c>
      <c r="BP14">
        <f t="shared" ref="BP14" si="69">AVERAGEIF(H14:Q14,"&gt;0")</f>
        <v>834.5</v>
      </c>
      <c r="BQ14">
        <f t="shared" ref="BQ14" si="70">AVERAGEIF(I14:R14,"&gt;0")</f>
        <v>1185.3333333333333</v>
      </c>
      <c r="BR14">
        <f t="shared" ref="BR14" si="71">AVERAGEIF(J14:S14,"&gt;0")</f>
        <v>1185.3333333333333</v>
      </c>
      <c r="BS14">
        <f t="shared" ref="BS14" si="72">AVERAGEIF(K14:T14,"&gt;0")</f>
        <v>1185.3333333333333</v>
      </c>
      <c r="BT14">
        <f t="shared" ref="BT14" si="73">AVERAGEIF(L14:U14,"&gt;0")</f>
        <v>1316.75</v>
      </c>
      <c r="BU14">
        <f t="shared" ref="BU14" si="74">AVERAGEIF(M14:V14,"&gt;0")</f>
        <v>1316.75</v>
      </c>
      <c r="BV14">
        <f t="shared" ref="BV14" si="75">AVERAGEIF(N14:W14,"&gt;0")</f>
        <v>1764.75</v>
      </c>
      <c r="BW14">
        <f t="shared" ref="BW14" si="76">AVERAGEIF(O14:X14,"&gt;0")</f>
        <v>1828.6</v>
      </c>
      <c r="BX14">
        <f t="shared" ref="BX14" si="77">AVERAGEIF(P14:Y14,"&gt;0")</f>
        <v>1859.8333333333333</v>
      </c>
      <c r="BY14">
        <f t="shared" ref="BY14" si="78">AVERAGEIF(Q14:Z14,"&gt;0")</f>
        <v>2013.1428571428571</v>
      </c>
      <c r="BZ14">
        <f t="shared" ref="BZ14" si="79">AVERAGEIF(R14:AA14,"&gt;0")</f>
        <v>2351</v>
      </c>
      <c r="CA14">
        <f t="shared" ref="CA14" si="80">AVERAGEIF(S14:AB14,"&gt;0")</f>
        <v>2574.1428571428573</v>
      </c>
      <c r="CB14">
        <f t="shared" ref="CB14" si="81">AVERAGEIF(T14:AC14,"&gt;0")</f>
        <v>2650.375</v>
      </c>
      <c r="CC14">
        <f t="shared" ref="CC14" si="82">AVERAGEIF(U14:AD14,"&gt;0")</f>
        <v>2754.7777777777778</v>
      </c>
      <c r="CD14">
        <f t="shared" ref="CD14" si="83">AVERAGEIF(V14:AE14,"&gt;0")</f>
        <v>2943.2962962962965</v>
      </c>
      <c r="CE14">
        <f t="shared" ref="CE14" si="84">AVERAGEIF(W14:AF14,"&gt;0")</f>
        <v>2943.2962962962965</v>
      </c>
      <c r="CF14">
        <f t="shared" ref="CF14" si="85">AVERAGEIF(X14:AG14,"&gt;0")</f>
        <v>2885.1851851851852</v>
      </c>
      <c r="CG14">
        <f t="shared" ref="CG14" si="86">AVERAGEIF(Y14:AH14,"&gt;0")</f>
        <v>2985.3333333333335</v>
      </c>
      <c r="CH14">
        <f t="shared" ref="CH14" si="87">AVERAGEIF(Z14:AI14,"&gt;0")</f>
        <v>3123.8095238095239</v>
      </c>
      <c r="CI14">
        <f t="shared" ref="CI14" si="88">AVERAGEIF(AA14:AJ14,"&gt;0")</f>
        <v>3155.6111111111113</v>
      </c>
      <c r="CJ14">
        <f t="shared" ref="CJ14" si="89">AVERAGEIF(AB14:AK14,"&gt;0")</f>
        <v>3093.3333333333335</v>
      </c>
      <c r="CK14">
        <f t="shared" ref="CK14" si="90">AVERAGEIF(AC14:AL14,"&gt;0")</f>
        <v>3004.416666666667</v>
      </c>
      <c r="CL14">
        <f t="shared" ref="CL14" si="91">AVERAGEIF(AD14:AM14,"&gt;0")</f>
        <v>2944.5555555555561</v>
      </c>
      <c r="CM14">
        <f t="shared" ref="CM14" si="92">AVERAGEIF(AE14:AN14,"&gt;0")</f>
        <v>2621.8333333333335</v>
      </c>
      <c r="CN14">
        <f t="shared" ref="CN14" si="93">AVERAGEIF(AF14:AO14,"&gt;0")</f>
        <v>1836</v>
      </c>
      <c r="CO14">
        <f t="shared" ref="CO14" si="94">AVERAGEIF(AG14:AP14,"&gt;0")</f>
        <v>1836</v>
      </c>
      <c r="CP14" t="e">
        <f t="shared" ref="CP14" si="95">AVERAGEIF(AH14:AQ14,"&gt;0")</f>
        <v>#DIV/0!</v>
      </c>
      <c r="CQ14" t="e">
        <f t="shared" ref="CQ14" si="96">AVERAGEIF(AI14:AR14,"&gt;0")</f>
        <v>#DIV/0!</v>
      </c>
      <c r="CR14" t="e">
        <f t="shared" ref="CR14" si="97">AVERAGEIF(AJ14:AS14,"&gt;0")</f>
        <v>#DIV/0!</v>
      </c>
      <c r="CS14" t="e">
        <f t="shared" ref="CS14" si="98">AVERAGEIF(AK14:AT14,"&gt;0")</f>
        <v>#DIV/0!</v>
      </c>
      <c r="CT14" t="e">
        <f t="shared" ref="CT14" si="99">AVERAGEIF(AL14:AU14,"&gt;0")</f>
        <v>#DIV/0!</v>
      </c>
      <c r="CU14" t="e">
        <f t="shared" ref="CU14" si="100">AVERAGEIF(AM14:AV14,"&gt;0")</f>
        <v>#DIV/0!</v>
      </c>
      <c r="CV14" t="e">
        <f t="shared" ref="CV14" si="101">AVERAGEIF(AN14:AW14,"&gt;0")</f>
        <v>#DIV/0!</v>
      </c>
      <c r="CW14" t="e">
        <f t="shared" ref="CW14" si="102">AVERAGEIF(AO14:AX14,"&gt;0")</f>
        <v>#DIV/0!</v>
      </c>
      <c r="CX14" t="e">
        <f t="shared" ref="CX14" si="103">AVERAGEIF(AP14:AY14,"&gt;0")</f>
        <v>#DIV/0!</v>
      </c>
      <c r="CY14" t="e">
        <f t="shared" ref="CY14" si="104">AVERAGEIF(AQ14:AZ14,"&gt;0")</f>
        <v>#DIV/0!</v>
      </c>
    </row>
    <row r="15" spans="1:103" ht="20" customHeight="1" x14ac:dyDescent="0.2">
      <c r="A15" s="7" t="s">
        <v>39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3"/>
      <c r="V15" s="53"/>
      <c r="W15" s="53"/>
      <c r="X15" s="53"/>
      <c r="Y15" s="53"/>
      <c r="Z15" s="53"/>
      <c r="AA15" s="53"/>
      <c r="AB15" s="53"/>
      <c r="AC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B15" s="1"/>
      <c r="BC15" s="6"/>
      <c r="BD15" s="6"/>
      <c r="BF15" s="6"/>
      <c r="BG15" s="6"/>
      <c r="BH15" s="6"/>
    </row>
    <row r="16" spans="1:103" s="10" customFormat="1" ht="20" customHeight="1" x14ac:dyDescent="0.2">
      <c r="A16" s="48" t="s">
        <v>56</v>
      </c>
      <c r="B16" s="54">
        <f>SUM(Overlook!B18)</f>
        <v>4030</v>
      </c>
      <c r="C16" s="54">
        <f>SUM(Overlook!C18)</f>
        <v>2993</v>
      </c>
      <c r="D16" s="54">
        <f>SUM(Overlook!D18)</f>
        <v>3251</v>
      </c>
      <c r="E16" s="54">
        <f>SUM(Overlook!E18)</f>
        <v>5256</v>
      </c>
      <c r="F16" s="54">
        <f>SUM(Overlook!F18)</f>
        <v>4876</v>
      </c>
      <c r="G16" s="54">
        <f>SUM(Overlook!G18)</f>
        <v>5005</v>
      </c>
      <c r="H16" s="54">
        <f>SUM(Overlook!H18)</f>
        <v>6392</v>
      </c>
      <c r="I16" s="54">
        <f>SUM(Overlook!I18)</f>
        <v>6869</v>
      </c>
      <c r="J16" s="54">
        <f>SUM(Overlook!J18)</f>
        <v>6088</v>
      </c>
      <c r="K16" s="54">
        <f>SUM(Overlook!K18)</f>
        <v>5676</v>
      </c>
      <c r="L16" s="54">
        <f>SUM(Overlook!L18)</f>
        <v>7054</v>
      </c>
      <c r="M16" s="54">
        <f>SUM(Overlook!M18)</f>
        <v>6673</v>
      </c>
      <c r="N16" s="54">
        <f>SUM(Overlook!N18)</f>
        <v>6928</v>
      </c>
      <c r="O16" s="54">
        <f>SUM(Overlook!O18)</f>
        <v>7054</v>
      </c>
      <c r="P16" s="54">
        <f>SUM(Overlook!P18)</f>
        <v>6042</v>
      </c>
      <c r="Q16" s="54">
        <f>SUM(Overlook!Q18)</f>
        <v>6953</v>
      </c>
      <c r="R16" s="54">
        <f>SUM(Overlook!R18)</f>
        <v>7305</v>
      </c>
      <c r="S16" s="54"/>
      <c r="T16" s="54"/>
      <c r="U16" s="54"/>
      <c r="V16" s="54"/>
      <c r="W16" s="54">
        <f>SUM(Overlook!W18)</f>
        <v>7491</v>
      </c>
      <c r="X16" s="54">
        <f>SUM(Overlook!X18)</f>
        <v>9246</v>
      </c>
      <c r="Y16" s="54">
        <f>SUM(Overlook!Y18)</f>
        <v>10860</v>
      </c>
      <c r="Z16" s="54">
        <f>SUM(Overlook!Z18)</f>
        <v>12610</v>
      </c>
      <c r="AA16" s="54">
        <f>SUM(Overlook!AA18)</f>
        <v>10933.33333333333</v>
      </c>
      <c r="AB16" s="54">
        <f>SUM(Overlook!AB18)</f>
        <v>16658</v>
      </c>
      <c r="AC16" s="54">
        <f>SUM(Overlook!AC18)</f>
        <v>14888</v>
      </c>
      <c r="AD16" s="54">
        <f>SUM(Overlook!AD18)</f>
        <v>12762</v>
      </c>
      <c r="AE16" s="54">
        <f>SUM(Overlook!AE18)</f>
        <v>9107</v>
      </c>
      <c r="AF16" s="54">
        <f>SUM(Overlook!AF18)</f>
        <v>8244</v>
      </c>
      <c r="AG16" s="54">
        <f>SUM(Overlook!AG18)</f>
        <v>8006</v>
      </c>
      <c r="AH16" s="54">
        <f>SUM(Overlook!AH18)</f>
        <v>8153</v>
      </c>
      <c r="AI16" s="54">
        <f>SUM(Overlook!AI18)</f>
        <v>8833</v>
      </c>
      <c r="AJ16" s="54">
        <f>SUM(Overlook!AJ18)</f>
        <v>4991</v>
      </c>
      <c r="AK16" s="54">
        <f>SUM(Overlook!AK18)</f>
        <v>0</v>
      </c>
      <c r="AL16" s="54">
        <f>SUM(Overlook!AL18)</f>
        <v>0</v>
      </c>
      <c r="AM16" s="54">
        <f>SUM(Overlook!AM18)</f>
        <v>0</v>
      </c>
      <c r="AN16" s="54">
        <f>SUM(Overlook!AN18)</f>
        <v>0</v>
      </c>
      <c r="AO16" s="54">
        <f>SUM(Overlook!AO18)</f>
        <v>0</v>
      </c>
      <c r="AP16" s="54">
        <f>SUM(Overlook!AP18)</f>
        <v>0</v>
      </c>
      <c r="AQ16" s="54">
        <f>SUM(Overlook!AQ18)</f>
        <v>0</v>
      </c>
      <c r="AR16" s="54">
        <f>SUM(Overlook!AR18)</f>
        <v>0</v>
      </c>
      <c r="AS16" s="54">
        <f>SUM(Overlook!AS18)</f>
        <v>0</v>
      </c>
      <c r="AT16" s="54">
        <f>SUM(Overlook!AT18)</f>
        <v>0</v>
      </c>
      <c r="AU16" s="54">
        <f>SUM(Overlook!AU18)</f>
        <v>0</v>
      </c>
      <c r="AV16" s="54">
        <f>SUM(Overlook!AV18)</f>
        <v>0</v>
      </c>
      <c r="AW16" s="54">
        <f>SUM(Overlook!AW18)</f>
        <v>0</v>
      </c>
      <c r="AX16" s="54">
        <f>SUM(Overlook!AX18)</f>
        <v>0</v>
      </c>
      <c r="AY16" s="54">
        <f>SUM(Overlook!AY18)</f>
        <v>0</v>
      </c>
      <c r="AZ16" s="54">
        <f>SUM(Overlook!AZ18)</f>
        <v>0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>
        <f t="shared" ref="BJ16" si="105">AVERAGEIF(B16:K16,"&gt;0")</f>
        <v>5043.6000000000004</v>
      </c>
      <c r="BK16">
        <f t="shared" ref="BK16" si="106">AVERAGEIF(C16:L16,"&gt;0")</f>
        <v>5346</v>
      </c>
      <c r="BL16">
        <f t="shared" ref="BL16" si="107">AVERAGEIF(D16:M16,"&gt;0")</f>
        <v>5714</v>
      </c>
      <c r="BM16">
        <f t="shared" ref="BM16" si="108">AVERAGEIF(E16:N16,"&gt;0")</f>
        <v>6081.7</v>
      </c>
      <c r="BN16">
        <f t="shared" ref="BN16" si="109">AVERAGEIF(F16:O16,"&gt;0")</f>
        <v>6261.5</v>
      </c>
      <c r="BO16">
        <f t="shared" ref="BO16" si="110">AVERAGEIF(G16:P16,"&gt;0")</f>
        <v>6378.1</v>
      </c>
      <c r="BP16">
        <f t="shared" ref="BP16" si="111">AVERAGEIF(H16:Q16,"&gt;0")</f>
        <v>6572.9</v>
      </c>
      <c r="BQ16">
        <f t="shared" ref="BQ16" si="112">AVERAGEIF(I16:R16,"&gt;0")</f>
        <v>6664.2</v>
      </c>
      <c r="BR16">
        <f t="shared" ref="BR16" si="113">AVERAGEIF(J16:S16,"&gt;0")</f>
        <v>6641.4444444444443</v>
      </c>
      <c r="BS16">
        <f t="shared" ref="BS16" si="114">AVERAGEIF(K16:T16,"&gt;0")</f>
        <v>6710.625</v>
      </c>
      <c r="BT16">
        <f t="shared" ref="BT16" si="115">AVERAGEIF(L16:U16,"&gt;0")</f>
        <v>6858.4285714285716</v>
      </c>
      <c r="BU16">
        <f t="shared" ref="BU16" si="116">AVERAGEIF(M16:V16,"&gt;0")</f>
        <v>6825.833333333333</v>
      </c>
      <c r="BV16">
        <f t="shared" ref="BV16" si="117">AVERAGEIF(N16:W16,"&gt;0")</f>
        <v>6962.166666666667</v>
      </c>
      <c r="BW16">
        <f t="shared" ref="BW16" si="118">AVERAGEIF(O16:X16,"&gt;0")</f>
        <v>7348.5</v>
      </c>
      <c r="BX16">
        <f t="shared" ref="BX16" si="119">AVERAGEIF(P16:Y16,"&gt;0")</f>
        <v>7982.833333333333</v>
      </c>
      <c r="BY16">
        <f t="shared" ref="BY16" si="120">AVERAGEIF(Q16:Z16,"&gt;0")</f>
        <v>9077.5</v>
      </c>
      <c r="BZ16">
        <f t="shared" ref="BZ16" si="121">AVERAGEIF(R16:AA16,"&gt;0")</f>
        <v>9740.8888888888887</v>
      </c>
      <c r="CA16">
        <f t="shared" ref="CA16" si="122">AVERAGEIF(S16:AB16,"&gt;0")</f>
        <v>11299.722222222221</v>
      </c>
      <c r="CB16">
        <f t="shared" ref="CB16" si="123">AVERAGEIF(T16:AC16,"&gt;0")</f>
        <v>11812.333333333332</v>
      </c>
      <c r="CC16">
        <f t="shared" ref="CC16" si="124">AVERAGEIF(U16:AD16,"&gt;0")</f>
        <v>11931.041666666666</v>
      </c>
      <c r="CD16">
        <f t="shared" ref="CD16" si="125">AVERAGEIF(V16:AE16,"&gt;0")</f>
        <v>11617.259259259259</v>
      </c>
      <c r="CE16">
        <f t="shared" ref="CE16" si="126">AVERAGEIF(W16:AF16,"&gt;0")</f>
        <v>11279.933333333332</v>
      </c>
      <c r="CF16">
        <f t="shared" ref="CF16" si="127">AVERAGEIF(X16:AG16,"&gt;0")</f>
        <v>11331.433333333332</v>
      </c>
      <c r="CG16">
        <f t="shared" ref="CG16" si="128">AVERAGEIF(Y16:AH16,"&gt;0")</f>
        <v>11222.133333333333</v>
      </c>
      <c r="CH16">
        <f t="shared" ref="CH16" si="129">AVERAGEIF(Z16:AI16,"&gt;0")</f>
        <v>11019.433333333332</v>
      </c>
      <c r="CI16">
        <f t="shared" ref="CI16" si="130">AVERAGEIF(AA16:AJ16,"&gt;0")</f>
        <v>10257.533333333333</v>
      </c>
      <c r="CJ16">
        <f t="shared" ref="CJ16" si="131">AVERAGEIF(AB16:AK16,"&gt;0")</f>
        <v>10182.444444444445</v>
      </c>
      <c r="CK16">
        <f t="shared" ref="CK16" si="132">AVERAGEIF(AC16:AL16,"&gt;0")</f>
        <v>9373</v>
      </c>
      <c r="CL16">
        <f t="shared" ref="CL16" si="133">AVERAGEIF(AD16:AM16,"&gt;0")</f>
        <v>8585.1428571428569</v>
      </c>
      <c r="CM16">
        <f t="shared" ref="CM16" si="134">AVERAGEIF(AE16:AN16,"&gt;0")</f>
        <v>7889</v>
      </c>
      <c r="CN16">
        <f t="shared" ref="CN16" si="135">AVERAGEIF(AF16:AO16,"&gt;0")</f>
        <v>7645.4</v>
      </c>
      <c r="CO16">
        <f t="shared" ref="CO16" si="136">AVERAGEIF(AG16:AP16,"&gt;0")</f>
        <v>7495.75</v>
      </c>
      <c r="CP16">
        <f t="shared" ref="CP16" si="137">AVERAGEIF(AH16:AQ16,"&gt;0")</f>
        <v>7325.666666666667</v>
      </c>
      <c r="CQ16">
        <f t="shared" ref="CQ16" si="138">AVERAGEIF(AI16:AR16,"&gt;0")</f>
        <v>6912</v>
      </c>
      <c r="CR16">
        <f t="shared" ref="CR16" si="139">AVERAGEIF(AJ16:AS16,"&gt;0")</f>
        <v>4991</v>
      </c>
      <c r="CS16" t="e">
        <f t="shared" ref="CS16" si="140">AVERAGEIF(AK16:AT16,"&gt;0")</f>
        <v>#DIV/0!</v>
      </c>
      <c r="CT16" t="e">
        <f t="shared" ref="CT16" si="141">AVERAGEIF(AL16:AU16,"&gt;0")</f>
        <v>#DIV/0!</v>
      </c>
      <c r="CU16" t="e">
        <f t="shared" ref="CU16" si="142">AVERAGEIF(AM16:AV16,"&gt;0")</f>
        <v>#DIV/0!</v>
      </c>
      <c r="CV16" t="e">
        <f t="shared" ref="CV16" si="143">AVERAGEIF(AN16:AW16,"&gt;0")</f>
        <v>#DIV/0!</v>
      </c>
      <c r="CW16" t="e">
        <f t="shared" ref="CW16" si="144">AVERAGEIF(AO16:AX16,"&gt;0")</f>
        <v>#DIV/0!</v>
      </c>
      <c r="CX16" t="e">
        <f t="shared" ref="CX16" si="145">AVERAGEIF(AP16:AY16,"&gt;0")</f>
        <v>#DIV/0!</v>
      </c>
      <c r="CY16" t="e">
        <f t="shared" ref="CY16" si="146">AVERAGEIF(AQ16:AZ16,"&gt;0")</f>
        <v>#DIV/0!</v>
      </c>
    </row>
    <row r="17" spans="1:103" ht="20" customHeight="1" x14ac:dyDescent="0.2">
      <c r="A17" s="7" t="s">
        <v>41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3"/>
      <c r="V17" s="53"/>
      <c r="W17" s="53"/>
      <c r="X17" s="53"/>
      <c r="Y17" s="53"/>
      <c r="Z17" s="53"/>
      <c r="AA17" s="53"/>
      <c r="AB17" s="53"/>
      <c r="AC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B17" s="1"/>
      <c r="BC17" s="6"/>
      <c r="BD17" s="6"/>
      <c r="BF17" s="6"/>
      <c r="BG17" s="6"/>
      <c r="BH17" s="6"/>
    </row>
    <row r="18" spans="1:103" s="10" customFormat="1" ht="20" customHeight="1" x14ac:dyDescent="0.2">
      <c r="A18" s="48" t="s">
        <v>57</v>
      </c>
      <c r="B18" s="54">
        <f>SUM('Mt Tremper'!B18)</f>
        <v>1528</v>
      </c>
      <c r="C18" s="54">
        <f>SUM('Mt Tremper'!C18)</f>
        <v>1465</v>
      </c>
      <c r="D18" s="54">
        <f>SUM('Mt Tremper'!D18)</f>
        <v>1427</v>
      </c>
      <c r="E18" s="54">
        <f>SUM('Mt Tremper'!E18)</f>
        <v>1600</v>
      </c>
      <c r="F18" s="54">
        <f>SUM('Mt Tremper'!F18)</f>
        <v>1763</v>
      </c>
      <c r="G18" s="54">
        <f>SUM('Mt Tremper'!G18)</f>
        <v>1142</v>
      </c>
      <c r="H18" s="54">
        <f>SUM('Mt Tremper'!H18)</f>
        <v>1445</v>
      </c>
      <c r="I18" s="54">
        <f>SUM('Mt Tremper'!I18)</f>
        <v>2068</v>
      </c>
      <c r="J18" s="54">
        <f>SUM('Mt Tremper'!J18)</f>
        <v>1925</v>
      </c>
      <c r="K18" s="54">
        <f>SUM('Mt Tremper'!K18)</f>
        <v>1570</v>
      </c>
      <c r="L18" s="54">
        <f>SUM('Mt Tremper'!L18)</f>
        <v>2569</v>
      </c>
      <c r="M18" s="54">
        <f>SUM('Mt Tremper'!M18)</f>
        <v>2452</v>
      </c>
      <c r="N18" s="54">
        <f>SUM('Mt Tremper'!N18)</f>
        <v>2007</v>
      </c>
      <c r="O18" s="54">
        <f>SUM('Mt Tremper'!O18)</f>
        <v>2229</v>
      </c>
      <c r="P18" s="54">
        <f>SUM('Mt Tremper'!P18)</f>
        <v>1922</v>
      </c>
      <c r="Q18" s="54">
        <f>SUM('Mt Tremper'!Q18)</f>
        <v>2252</v>
      </c>
      <c r="R18" s="54">
        <f>SUM('Mt Tremper'!R18)</f>
        <v>2378</v>
      </c>
      <c r="S18" s="54"/>
      <c r="T18" s="54"/>
      <c r="U18" s="54">
        <f>SUM('Mt Tremper'!U18)</f>
        <v>2682</v>
      </c>
      <c r="V18" s="54"/>
      <c r="W18" s="54">
        <f>SUM('Mt Tremper'!W18)</f>
        <v>2758</v>
      </c>
      <c r="X18" s="54">
        <f>SUM('Mt Tremper'!X18)</f>
        <v>2606</v>
      </c>
      <c r="Y18" s="54">
        <f>SUM('Mt Tremper'!Y18)</f>
        <v>2928</v>
      </c>
      <c r="Z18" s="54">
        <f>SUM('Mt Tremper'!Z18)</f>
        <v>3554</v>
      </c>
      <c r="AA18" s="54">
        <f>SUM('Mt Tremper'!AA18)</f>
        <v>2967.333333333333</v>
      </c>
      <c r="AB18" s="54">
        <f>SUM('Mt Tremper'!AB18)</f>
        <v>3096</v>
      </c>
      <c r="AC18" s="54">
        <f>SUM('Mt Tremper'!AC18)</f>
        <v>3496</v>
      </c>
      <c r="AD18" s="54">
        <f>SUM('Mt Tremper'!AD18)</f>
        <v>4635</v>
      </c>
      <c r="AE18" s="54">
        <f>SUM('Mt Tremper'!AE18)</f>
        <v>3367.3333333333335</v>
      </c>
      <c r="AF18" s="54">
        <f>SUM('Mt Tremper'!AF18)</f>
        <v>2808.333333333333</v>
      </c>
      <c r="AG18" s="54">
        <f>SUM('Mt Tremper'!AG18)</f>
        <v>3606.7777777777778</v>
      </c>
      <c r="AH18" s="54">
        <f>SUM('Mt Tremper'!AH18)</f>
        <v>2833</v>
      </c>
      <c r="AI18" s="54">
        <f>SUM('Mt Tremper'!AI18)</f>
        <v>1060</v>
      </c>
      <c r="AJ18" s="54">
        <f>SUM('Mt Tremper'!AJ18)</f>
        <v>0</v>
      </c>
      <c r="AK18" s="54">
        <f>SUM('Mt Tremper'!AK18)</f>
        <v>0</v>
      </c>
      <c r="AL18" s="54">
        <f>SUM('Mt Tremper'!AL18)</f>
        <v>0</v>
      </c>
      <c r="AM18" s="54">
        <f>SUM('Mt Tremper'!AM18)</f>
        <v>0</v>
      </c>
      <c r="AN18" s="54">
        <f>SUM('Mt Tremper'!AN18)</f>
        <v>0</v>
      </c>
      <c r="AO18" s="54">
        <f>SUM('Mt Tremper'!AO18)</f>
        <v>0</v>
      </c>
      <c r="AP18" s="54">
        <f>SUM('Mt Tremper'!AP18)</f>
        <v>0</v>
      </c>
      <c r="AQ18" s="54">
        <f>SUM('Mt Tremper'!AQ18)</f>
        <v>0</v>
      </c>
      <c r="AR18" s="54">
        <f>SUM('Mt Tremper'!AR18)</f>
        <v>0</v>
      </c>
      <c r="AS18" s="54">
        <f>SUM('Mt Tremper'!AS18)</f>
        <v>0</v>
      </c>
      <c r="AT18" s="54">
        <f>SUM('Mt Tremper'!AT18)</f>
        <v>0</v>
      </c>
      <c r="AU18" s="54">
        <f>SUM('Mt Tremper'!AU18)</f>
        <v>0</v>
      </c>
      <c r="AV18" s="54">
        <f>SUM('Mt Tremper'!AV18)</f>
        <v>0</v>
      </c>
      <c r="AW18" s="54">
        <f>SUM('Mt Tremper'!AW18)</f>
        <v>0</v>
      </c>
      <c r="AX18" s="54">
        <f>SUM('Mt Tremper'!AX18)</f>
        <v>0</v>
      </c>
      <c r="AY18" s="54">
        <f>SUM('Mt Tremper'!AY18)</f>
        <v>0</v>
      </c>
      <c r="AZ18" s="54">
        <f>SUM('Mt Tremper'!AZ18)</f>
        <v>0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>
        <f t="shared" ref="BJ18" si="147">AVERAGEIF(B18:K18,"&gt;0")</f>
        <v>1593.3</v>
      </c>
      <c r="BK18">
        <f t="shared" ref="BK18" si="148">AVERAGEIF(C18:L18,"&gt;0")</f>
        <v>1697.4</v>
      </c>
      <c r="BL18">
        <f t="shared" ref="BL18" si="149">AVERAGEIF(D18:M18,"&gt;0")</f>
        <v>1796.1</v>
      </c>
      <c r="BM18">
        <f t="shared" ref="BM18" si="150">AVERAGEIF(E18:N18,"&gt;0")</f>
        <v>1854.1</v>
      </c>
      <c r="BN18">
        <f t="shared" ref="BN18" si="151">AVERAGEIF(F18:O18,"&gt;0")</f>
        <v>1917</v>
      </c>
      <c r="BO18">
        <f t="shared" ref="BO18" si="152">AVERAGEIF(G18:P18,"&gt;0")</f>
        <v>1932.9</v>
      </c>
      <c r="BP18">
        <f t="shared" ref="BP18" si="153">AVERAGEIF(H18:Q18,"&gt;0")</f>
        <v>2043.9</v>
      </c>
      <c r="BQ18">
        <f t="shared" ref="BQ18" si="154">AVERAGEIF(I18:R18,"&gt;0")</f>
        <v>2137.1999999999998</v>
      </c>
      <c r="BR18">
        <f t="shared" ref="BR18" si="155">AVERAGEIF(J18:S18,"&gt;0")</f>
        <v>2144.8888888888887</v>
      </c>
      <c r="BS18">
        <f t="shared" ref="BS18" si="156">AVERAGEIF(K18:T18,"&gt;0")</f>
        <v>2172.375</v>
      </c>
      <c r="BT18">
        <f t="shared" ref="BT18" si="157">AVERAGEIF(L18:U18,"&gt;0")</f>
        <v>2311.375</v>
      </c>
      <c r="BU18">
        <f t="shared" ref="BU18" si="158">AVERAGEIF(M18:V18,"&gt;0")</f>
        <v>2274.5714285714284</v>
      </c>
      <c r="BV18">
        <f t="shared" ref="BV18" si="159">AVERAGEIF(N18:W18,"&gt;0")</f>
        <v>2318.2857142857142</v>
      </c>
      <c r="BW18">
        <f t="shared" ref="BW18" si="160">AVERAGEIF(O18:X18,"&gt;0")</f>
        <v>2403.8571428571427</v>
      </c>
      <c r="BX18">
        <f t="shared" ref="BX18" si="161">AVERAGEIF(P18:Y18,"&gt;0")</f>
        <v>2503.7142857142858</v>
      </c>
      <c r="BY18">
        <f t="shared" ref="BY18" si="162">AVERAGEIF(Q18:Z18,"&gt;0")</f>
        <v>2736.8571428571427</v>
      </c>
      <c r="BZ18">
        <f t="shared" ref="BZ18" si="163">AVERAGEIF(R18:AA18,"&gt;0")</f>
        <v>2839.0476190476188</v>
      </c>
      <c r="CA18">
        <f t="shared" ref="CA18" si="164">AVERAGEIF(S18:AB18,"&gt;0")</f>
        <v>2941.6190476190473</v>
      </c>
      <c r="CB18">
        <f t="shared" ref="CB18" si="165">AVERAGEIF(T18:AC18,"&gt;0")</f>
        <v>3010.9166666666665</v>
      </c>
      <c r="CC18">
        <f t="shared" ref="CC18" si="166">AVERAGEIF(U18:AD18,"&gt;0")</f>
        <v>3191.3703703703704</v>
      </c>
      <c r="CD18">
        <f t="shared" ref="CD18" si="167">AVERAGEIF(V18:AE18,"&gt;0")</f>
        <v>3267.5185185185182</v>
      </c>
      <c r="CE18">
        <f t="shared" ref="CE18" si="168">AVERAGEIF(W18:AF18,"&gt;0")</f>
        <v>3221.5999999999995</v>
      </c>
      <c r="CF18">
        <f t="shared" ref="CF18" si="169">AVERAGEIF(X18:AG18,"&gt;0")</f>
        <v>3306.4777777777772</v>
      </c>
      <c r="CG18">
        <f t="shared" ref="CG18" si="170">AVERAGEIF(Y18:AH18,"&gt;0")</f>
        <v>3329.1777777777775</v>
      </c>
      <c r="CH18">
        <f t="shared" ref="CH18" si="171">AVERAGEIF(Z18:AI18,"&gt;0")</f>
        <v>3142.3777777777773</v>
      </c>
      <c r="CI18">
        <f t="shared" ref="CI18" si="172">AVERAGEIF(AA18:AJ18,"&gt;0")</f>
        <v>3096.6419753086416</v>
      </c>
      <c r="CJ18">
        <f t="shared" ref="CJ18" si="173">AVERAGEIF(AB18:AK18,"&gt;0")</f>
        <v>3112.8055555555557</v>
      </c>
      <c r="CK18">
        <f t="shared" ref="CK18" si="174">AVERAGEIF(AC18:AL18,"&gt;0")</f>
        <v>3115.2063492063494</v>
      </c>
      <c r="CL18">
        <f t="shared" ref="CL18" si="175">AVERAGEIF(AD18:AM18,"&gt;0")</f>
        <v>3051.7407407407409</v>
      </c>
      <c r="CM18">
        <f t="shared" ref="CM18" si="176">AVERAGEIF(AE18:AN18,"&gt;0")</f>
        <v>2735.0888888888885</v>
      </c>
      <c r="CN18">
        <f t="shared" ref="CN18" si="177">AVERAGEIF(AF18:AO18,"&gt;0")</f>
        <v>2577.0277777777778</v>
      </c>
      <c r="CO18">
        <f t="shared" ref="CO18" si="178">AVERAGEIF(AG18:AP18,"&gt;0")</f>
        <v>2499.9259259259256</v>
      </c>
      <c r="CP18">
        <f t="shared" ref="CP18" si="179">AVERAGEIF(AH18:AQ18,"&gt;0")</f>
        <v>1946.5</v>
      </c>
      <c r="CQ18">
        <f t="shared" ref="CQ18" si="180">AVERAGEIF(AI18:AR18,"&gt;0")</f>
        <v>1060</v>
      </c>
      <c r="CR18" t="e">
        <f t="shared" ref="CR18" si="181">AVERAGEIF(AJ18:AS18,"&gt;0")</f>
        <v>#DIV/0!</v>
      </c>
      <c r="CS18" t="e">
        <f t="shared" ref="CS18" si="182">AVERAGEIF(AK18:AT18,"&gt;0")</f>
        <v>#DIV/0!</v>
      </c>
      <c r="CT18" t="e">
        <f t="shared" ref="CT18" si="183">AVERAGEIF(AL18:AU18,"&gt;0")</f>
        <v>#DIV/0!</v>
      </c>
      <c r="CU18" t="e">
        <f t="shared" ref="CU18" si="184">AVERAGEIF(AM18:AV18,"&gt;0")</f>
        <v>#DIV/0!</v>
      </c>
      <c r="CV18" t="e">
        <f t="shared" ref="CV18" si="185">AVERAGEIF(AN18:AW18,"&gt;0")</f>
        <v>#DIV/0!</v>
      </c>
      <c r="CW18" t="e">
        <f t="shared" ref="CW18" si="186">AVERAGEIF(AO18:AX18,"&gt;0")</f>
        <v>#DIV/0!</v>
      </c>
      <c r="CX18" t="e">
        <f t="shared" ref="CX18" si="187">AVERAGEIF(AP18:AY18,"&gt;0")</f>
        <v>#DIV/0!</v>
      </c>
      <c r="CY18" t="e">
        <f t="shared" ref="CY18" si="188">AVERAGEIF(AQ18:AZ18,"&gt;0")</f>
        <v>#DIV/0!</v>
      </c>
    </row>
    <row r="19" spans="1:103" ht="20" customHeight="1" x14ac:dyDescent="0.2">
      <c r="A19" s="7" t="s">
        <v>29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3"/>
      <c r="V19" s="53"/>
      <c r="W19" s="53"/>
      <c r="X19" s="53"/>
      <c r="Y19" s="53"/>
      <c r="Z19" s="53"/>
      <c r="AA19" s="53"/>
      <c r="AB19" s="53"/>
      <c r="AC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B19" s="1"/>
    </row>
    <row r="20" spans="1:103" s="10" customFormat="1" ht="20" customHeight="1" x14ac:dyDescent="0.2">
      <c r="A20" s="48" t="s">
        <v>30</v>
      </c>
      <c r="B20" s="54">
        <f>SUM('Rochester Hollow'!B18)</f>
        <v>4760</v>
      </c>
      <c r="C20" s="54">
        <f>SUM('Rochester Hollow'!C18)</f>
        <v>4535</v>
      </c>
      <c r="D20" s="54">
        <f>SUM('Rochester Hollow'!D18)</f>
        <v>4439</v>
      </c>
      <c r="E20" s="54">
        <f>SUM('Rochester Hollow'!E18)</f>
        <v>4617</v>
      </c>
      <c r="F20" s="54"/>
      <c r="G20" s="54"/>
      <c r="H20" s="54"/>
      <c r="I20" s="54"/>
      <c r="J20" s="54"/>
      <c r="K20" s="54"/>
      <c r="L20" s="54"/>
      <c r="M20" s="54"/>
      <c r="N20" s="54"/>
      <c r="O20" s="54">
        <f>SUM('Rochester Hollow'!O18)</f>
        <v>415</v>
      </c>
      <c r="P20" s="54">
        <f>SUM('Rochester Hollow'!P18)</f>
        <v>640</v>
      </c>
      <c r="Q20" s="54">
        <f>SUM('Rochester Hollow'!Q18)</f>
        <v>683</v>
      </c>
      <c r="R20" s="54">
        <f>SUM('Rochester Hollow'!R18)</f>
        <v>826</v>
      </c>
      <c r="S20" s="54"/>
      <c r="T20" s="54"/>
      <c r="U20" s="54"/>
      <c r="V20" s="54"/>
      <c r="W20" s="54">
        <f>SUM('Rochester Hollow'!W18)</f>
        <v>697</v>
      </c>
      <c r="X20" s="54">
        <f>SUM('Rochester Hollow'!X18)</f>
        <v>1111</v>
      </c>
      <c r="Y20" s="54">
        <f>SUM('Rochester Hollow'!Y18)</f>
        <v>1378</v>
      </c>
      <c r="Z20" s="54">
        <f>SUM('Rochester Hollow'!Z18)</f>
        <v>1622</v>
      </c>
      <c r="AA20" s="54">
        <f>SUM('Rochester Hollow'!AA18)</f>
        <v>1413.8999999999999</v>
      </c>
      <c r="AB20" s="54">
        <f>SUM('Rochester Hollow'!AB18)</f>
        <v>1870</v>
      </c>
      <c r="AC20" s="54">
        <f>SUM('Rochester Hollow'!AC18)</f>
        <v>1648</v>
      </c>
      <c r="AD20" s="54">
        <f>SUM('Rochester Hollow'!AD18)</f>
        <v>1697</v>
      </c>
      <c r="AE20" s="54">
        <f>SUM('Rochester Hollow'!AE18)</f>
        <v>2167</v>
      </c>
      <c r="AF20" s="54">
        <f>SUM('Rochester Hollow'!AF18)</f>
        <v>4462</v>
      </c>
      <c r="AG20" s="54">
        <f>SUM('Rochester Hollow'!AG18)</f>
        <v>1782</v>
      </c>
      <c r="AH20" s="54">
        <f>SUM('Rochester Hollow'!AH18)</f>
        <v>1777</v>
      </c>
      <c r="AI20" s="54">
        <f>SUM('Rochester Hollow'!AI18)</f>
        <v>1272</v>
      </c>
      <c r="AJ20" s="54">
        <f>SUM('Rochester Hollow'!AJ18)</f>
        <v>0</v>
      </c>
      <c r="AK20" s="54">
        <f>SUM('Rochester Hollow'!AK18)</f>
        <v>0</v>
      </c>
      <c r="AL20" s="54">
        <f>SUM('Rochester Hollow'!AL18)</f>
        <v>0</v>
      </c>
      <c r="AM20" s="54">
        <f>SUM('Rochester Hollow'!AM18)</f>
        <v>0</v>
      </c>
      <c r="AN20" s="54">
        <f>SUM('Rochester Hollow'!AN18)</f>
        <v>0</v>
      </c>
      <c r="AO20" s="54">
        <f>SUM('Rochester Hollow'!AO18)</f>
        <v>0</v>
      </c>
      <c r="AP20" s="54">
        <f>SUM('Rochester Hollow'!AP18)</f>
        <v>0</v>
      </c>
      <c r="AQ20" s="54">
        <f>SUM('Rochester Hollow'!AQ18)</f>
        <v>0</v>
      </c>
      <c r="AR20" s="54">
        <f>SUM('Rochester Hollow'!AR18)</f>
        <v>0</v>
      </c>
      <c r="AS20" s="54">
        <f>SUM('Rochester Hollow'!AS18)</f>
        <v>0</v>
      </c>
      <c r="AT20" s="54">
        <f>SUM('Rochester Hollow'!AT18)</f>
        <v>0</v>
      </c>
      <c r="AU20" s="54">
        <f>SUM('Rochester Hollow'!AU18)</f>
        <v>0</v>
      </c>
      <c r="AV20" s="54">
        <f>SUM('Rochester Hollow'!AV18)</f>
        <v>0</v>
      </c>
      <c r="AW20" s="54">
        <f>SUM('Rochester Hollow'!AW18)</f>
        <v>0</v>
      </c>
      <c r="AX20" s="54">
        <f>SUM('Rochester Hollow'!AX18)</f>
        <v>0</v>
      </c>
      <c r="AY20" s="54">
        <f>SUM('Rochester Hollow'!AY18)</f>
        <v>0</v>
      </c>
      <c r="AZ20" s="54">
        <f>SUM('Rochester Hollow'!AZ18)</f>
        <v>0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>
        <f t="shared" ref="BJ20" si="189">AVERAGEIF(B20:K20,"&gt;0")</f>
        <v>4587.75</v>
      </c>
      <c r="BK20">
        <f t="shared" ref="BK20" si="190">AVERAGEIF(C20:L20,"&gt;0")</f>
        <v>4530.333333333333</v>
      </c>
      <c r="BL20">
        <f t="shared" ref="BL20" si="191">AVERAGEIF(D20:M20,"&gt;0")</f>
        <v>4528</v>
      </c>
      <c r="BM20">
        <f t="shared" ref="BM20" si="192">AVERAGEIF(E20:N20,"&gt;0")</f>
        <v>4617</v>
      </c>
      <c r="BN20">
        <f t="shared" ref="BN20" si="193">AVERAGEIF(F20:O20,"&gt;0")</f>
        <v>415</v>
      </c>
      <c r="BO20">
        <f t="shared" ref="BO20" si="194">AVERAGEIF(G20:P20,"&gt;0")</f>
        <v>527.5</v>
      </c>
      <c r="BP20">
        <f t="shared" ref="BP20" si="195">AVERAGEIF(H20:Q20,"&gt;0")</f>
        <v>579.33333333333337</v>
      </c>
      <c r="BQ20">
        <f t="shared" ref="BQ20" si="196">AVERAGEIF(I20:R20,"&gt;0")</f>
        <v>641</v>
      </c>
      <c r="BR20">
        <f t="shared" ref="BR20" si="197">AVERAGEIF(J20:S20,"&gt;0")</f>
        <v>641</v>
      </c>
      <c r="BS20">
        <f t="shared" ref="BS20" si="198">AVERAGEIF(K20:T20,"&gt;0")</f>
        <v>641</v>
      </c>
      <c r="BT20">
        <f t="shared" ref="BT20" si="199">AVERAGEIF(L20:U20,"&gt;0")</f>
        <v>641</v>
      </c>
      <c r="BU20">
        <f t="shared" ref="BU20" si="200">AVERAGEIF(M20:V20,"&gt;0")</f>
        <v>641</v>
      </c>
      <c r="BV20">
        <f t="shared" ref="BV20" si="201">AVERAGEIF(N20:W20,"&gt;0")</f>
        <v>652.20000000000005</v>
      </c>
      <c r="BW20">
        <f t="shared" ref="BW20" si="202">AVERAGEIF(O20:X20,"&gt;0")</f>
        <v>728.66666666666663</v>
      </c>
      <c r="BX20">
        <f t="shared" ref="BX20" si="203">AVERAGEIF(P20:Y20,"&gt;0")</f>
        <v>889.16666666666663</v>
      </c>
      <c r="BY20">
        <f t="shared" ref="BY20" si="204">AVERAGEIF(Q20:Z20,"&gt;0")</f>
        <v>1052.8333333333333</v>
      </c>
      <c r="BZ20">
        <f t="shared" ref="BZ20" si="205">AVERAGEIF(R20:AA20,"&gt;0")</f>
        <v>1174.6499999999999</v>
      </c>
      <c r="CA20">
        <f t="shared" ref="CA20" si="206">AVERAGEIF(S20:AB20,"&gt;0")</f>
        <v>1348.6499999999999</v>
      </c>
      <c r="CB20">
        <f t="shared" ref="CB20" si="207">AVERAGEIF(T20:AC20,"&gt;0")</f>
        <v>1391.4142857142856</v>
      </c>
      <c r="CC20">
        <f t="shared" ref="CC20" si="208">AVERAGEIF(U20:AD20,"&gt;0")</f>
        <v>1429.6125</v>
      </c>
      <c r="CD20">
        <f t="shared" ref="CD20" si="209">AVERAGEIF(V20:AE20,"&gt;0")</f>
        <v>1511.5444444444445</v>
      </c>
      <c r="CE20">
        <f t="shared" ref="CE20" si="210">AVERAGEIF(W20:AF20,"&gt;0")</f>
        <v>1806.5900000000001</v>
      </c>
      <c r="CF20">
        <f t="shared" ref="CF20" si="211">AVERAGEIF(X20:AG20,"&gt;0")</f>
        <v>1915.0900000000001</v>
      </c>
      <c r="CG20">
        <f t="shared" ref="CG20" si="212">AVERAGEIF(Y20:AH20,"&gt;0")</f>
        <v>1981.69</v>
      </c>
      <c r="CH20">
        <f t="shared" ref="CH20" si="213">AVERAGEIF(Z20:AI20,"&gt;0")</f>
        <v>1971.0900000000001</v>
      </c>
      <c r="CI20">
        <f t="shared" ref="CI20" si="214">AVERAGEIF(AA20:AJ20,"&gt;0")</f>
        <v>2009.877777777778</v>
      </c>
      <c r="CJ20">
        <f t="shared" ref="CJ20" si="215">AVERAGEIF(AB20:AK20,"&gt;0")</f>
        <v>2084.375</v>
      </c>
      <c r="CK20">
        <f t="shared" ref="CK20" si="216">AVERAGEIF(AC20:AL20,"&gt;0")</f>
        <v>2115</v>
      </c>
      <c r="CL20">
        <f t="shared" ref="CL20" si="217">AVERAGEIF(AD20:AM20,"&gt;0")</f>
        <v>2192.8333333333335</v>
      </c>
      <c r="CM20">
        <f t="shared" ref="CM20" si="218">AVERAGEIF(AE20:AN20,"&gt;0")</f>
        <v>2292</v>
      </c>
      <c r="CN20">
        <f t="shared" ref="CN20" si="219">AVERAGEIF(AF20:AO20,"&gt;0")</f>
        <v>2323.25</v>
      </c>
      <c r="CO20">
        <f t="shared" ref="CO20" si="220">AVERAGEIF(AG20:AP20,"&gt;0")</f>
        <v>1610.3333333333333</v>
      </c>
      <c r="CP20">
        <f t="shared" ref="CP20" si="221">AVERAGEIF(AH20:AQ20,"&gt;0")</f>
        <v>1524.5</v>
      </c>
      <c r="CQ20">
        <f t="shared" ref="CQ20" si="222">AVERAGEIF(AI20:AR20,"&gt;0")</f>
        <v>1272</v>
      </c>
      <c r="CR20" t="e">
        <f t="shared" ref="CR20" si="223">AVERAGEIF(AJ20:AS20,"&gt;0")</f>
        <v>#DIV/0!</v>
      </c>
      <c r="CS20" t="e">
        <f t="shared" ref="CS20" si="224">AVERAGEIF(AK20:AT20,"&gt;0")</f>
        <v>#DIV/0!</v>
      </c>
      <c r="CT20" t="e">
        <f t="shared" ref="CT20" si="225">AVERAGEIF(AL20:AU20,"&gt;0")</f>
        <v>#DIV/0!</v>
      </c>
      <c r="CU20" t="e">
        <f t="shared" ref="CU20" si="226">AVERAGEIF(AM20:AV20,"&gt;0")</f>
        <v>#DIV/0!</v>
      </c>
      <c r="CV20" t="e">
        <f t="shared" ref="CV20" si="227">AVERAGEIF(AN20:AW20,"&gt;0")</f>
        <v>#DIV/0!</v>
      </c>
      <c r="CW20" t="e">
        <f t="shared" ref="CW20" si="228">AVERAGEIF(AO20:AX20,"&gt;0")</f>
        <v>#DIV/0!</v>
      </c>
      <c r="CX20" t="e">
        <f t="shared" ref="CX20" si="229">AVERAGEIF(AP20:AY20,"&gt;0")</f>
        <v>#DIV/0!</v>
      </c>
      <c r="CY20" t="e">
        <f t="shared" ref="CY20" si="230">AVERAGEIF(AQ20:AZ20,"&gt;0")</f>
        <v>#DIV/0!</v>
      </c>
    </row>
    <row r="21" spans="1:103" ht="20" customHeight="1" x14ac:dyDescent="0.2">
      <c r="A21" s="7" t="s">
        <v>13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3"/>
      <c r="V21" s="53"/>
      <c r="W21" s="53"/>
      <c r="X21" s="53"/>
      <c r="Y21" s="53"/>
      <c r="Z21" s="53"/>
      <c r="AA21" s="53"/>
      <c r="AB21" s="53"/>
      <c r="AC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B21" s="1"/>
      <c r="BC21" s="6"/>
      <c r="BD21" s="6"/>
      <c r="BF21" s="6"/>
      <c r="BG21" s="6"/>
      <c r="BH21" s="6"/>
    </row>
    <row r="22" spans="1:103" s="10" customFormat="1" ht="20" customHeight="1" x14ac:dyDescent="0.2">
      <c r="A22" s="48" t="s">
        <v>58</v>
      </c>
      <c r="B22" s="54"/>
      <c r="C22" s="54"/>
      <c r="D22" s="54"/>
      <c r="E22" s="54"/>
      <c r="F22" s="54"/>
      <c r="G22" s="54">
        <f>SUM('Ashokan HP'!G18)</f>
        <v>1274</v>
      </c>
      <c r="H22" s="54">
        <f>SUM('Ashokan HP'!H18)</f>
        <v>1705</v>
      </c>
      <c r="I22" s="54">
        <f>SUM('Ashokan HP'!I18)</f>
        <v>2141</v>
      </c>
      <c r="J22" s="54">
        <f>SUM('Ashokan HP'!J18)</f>
        <v>1579</v>
      </c>
      <c r="K22" s="54">
        <f>SUM('Ashokan HP'!K18)</f>
        <v>1461</v>
      </c>
      <c r="L22" s="54">
        <f>SUM('Ashokan HP'!L18)</f>
        <v>1549</v>
      </c>
      <c r="M22" s="54">
        <f>SUM('Ashokan HP'!M18)</f>
        <v>1889</v>
      </c>
      <c r="N22" s="54">
        <f>SUM('Ashokan HP'!N18)</f>
        <v>1588</v>
      </c>
      <c r="O22" s="54">
        <f>SUM('Ashokan HP'!O18)</f>
        <v>1703</v>
      </c>
      <c r="P22" s="54">
        <f>SUM('Ashokan HP'!P18)</f>
        <v>1502</v>
      </c>
      <c r="Q22" s="54">
        <f>SUM('Ashokan HP'!Q18)</f>
        <v>1906</v>
      </c>
      <c r="R22" s="54">
        <f>SUM('Ashokan HP'!R18)</f>
        <v>1705</v>
      </c>
      <c r="S22" s="54"/>
      <c r="T22" s="54"/>
      <c r="U22" s="54">
        <f>SUM('Ashokan HP'!U18)</f>
        <v>1544</v>
      </c>
      <c r="V22" s="54"/>
      <c r="W22" s="54">
        <f>SUM('Ashokan HP'!W18)</f>
        <v>1891</v>
      </c>
      <c r="X22" s="54">
        <f>SUM('Ashokan HP'!X18)</f>
        <v>1822</v>
      </c>
      <c r="Y22" s="54">
        <f>SUM('Ashokan HP'!Y18)</f>
        <v>1813</v>
      </c>
      <c r="Z22" s="54">
        <f>SUM('Ashokan HP'!Z18)</f>
        <v>1985</v>
      </c>
      <c r="AA22" s="54">
        <f>SUM('Ashokan HP'!AA18)</f>
        <v>1846</v>
      </c>
      <c r="AB22" s="54">
        <f>SUM('Ashokan HP'!AB18)</f>
        <v>2051</v>
      </c>
      <c r="AC22" s="54">
        <f>SUM('Ashokan HP'!AC18)</f>
        <v>1733</v>
      </c>
      <c r="AD22" s="54">
        <f>SUM('Ashokan HP'!AD18)</f>
        <v>1827</v>
      </c>
      <c r="AE22" s="54">
        <f>SUM('Ashokan HP'!AE18)</f>
        <v>2537</v>
      </c>
      <c r="AF22" s="54">
        <f>SUM('Ashokan HP'!AF18)</f>
        <v>1829</v>
      </c>
      <c r="AG22" s="54">
        <f>SUM('Ashokan HP'!AG18)</f>
        <v>1560</v>
      </c>
      <c r="AH22" s="54">
        <f>SUM('Ashokan HP'!AH18)</f>
        <v>1376</v>
      </c>
      <c r="AI22" s="54">
        <f>SUM('Ashokan HP'!AI18)</f>
        <v>1515</v>
      </c>
      <c r="AJ22" s="54">
        <f>SUM('Ashokan HP'!AJ18)</f>
        <v>1117</v>
      </c>
      <c r="AK22" s="54">
        <f>SUM('Ashokan HP'!AK18)</f>
        <v>0</v>
      </c>
      <c r="AL22" s="54">
        <f>SUM('Ashokan HP'!AL18)</f>
        <v>0</v>
      </c>
      <c r="AM22" s="54">
        <f>SUM('Ashokan HP'!AM18)</f>
        <v>0</v>
      </c>
      <c r="AN22" s="54">
        <f>SUM('Ashokan HP'!AN18)</f>
        <v>0</v>
      </c>
      <c r="AO22" s="54">
        <f>SUM('Ashokan HP'!AO18)</f>
        <v>0</v>
      </c>
      <c r="AP22" s="54">
        <f>SUM('Ashokan HP'!AP18)</f>
        <v>0</v>
      </c>
      <c r="AQ22" s="54">
        <f>SUM('Ashokan HP'!AQ18)</f>
        <v>0</v>
      </c>
      <c r="AR22" s="54">
        <f>SUM('Ashokan HP'!AR18)</f>
        <v>0</v>
      </c>
      <c r="AS22" s="54">
        <f>SUM('Ashokan HP'!AS18)</f>
        <v>0</v>
      </c>
      <c r="AT22" s="54">
        <f>SUM('Ashokan HP'!AT18)</f>
        <v>0</v>
      </c>
      <c r="AU22" s="54">
        <f>SUM('Ashokan HP'!AU18)</f>
        <v>0</v>
      </c>
      <c r="AV22" s="54">
        <f>SUM('Ashokan HP'!AV18)</f>
        <v>0</v>
      </c>
      <c r="AW22" s="54">
        <f>SUM('Ashokan HP'!AW18)</f>
        <v>0</v>
      </c>
      <c r="AX22" s="54">
        <f>SUM('Ashokan HP'!AX18)</f>
        <v>0</v>
      </c>
      <c r="AY22" s="54">
        <f>SUM('Ashokan HP'!AY18)</f>
        <v>0</v>
      </c>
      <c r="AZ22" s="54">
        <f>SUM('Ashokan HP'!AZ18)</f>
        <v>0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>
        <f t="shared" ref="BJ22:BJ25" si="231">AVERAGEIF(B22:K22,"&gt;0")</f>
        <v>1632</v>
      </c>
      <c r="BK22">
        <f t="shared" ref="BK22:BK25" si="232">AVERAGEIF(C22:L22,"&gt;0")</f>
        <v>1618.1666666666667</v>
      </c>
      <c r="BL22">
        <f t="shared" ref="BL22:BL25" si="233">AVERAGEIF(D22:M22,"&gt;0")</f>
        <v>1656.8571428571429</v>
      </c>
      <c r="BM22">
        <f t="shared" ref="BM22:BM25" si="234">AVERAGEIF(E22:N22,"&gt;0")</f>
        <v>1648.25</v>
      </c>
      <c r="BN22">
        <f t="shared" ref="BN22:BN25" si="235">AVERAGEIF(F22:O22,"&gt;0")</f>
        <v>1654.3333333333333</v>
      </c>
      <c r="BO22">
        <f t="shared" ref="BO22:BO25" si="236">AVERAGEIF(G22:P22,"&gt;0")</f>
        <v>1639.1</v>
      </c>
      <c r="BP22">
        <f t="shared" ref="BP22:BP25" si="237">AVERAGEIF(H22:Q22,"&gt;0")</f>
        <v>1702.3</v>
      </c>
      <c r="BQ22">
        <f t="shared" ref="BQ22:BQ25" si="238">AVERAGEIF(I22:R22,"&gt;0")</f>
        <v>1702.3</v>
      </c>
      <c r="BR22">
        <f t="shared" ref="BR22:BR25" si="239">AVERAGEIF(J22:S22,"&gt;0")</f>
        <v>1653.5555555555557</v>
      </c>
      <c r="BS22">
        <f t="shared" ref="BS22:BS25" si="240">AVERAGEIF(K22:T22,"&gt;0")</f>
        <v>1662.875</v>
      </c>
      <c r="BT22">
        <f t="shared" ref="BT22:BT25" si="241">AVERAGEIF(L22:U22,"&gt;0")</f>
        <v>1673.25</v>
      </c>
      <c r="BU22">
        <f t="shared" ref="BU22:BU25" si="242">AVERAGEIF(M22:V22,"&gt;0")</f>
        <v>1691</v>
      </c>
      <c r="BV22">
        <f t="shared" ref="BV22:BV25" si="243">AVERAGEIF(N22:W22,"&gt;0")</f>
        <v>1691.2857142857142</v>
      </c>
      <c r="BW22">
        <f t="shared" ref="BW22:BW25" si="244">AVERAGEIF(O22:X22,"&gt;0")</f>
        <v>1724.7142857142858</v>
      </c>
      <c r="BX22">
        <f t="shared" ref="BX22:BX25" si="245">AVERAGEIF(P22:Y22,"&gt;0")</f>
        <v>1740.4285714285713</v>
      </c>
      <c r="BY22">
        <f t="shared" ref="BY22:BY25" si="246">AVERAGEIF(Q22:Z22,"&gt;0")</f>
        <v>1809.4285714285713</v>
      </c>
      <c r="BZ22">
        <f t="shared" ref="BZ22:BZ25" si="247">AVERAGEIF(R22:AA22,"&gt;0")</f>
        <v>1800.8571428571429</v>
      </c>
      <c r="CA22">
        <f t="shared" ref="CA22:CA25" si="248">AVERAGEIF(S22:AB22,"&gt;0")</f>
        <v>1850.2857142857142</v>
      </c>
      <c r="CB22">
        <f t="shared" ref="CB22:CB25" si="249">AVERAGEIF(T22:AC22,"&gt;0")</f>
        <v>1835.625</v>
      </c>
      <c r="CC22">
        <f t="shared" ref="CC22:CC25" si="250">AVERAGEIF(U22:AD22,"&gt;0")</f>
        <v>1834.6666666666667</v>
      </c>
      <c r="CD22">
        <f t="shared" ref="CD22:CD25" si="251">AVERAGEIF(V22:AE22,"&gt;0")</f>
        <v>1945</v>
      </c>
      <c r="CE22">
        <f t="shared" ref="CE22:CE25" si="252">AVERAGEIF(W22:AF22,"&gt;0")</f>
        <v>1933.4</v>
      </c>
      <c r="CF22">
        <f t="shared" ref="CF22:CF25" si="253">AVERAGEIF(X22:AG22,"&gt;0")</f>
        <v>1900.3</v>
      </c>
      <c r="CG22">
        <f t="shared" ref="CG22:CG25" si="254">AVERAGEIF(Y22:AH22,"&gt;0")</f>
        <v>1855.7</v>
      </c>
      <c r="CH22">
        <f t="shared" ref="CH22:CH25" si="255">AVERAGEIF(Z22:AI22,"&gt;0")</f>
        <v>1825.9</v>
      </c>
      <c r="CI22">
        <f t="shared" ref="CI22:CI25" si="256">AVERAGEIF(AA22:AJ22,"&gt;0")</f>
        <v>1739.1</v>
      </c>
      <c r="CJ22">
        <f t="shared" ref="CJ22:CJ25" si="257">AVERAGEIF(AB22:AK22,"&gt;0")</f>
        <v>1727.2222222222222</v>
      </c>
      <c r="CK22">
        <f t="shared" ref="CK22:CK25" si="258">AVERAGEIF(AC22:AL22,"&gt;0")</f>
        <v>1686.75</v>
      </c>
      <c r="CL22">
        <f t="shared" ref="CL22:CL25" si="259">AVERAGEIF(AD22:AM22,"&gt;0")</f>
        <v>1680.1428571428571</v>
      </c>
      <c r="CM22">
        <f t="shared" ref="CM22:CM25" si="260">AVERAGEIF(AE22:AN22,"&gt;0")</f>
        <v>1655.6666666666667</v>
      </c>
      <c r="CN22">
        <f t="shared" ref="CN22:CN25" si="261">AVERAGEIF(AF22:AO22,"&gt;0")</f>
        <v>1479.4</v>
      </c>
      <c r="CO22">
        <f t="shared" ref="CO22:CO25" si="262">AVERAGEIF(AG22:AP22,"&gt;0")</f>
        <v>1392</v>
      </c>
      <c r="CP22">
        <f t="shared" ref="CP22:CP25" si="263">AVERAGEIF(AH22:AQ22,"&gt;0")</f>
        <v>1336</v>
      </c>
      <c r="CQ22">
        <f t="shared" ref="CQ22:CQ25" si="264">AVERAGEIF(AI22:AR22,"&gt;0")</f>
        <v>1316</v>
      </c>
      <c r="CR22">
        <f t="shared" ref="CR22:CR25" si="265">AVERAGEIF(AJ22:AS22,"&gt;0")</f>
        <v>1117</v>
      </c>
      <c r="CS22" t="e">
        <f t="shared" ref="CS22:CS25" si="266">AVERAGEIF(AK22:AT22,"&gt;0")</f>
        <v>#DIV/0!</v>
      </c>
      <c r="CT22" t="e">
        <f t="shared" ref="CT22:CT25" si="267">AVERAGEIF(AL22:AU22,"&gt;0")</f>
        <v>#DIV/0!</v>
      </c>
      <c r="CU22" t="e">
        <f t="shared" ref="CU22:CU25" si="268">AVERAGEIF(AM22:AV22,"&gt;0")</f>
        <v>#DIV/0!</v>
      </c>
      <c r="CV22" t="e">
        <f t="shared" ref="CV22:CV25" si="269">AVERAGEIF(AN22:AW22,"&gt;0")</f>
        <v>#DIV/0!</v>
      </c>
      <c r="CW22" t="e">
        <f t="shared" ref="CW22:CW25" si="270">AVERAGEIF(AO22:AX22,"&gt;0")</f>
        <v>#DIV/0!</v>
      </c>
      <c r="CX22" t="e">
        <f t="shared" ref="CX22:CX25" si="271">AVERAGEIF(AP22:AY22,"&gt;0")</f>
        <v>#DIV/0!</v>
      </c>
      <c r="CY22" t="e">
        <f t="shared" ref="CY22:CY25" si="272">AVERAGEIF(AQ22:AZ22,"&gt;0")</f>
        <v>#DIV/0!</v>
      </c>
    </row>
    <row r="23" spans="1:103" ht="20" customHeight="1" x14ac:dyDescent="0.2">
      <c r="A23" s="49" t="s">
        <v>119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>
        <f>SUM('Red Hill Dinch Road '!M18)</f>
        <v>636</v>
      </c>
      <c r="N23" s="52">
        <f>SUM('Red Hill Dinch Road '!N18)</f>
        <v>599</v>
      </c>
      <c r="O23" s="52">
        <f>SUM('Red Hill Dinch Road '!O18)</f>
        <v>955</v>
      </c>
      <c r="P23" s="52">
        <f>SUM('Red Hill Dinch Road '!P18)</f>
        <v>736</v>
      </c>
      <c r="Q23" s="52">
        <f>SUM('Red Hill Dinch Road '!Q18)</f>
        <v>791</v>
      </c>
      <c r="R23" s="52">
        <f>SUM('Red Hill Dinch Road '!R18)</f>
        <v>879</v>
      </c>
      <c r="S23" s="52"/>
      <c r="T23" s="52"/>
      <c r="U23" s="52">
        <f>SUM('Red Hill Dinch Road '!U18)</f>
        <v>1279</v>
      </c>
      <c r="V23" s="52"/>
      <c r="W23" s="52">
        <f>SUM('Red Hill Dinch Road '!W18)</f>
        <v>1058</v>
      </c>
      <c r="X23" s="52">
        <f>SUM('Red Hill Dinch Road '!X18)</f>
        <v>1037</v>
      </c>
      <c r="Y23" s="52">
        <f>SUM('Red Hill Dinch Road '!Y18)</f>
        <v>1727</v>
      </c>
      <c r="Z23" s="52">
        <f>SUM('Red Hill Dinch Road '!Z18)</f>
        <v>1807</v>
      </c>
      <c r="AA23" s="52">
        <f>SUM('Red Hill Dinch Road '!AA18)</f>
        <v>2222</v>
      </c>
      <c r="AB23" s="52">
        <f>SUM('Red Hill Dinch Road '!AB18)</f>
        <v>2331</v>
      </c>
      <c r="AC23" s="52">
        <f>SUM('Red Hill Dinch Road '!AC18)</f>
        <v>2270</v>
      </c>
      <c r="AD23" s="52">
        <f>SUM('Red Hill Dinch Road '!AD18)</f>
        <v>3755</v>
      </c>
      <c r="AE23" s="52">
        <f>SUM('Red Hill Dinch Road '!AE18)</f>
        <v>3397</v>
      </c>
      <c r="AF23" s="52">
        <f>SUM('Red Hill Dinch Road '!AF18)</f>
        <v>2257</v>
      </c>
      <c r="AG23" s="52">
        <f>SUM('Red Hill Dinch Road '!AG18)</f>
        <v>1929</v>
      </c>
      <c r="AH23" s="52">
        <f>SUM('Red Hill Dinch Road '!AH18)</f>
        <v>1886</v>
      </c>
      <c r="AI23" s="52">
        <f>SUM('Red Hill Dinch Road '!AI18)</f>
        <v>200</v>
      </c>
      <c r="AJ23" s="52">
        <f>SUM('Red Hill Dinch Road '!AJ18)</f>
        <v>0</v>
      </c>
      <c r="AK23" s="52">
        <f>SUM('Red Hill Dinch Road '!AK18)</f>
        <v>0</v>
      </c>
      <c r="AL23" s="52">
        <f>SUM('Red Hill Dinch Road '!AL18)</f>
        <v>0</v>
      </c>
      <c r="AM23" s="52">
        <f>SUM('Red Hill Dinch Road '!AM18)</f>
        <v>0</v>
      </c>
      <c r="AN23" s="52">
        <f>SUM('Red Hill Dinch Road '!AN18)</f>
        <v>0</v>
      </c>
      <c r="AO23" s="52">
        <f>SUM('Red Hill Dinch Road '!AO18)</f>
        <v>0</v>
      </c>
      <c r="AP23" s="52">
        <f>SUM('Red Hill Dinch Road '!AP18)</f>
        <v>0</v>
      </c>
      <c r="AQ23" s="52">
        <f>SUM('Red Hill Dinch Road '!AQ18)</f>
        <v>0</v>
      </c>
      <c r="AR23" s="52">
        <f>SUM('Red Hill Dinch Road '!AR18)</f>
        <v>0</v>
      </c>
      <c r="AS23" s="52">
        <f>SUM('Red Hill Dinch Road '!AS18)</f>
        <v>0</v>
      </c>
      <c r="AT23" s="52">
        <f>SUM('Red Hill Dinch Road '!AT18)</f>
        <v>0</v>
      </c>
      <c r="AU23" s="52">
        <f>SUM('Red Hill Dinch Road '!AU18)</f>
        <v>0</v>
      </c>
      <c r="AV23" s="52">
        <f>SUM('Red Hill Dinch Road '!AV18)</f>
        <v>0</v>
      </c>
      <c r="AW23" s="52">
        <f>SUM('Red Hill Dinch Road '!AW18)</f>
        <v>0</v>
      </c>
      <c r="AX23" s="52">
        <f>SUM('Red Hill Dinch Road '!AX18)</f>
        <v>0</v>
      </c>
      <c r="AY23" s="52">
        <f>SUM('Red Hill Dinch Road '!AY18)</f>
        <v>0</v>
      </c>
      <c r="AZ23" s="52">
        <f>SUM('Red Hill Dinch Road '!AZ18)</f>
        <v>0</v>
      </c>
      <c r="BB23" s="1"/>
      <c r="BJ23" t="e">
        <f t="shared" si="231"/>
        <v>#DIV/0!</v>
      </c>
      <c r="BK23" t="e">
        <f t="shared" si="232"/>
        <v>#DIV/0!</v>
      </c>
      <c r="BL23">
        <f t="shared" si="233"/>
        <v>636</v>
      </c>
      <c r="BM23">
        <f t="shared" si="234"/>
        <v>617.5</v>
      </c>
      <c r="BN23">
        <f t="shared" si="235"/>
        <v>730</v>
      </c>
      <c r="BO23">
        <f t="shared" si="236"/>
        <v>731.5</v>
      </c>
      <c r="BP23">
        <f t="shared" si="237"/>
        <v>743.4</v>
      </c>
      <c r="BQ23">
        <f t="shared" si="238"/>
        <v>766</v>
      </c>
      <c r="BR23">
        <f t="shared" si="239"/>
        <v>766</v>
      </c>
      <c r="BS23">
        <f t="shared" si="240"/>
        <v>766</v>
      </c>
      <c r="BT23">
        <f t="shared" si="241"/>
        <v>839.28571428571433</v>
      </c>
      <c r="BU23">
        <f t="shared" si="242"/>
        <v>839.28571428571433</v>
      </c>
      <c r="BV23">
        <f t="shared" si="243"/>
        <v>899.57142857142856</v>
      </c>
      <c r="BW23">
        <f t="shared" si="244"/>
        <v>962.14285714285711</v>
      </c>
      <c r="BX23">
        <f t="shared" si="245"/>
        <v>1072.4285714285713</v>
      </c>
      <c r="BY23">
        <f t="shared" si="246"/>
        <v>1225.4285714285713</v>
      </c>
      <c r="BZ23">
        <f t="shared" si="247"/>
        <v>1429.8571428571429</v>
      </c>
      <c r="CA23">
        <f t="shared" si="248"/>
        <v>1637.2857142857142</v>
      </c>
      <c r="CB23">
        <f t="shared" si="249"/>
        <v>1716.375</v>
      </c>
      <c r="CC23">
        <f t="shared" si="250"/>
        <v>1942.8888888888889</v>
      </c>
      <c r="CD23">
        <f t="shared" si="251"/>
        <v>2178.2222222222222</v>
      </c>
      <c r="CE23">
        <f t="shared" si="252"/>
        <v>2186.1</v>
      </c>
      <c r="CF23">
        <f t="shared" si="253"/>
        <v>2273.1999999999998</v>
      </c>
      <c r="CG23">
        <f t="shared" si="254"/>
        <v>2358.1</v>
      </c>
      <c r="CH23">
        <f t="shared" si="255"/>
        <v>2205.4</v>
      </c>
      <c r="CI23">
        <f t="shared" si="256"/>
        <v>2249.6666666666665</v>
      </c>
      <c r="CJ23">
        <f t="shared" si="257"/>
        <v>2253.125</v>
      </c>
      <c r="CK23">
        <f t="shared" si="258"/>
        <v>2242</v>
      </c>
      <c r="CL23">
        <f t="shared" si="259"/>
        <v>2237.3333333333335</v>
      </c>
      <c r="CM23">
        <f t="shared" si="260"/>
        <v>1933.8</v>
      </c>
      <c r="CN23">
        <f t="shared" si="261"/>
        <v>1568</v>
      </c>
      <c r="CO23">
        <f t="shared" si="262"/>
        <v>1338.3333333333333</v>
      </c>
      <c r="CP23">
        <f t="shared" si="263"/>
        <v>1043</v>
      </c>
      <c r="CQ23">
        <f t="shared" si="264"/>
        <v>200</v>
      </c>
      <c r="CR23" t="e">
        <f t="shared" si="265"/>
        <v>#DIV/0!</v>
      </c>
      <c r="CS23" t="e">
        <f t="shared" si="266"/>
        <v>#DIV/0!</v>
      </c>
      <c r="CT23" t="e">
        <f t="shared" si="267"/>
        <v>#DIV/0!</v>
      </c>
      <c r="CU23" t="e">
        <f t="shared" si="268"/>
        <v>#DIV/0!</v>
      </c>
      <c r="CV23" t="e">
        <f t="shared" si="269"/>
        <v>#DIV/0!</v>
      </c>
      <c r="CW23" t="e">
        <f t="shared" si="270"/>
        <v>#DIV/0!</v>
      </c>
      <c r="CX23" t="e">
        <f t="shared" si="271"/>
        <v>#DIV/0!</v>
      </c>
      <c r="CY23" t="e">
        <f t="shared" si="272"/>
        <v>#DIV/0!</v>
      </c>
    </row>
    <row r="24" spans="1:103" s="10" customFormat="1" ht="20" customHeight="1" x14ac:dyDescent="0.2">
      <c r="A24" s="48" t="s">
        <v>59</v>
      </c>
      <c r="B24" s="54">
        <f>SUM(Vernooy!B18)</f>
        <v>1389</v>
      </c>
      <c r="C24" s="54">
        <f>SUM(Vernooy!C18)</f>
        <v>828</v>
      </c>
      <c r="D24" s="54">
        <f>SUM(Vernooy!D18)</f>
        <v>1419</v>
      </c>
      <c r="E24" s="54">
        <f>SUM(Vernooy!E18)</f>
        <v>1892</v>
      </c>
      <c r="F24" s="54">
        <f>SUM(Vernooy!F18)</f>
        <v>2212</v>
      </c>
      <c r="G24" s="54">
        <f>SUM(Vernooy!G18)</f>
        <v>1948</v>
      </c>
      <c r="H24" s="54">
        <f>SUM(Vernooy!H18)</f>
        <v>2078</v>
      </c>
      <c r="I24" s="54">
        <f>SUM(Vernooy!I18)</f>
        <v>2305</v>
      </c>
      <c r="J24" s="54">
        <f>SUM(Vernooy!J18)</f>
        <v>2420</v>
      </c>
      <c r="K24" s="54">
        <f>SUM(Vernooy!K18)</f>
        <v>1495</v>
      </c>
      <c r="L24" s="54">
        <f>SUM(Vernooy!L18)</f>
        <v>1723</v>
      </c>
      <c r="M24" s="54">
        <f>SUM(Vernooy!M18)</f>
        <v>1426</v>
      </c>
      <c r="N24" s="54">
        <f>SUM(Vernooy!N18)</f>
        <v>1453</v>
      </c>
      <c r="O24" s="54">
        <f>SUM(Vernooy!O18)</f>
        <v>1507</v>
      </c>
      <c r="P24" s="54">
        <f>SUM(Vernooy!P18)</f>
        <v>1532</v>
      </c>
      <c r="Q24" s="54">
        <f>SUM(Vernooy!Q18)</f>
        <v>1818</v>
      </c>
      <c r="R24" s="54">
        <f>SUM(Vernooy!R18)</f>
        <v>2220</v>
      </c>
      <c r="S24" s="54"/>
      <c r="T24" s="54"/>
      <c r="U24" s="54">
        <f>SUM(Vernooy!U18)</f>
        <v>836</v>
      </c>
      <c r="V24" s="54"/>
      <c r="W24" s="54">
        <f>SUM(Vernooy!W18)</f>
        <v>1851</v>
      </c>
      <c r="X24" s="54">
        <f>SUM(Vernooy!X18)</f>
        <v>1912</v>
      </c>
      <c r="Y24" s="54">
        <f>SUM(Vernooy!Y18)</f>
        <v>2061</v>
      </c>
      <c r="Z24" s="54">
        <f>SUM(Vernooy!Z18)</f>
        <v>2252</v>
      </c>
      <c r="AA24" s="54">
        <f>SUM(Vernooy!AA18)</f>
        <v>3441</v>
      </c>
      <c r="AB24" s="54">
        <f>SUM(Vernooy!AB18)</f>
        <v>3872</v>
      </c>
      <c r="AC24" s="54">
        <f>SUM(Vernooy!AC18)</f>
        <v>3492</v>
      </c>
      <c r="AD24" s="54">
        <f>SUM(Vernooy!AD18)</f>
        <v>3170</v>
      </c>
      <c r="AE24" s="54">
        <f>SUM(Vernooy!AE18)</f>
        <v>3511.3333333333335</v>
      </c>
      <c r="AF24" s="54">
        <f>SUM(Vernooy!AF18)</f>
        <v>0</v>
      </c>
      <c r="AG24" s="54">
        <f>SUM(Vernooy!AG18)</f>
        <v>1025</v>
      </c>
      <c r="AH24" s="54">
        <f>SUM(Vernooy!AH18)</f>
        <v>0</v>
      </c>
      <c r="AI24" s="54">
        <f>SUM(Vernooy!AI18)</f>
        <v>0</v>
      </c>
      <c r="AJ24" s="54">
        <f>SUM(Vernooy!AJ18)</f>
        <v>0</v>
      </c>
      <c r="AK24" s="54">
        <f>SUM(Vernooy!AK18)</f>
        <v>0</v>
      </c>
      <c r="AL24" s="54">
        <f>SUM(Vernooy!AL18)</f>
        <v>0</v>
      </c>
      <c r="AM24" s="54">
        <f>SUM(Vernooy!AM18)</f>
        <v>0</v>
      </c>
      <c r="AN24" s="54">
        <f>SUM(Vernooy!AN18)</f>
        <v>0</v>
      </c>
      <c r="AO24" s="54">
        <f>SUM(Vernooy!AO18)</f>
        <v>0</v>
      </c>
      <c r="AP24" s="54">
        <f>SUM(Vernooy!AP18)</f>
        <v>0</v>
      </c>
      <c r="AQ24" s="54">
        <f>SUM(Vernooy!AQ18)</f>
        <v>0</v>
      </c>
      <c r="AR24" s="54">
        <f>SUM(Vernooy!AR18)</f>
        <v>0</v>
      </c>
      <c r="AS24" s="54">
        <f>SUM(Vernooy!AS18)</f>
        <v>0</v>
      </c>
      <c r="AT24" s="54">
        <f>SUM(Vernooy!AT18)</f>
        <v>0</v>
      </c>
      <c r="AU24" s="54">
        <f>SUM(Vernooy!AU18)</f>
        <v>0</v>
      </c>
      <c r="AV24" s="54">
        <f>SUM(Vernooy!AV18)</f>
        <v>0</v>
      </c>
      <c r="AW24" s="54">
        <f>SUM(Vernooy!AW18)</f>
        <v>0</v>
      </c>
      <c r="AX24" s="54">
        <f>SUM(Vernooy!AX18)</f>
        <v>0</v>
      </c>
      <c r="AY24" s="54">
        <f>SUM(Vernooy!AY18)</f>
        <v>0</v>
      </c>
      <c r="AZ24" s="54">
        <f>SUM(Vernooy!AZ18)</f>
        <v>0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e">
        <v>#N/A</v>
      </c>
      <c r="BI24" t="e">
        <v>#N/A</v>
      </c>
      <c r="BJ24">
        <f t="shared" si="231"/>
        <v>1798.6</v>
      </c>
      <c r="BK24">
        <f t="shared" si="232"/>
        <v>1832</v>
      </c>
      <c r="BL24">
        <f t="shared" si="233"/>
        <v>1891.8</v>
      </c>
      <c r="BM24">
        <f t="shared" si="234"/>
        <v>1895.2</v>
      </c>
      <c r="BN24">
        <f t="shared" si="235"/>
        <v>1856.7</v>
      </c>
      <c r="BO24">
        <f t="shared" si="236"/>
        <v>1788.7</v>
      </c>
      <c r="BP24">
        <f t="shared" si="237"/>
        <v>1775.7</v>
      </c>
      <c r="BQ24">
        <f t="shared" si="238"/>
        <v>1789.9</v>
      </c>
      <c r="BR24">
        <f t="shared" si="239"/>
        <v>1732.6666666666667</v>
      </c>
      <c r="BS24">
        <f t="shared" si="240"/>
        <v>1646.75</v>
      </c>
      <c r="BT24">
        <f t="shared" si="241"/>
        <v>1564.375</v>
      </c>
      <c r="BU24">
        <f t="shared" si="242"/>
        <v>1541.7142857142858</v>
      </c>
      <c r="BV24">
        <f t="shared" si="243"/>
        <v>1602.4285714285713</v>
      </c>
      <c r="BW24">
        <f t="shared" si="244"/>
        <v>1668</v>
      </c>
      <c r="BX24">
        <f t="shared" si="245"/>
        <v>1747.1428571428571</v>
      </c>
      <c r="BY24">
        <f t="shared" si="246"/>
        <v>1850</v>
      </c>
      <c r="BZ24">
        <f t="shared" si="247"/>
        <v>2081.8571428571427</v>
      </c>
      <c r="CA24">
        <f t="shared" si="248"/>
        <v>2317.8571428571427</v>
      </c>
      <c r="CB24">
        <f t="shared" si="249"/>
        <v>2464.625</v>
      </c>
      <c r="CC24">
        <f t="shared" si="250"/>
        <v>2543</v>
      </c>
      <c r="CD24">
        <f t="shared" si="251"/>
        <v>2840.2592592592591</v>
      </c>
      <c r="CE24">
        <f t="shared" si="252"/>
        <v>2840.2592592592591</v>
      </c>
      <c r="CF24">
        <f t="shared" si="253"/>
        <v>2748.4814814814813</v>
      </c>
      <c r="CG24">
        <f t="shared" si="254"/>
        <v>2853.0416666666665</v>
      </c>
      <c r="CH24">
        <f t="shared" si="255"/>
        <v>2966.1904761904761</v>
      </c>
      <c r="CI24">
        <f t="shared" si="256"/>
        <v>3085.2222222222222</v>
      </c>
      <c r="CJ24">
        <f t="shared" si="257"/>
        <v>3014.0666666666666</v>
      </c>
      <c r="CK24">
        <f t="shared" si="258"/>
        <v>2799.5833333333335</v>
      </c>
      <c r="CL24">
        <f t="shared" si="259"/>
        <v>2568.7777777777778</v>
      </c>
      <c r="CM24">
        <f t="shared" si="260"/>
        <v>2268.166666666667</v>
      </c>
      <c r="CN24">
        <f t="shared" si="261"/>
        <v>1025</v>
      </c>
      <c r="CO24">
        <f t="shared" si="262"/>
        <v>1025</v>
      </c>
      <c r="CP24" t="e">
        <f t="shared" si="263"/>
        <v>#DIV/0!</v>
      </c>
      <c r="CQ24" t="e">
        <f t="shared" si="264"/>
        <v>#DIV/0!</v>
      </c>
      <c r="CR24" t="e">
        <f t="shared" si="265"/>
        <v>#DIV/0!</v>
      </c>
      <c r="CS24" t="e">
        <f t="shared" si="266"/>
        <v>#DIV/0!</v>
      </c>
      <c r="CT24" t="e">
        <f t="shared" si="267"/>
        <v>#DIV/0!</v>
      </c>
      <c r="CU24" t="e">
        <f t="shared" si="268"/>
        <v>#DIV/0!</v>
      </c>
      <c r="CV24" t="e">
        <f t="shared" si="269"/>
        <v>#DIV/0!</v>
      </c>
      <c r="CW24" t="e">
        <f t="shared" si="270"/>
        <v>#DIV/0!</v>
      </c>
      <c r="CX24" t="e">
        <f t="shared" si="271"/>
        <v>#DIV/0!</v>
      </c>
      <c r="CY24" t="e">
        <f t="shared" si="272"/>
        <v>#DIV/0!</v>
      </c>
    </row>
    <row r="25" spans="1:103" s="35" customFormat="1" ht="20" customHeight="1" x14ac:dyDescent="0.2">
      <c r="A25" s="70" t="s">
        <v>63</v>
      </c>
      <c r="B25" s="58">
        <f t="shared" ref="B25" si="273">SUM(B22:B24)</f>
        <v>1389</v>
      </c>
      <c r="C25" s="58">
        <f t="shared" ref="C25" si="274">SUM(C22:C24)</f>
        <v>828</v>
      </c>
      <c r="D25" s="58">
        <f t="shared" ref="D25" si="275">SUM(D22:D24)</f>
        <v>1419</v>
      </c>
      <c r="E25" s="58">
        <f t="shared" ref="E25" si="276">SUM(E22:E24)</f>
        <v>1892</v>
      </c>
      <c r="F25" s="58">
        <f t="shared" ref="F25" si="277">SUM(F22:F24)</f>
        <v>2212</v>
      </c>
      <c r="G25" s="58">
        <f t="shared" ref="G25" si="278">SUM(G22:G24)</f>
        <v>3222</v>
      </c>
      <c r="H25" s="58">
        <f t="shared" ref="H25" si="279">SUM(H22:H24)</f>
        <v>3783</v>
      </c>
      <c r="I25" s="58">
        <f t="shared" ref="I25:Y25" si="280">SUM(I22:I24)</f>
        <v>4446</v>
      </c>
      <c r="J25" s="58">
        <f t="shared" si="280"/>
        <v>3999</v>
      </c>
      <c r="K25" s="58">
        <f t="shared" si="280"/>
        <v>2956</v>
      </c>
      <c r="L25" s="58">
        <f t="shared" si="280"/>
        <v>3272</v>
      </c>
      <c r="M25" s="58">
        <f t="shared" si="280"/>
        <v>3951</v>
      </c>
      <c r="N25" s="58">
        <f t="shared" si="280"/>
        <v>3640</v>
      </c>
      <c r="O25" s="58">
        <f t="shared" si="280"/>
        <v>4165</v>
      </c>
      <c r="P25" s="58">
        <f t="shared" si="280"/>
        <v>3770</v>
      </c>
      <c r="Q25" s="58">
        <f>SUM(Q22:Q24)</f>
        <v>4515</v>
      </c>
      <c r="R25" s="58">
        <f t="shared" si="280"/>
        <v>4804</v>
      </c>
      <c r="S25" s="58"/>
      <c r="T25" s="58"/>
      <c r="U25" s="58">
        <f t="shared" si="280"/>
        <v>3659</v>
      </c>
      <c r="V25" s="58"/>
      <c r="W25" s="58">
        <f t="shared" si="280"/>
        <v>4800</v>
      </c>
      <c r="X25" s="58">
        <f t="shared" si="280"/>
        <v>4771</v>
      </c>
      <c r="Y25" s="58">
        <f t="shared" si="280"/>
        <v>5601</v>
      </c>
      <c r="Z25" s="58">
        <f>SUM(Z22:Z24)</f>
        <v>6044</v>
      </c>
      <c r="AA25" s="58">
        <f>SUM(AA22:AA24)</f>
        <v>7509</v>
      </c>
      <c r="AB25" s="58">
        <f>SUM(AB22:AB24)</f>
        <v>8254</v>
      </c>
      <c r="AC25" s="58">
        <f>SUM(AC22:AC24)</f>
        <v>7495</v>
      </c>
      <c r="AD25" s="58">
        <f t="shared" ref="AD25:AZ25" si="281">SUM(AD22:AD24)</f>
        <v>8752</v>
      </c>
      <c r="AE25" s="58">
        <f t="shared" si="281"/>
        <v>9445.3333333333339</v>
      </c>
      <c r="AF25" s="58">
        <f t="shared" si="281"/>
        <v>4086</v>
      </c>
      <c r="AG25" s="58">
        <f t="shared" si="281"/>
        <v>4514</v>
      </c>
      <c r="AH25" s="58">
        <f t="shared" si="281"/>
        <v>3262</v>
      </c>
      <c r="AI25" s="58">
        <f t="shared" si="281"/>
        <v>1715</v>
      </c>
      <c r="AJ25" s="58">
        <f t="shared" si="281"/>
        <v>1117</v>
      </c>
      <c r="AK25" s="58">
        <f t="shared" si="281"/>
        <v>0</v>
      </c>
      <c r="AL25" s="58">
        <f t="shared" si="281"/>
        <v>0</v>
      </c>
      <c r="AM25" s="58">
        <f t="shared" si="281"/>
        <v>0</v>
      </c>
      <c r="AN25" s="58">
        <f t="shared" si="281"/>
        <v>0</v>
      </c>
      <c r="AO25" s="58">
        <f t="shared" si="281"/>
        <v>0</v>
      </c>
      <c r="AP25" s="58">
        <f t="shared" si="281"/>
        <v>0</v>
      </c>
      <c r="AQ25" s="58">
        <f t="shared" si="281"/>
        <v>0</v>
      </c>
      <c r="AR25" s="58">
        <f t="shared" si="281"/>
        <v>0</v>
      </c>
      <c r="AS25" s="58">
        <f t="shared" si="281"/>
        <v>0</v>
      </c>
      <c r="AT25" s="58">
        <f t="shared" si="281"/>
        <v>0</v>
      </c>
      <c r="AU25" s="58">
        <f t="shared" si="281"/>
        <v>0</v>
      </c>
      <c r="AV25" s="58">
        <f t="shared" si="281"/>
        <v>0</v>
      </c>
      <c r="AW25" s="58">
        <f t="shared" si="281"/>
        <v>0</v>
      </c>
      <c r="AX25" s="58">
        <f t="shared" si="281"/>
        <v>0</v>
      </c>
      <c r="AY25" s="58">
        <f t="shared" si="281"/>
        <v>0</v>
      </c>
      <c r="AZ25" s="58">
        <f t="shared" si="281"/>
        <v>0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>
        <f t="shared" si="231"/>
        <v>2614.6</v>
      </c>
      <c r="BK25">
        <f t="shared" si="232"/>
        <v>2802.9</v>
      </c>
      <c r="BL25">
        <f t="shared" si="233"/>
        <v>3115.2</v>
      </c>
      <c r="BM25">
        <f t="shared" si="234"/>
        <v>3337.3</v>
      </c>
      <c r="BN25">
        <f t="shared" si="235"/>
        <v>3564.6</v>
      </c>
      <c r="BO25">
        <f t="shared" si="236"/>
        <v>3720.4</v>
      </c>
      <c r="BP25">
        <f t="shared" si="237"/>
        <v>3849.7</v>
      </c>
      <c r="BQ25">
        <f t="shared" si="238"/>
        <v>3951.8</v>
      </c>
      <c r="BR25">
        <f t="shared" si="239"/>
        <v>3896.8888888888887</v>
      </c>
      <c r="BS25">
        <f t="shared" si="240"/>
        <v>3884.125</v>
      </c>
      <c r="BT25">
        <f t="shared" si="241"/>
        <v>3972</v>
      </c>
      <c r="BU25">
        <f t="shared" si="242"/>
        <v>4072</v>
      </c>
      <c r="BV25">
        <f t="shared" si="243"/>
        <v>4193.2857142857147</v>
      </c>
      <c r="BW25">
        <f t="shared" si="244"/>
        <v>4354.8571428571431</v>
      </c>
      <c r="BX25">
        <f t="shared" si="245"/>
        <v>4560</v>
      </c>
      <c r="BY25">
        <f t="shared" si="246"/>
        <v>4884.8571428571431</v>
      </c>
      <c r="BZ25">
        <f t="shared" si="247"/>
        <v>5312.5714285714284</v>
      </c>
      <c r="CA25">
        <f t="shared" si="248"/>
        <v>5805.4285714285716</v>
      </c>
      <c r="CB25">
        <f t="shared" si="249"/>
        <v>6016.625</v>
      </c>
      <c r="CC25">
        <f t="shared" si="250"/>
        <v>6320.5555555555557</v>
      </c>
      <c r="CD25">
        <f t="shared" si="251"/>
        <v>6963.4814814814818</v>
      </c>
      <c r="CE25">
        <f t="shared" si="252"/>
        <v>6675.7333333333345</v>
      </c>
      <c r="CF25">
        <f t="shared" si="253"/>
        <v>6647.1333333333341</v>
      </c>
      <c r="CG25">
        <f t="shared" si="254"/>
        <v>6496.2333333333336</v>
      </c>
      <c r="CH25">
        <f t="shared" si="255"/>
        <v>6107.6333333333332</v>
      </c>
      <c r="CI25">
        <f t="shared" si="256"/>
        <v>5614.9333333333334</v>
      </c>
      <c r="CJ25">
        <f t="shared" si="257"/>
        <v>5404.4814814814818</v>
      </c>
      <c r="CK25">
        <f t="shared" si="258"/>
        <v>5048.291666666667</v>
      </c>
      <c r="CL25">
        <f t="shared" si="259"/>
        <v>4698.7619047619055</v>
      </c>
      <c r="CM25">
        <f t="shared" si="260"/>
        <v>4023.2222222222226</v>
      </c>
      <c r="CN25">
        <f t="shared" si="261"/>
        <v>2938.8</v>
      </c>
      <c r="CO25">
        <f t="shared" si="262"/>
        <v>2652</v>
      </c>
      <c r="CP25">
        <f t="shared" si="263"/>
        <v>2031.3333333333333</v>
      </c>
      <c r="CQ25">
        <f t="shared" si="264"/>
        <v>1416</v>
      </c>
      <c r="CR25">
        <f t="shared" si="265"/>
        <v>1117</v>
      </c>
      <c r="CS25" t="e">
        <f t="shared" si="266"/>
        <v>#DIV/0!</v>
      </c>
      <c r="CT25" t="e">
        <f t="shared" si="267"/>
        <v>#DIV/0!</v>
      </c>
      <c r="CU25" t="e">
        <f t="shared" si="268"/>
        <v>#DIV/0!</v>
      </c>
      <c r="CV25" t="e">
        <f t="shared" si="269"/>
        <v>#DIV/0!</v>
      </c>
      <c r="CW25" t="e">
        <f t="shared" si="270"/>
        <v>#DIV/0!</v>
      </c>
      <c r="CX25" t="e">
        <f t="shared" si="271"/>
        <v>#DIV/0!</v>
      </c>
      <c r="CY25" t="e">
        <f t="shared" si="272"/>
        <v>#DIV/0!</v>
      </c>
    </row>
    <row r="26" spans="1:103" s="10" customFormat="1" ht="20" customHeight="1" x14ac:dyDescent="0.2">
      <c r="A26" s="9"/>
      <c r="B26" s="39"/>
      <c r="C26" s="39"/>
      <c r="D26" s="39"/>
      <c r="E26" s="39"/>
      <c r="F26" s="39"/>
      <c r="G26" s="39"/>
      <c r="H26" s="43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5"/>
      <c r="V26" s="55"/>
      <c r="W26" s="55"/>
      <c r="X26" s="55"/>
      <c r="Y26" s="55"/>
      <c r="Z26" s="55"/>
      <c r="AA26" s="55"/>
      <c r="AB26" s="55"/>
      <c r="BB26" s="11"/>
    </row>
    <row r="27" spans="1:103" ht="20" customHeight="1" x14ac:dyDescent="0.2">
      <c r="A27" s="7" t="s">
        <v>14</v>
      </c>
      <c r="B27" s="40"/>
      <c r="C27" s="40"/>
      <c r="D27" s="40"/>
      <c r="E27" s="40"/>
      <c r="F27" s="40"/>
      <c r="G27" s="40"/>
      <c r="H27" s="44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3"/>
      <c r="V27" s="53"/>
      <c r="W27" s="53"/>
      <c r="X27" s="53"/>
      <c r="Y27" s="53"/>
      <c r="Z27" s="53"/>
      <c r="AA27" s="53"/>
      <c r="AB27" s="53"/>
      <c r="AC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B27" s="1"/>
      <c r="BC27" s="6"/>
      <c r="BD27" s="6"/>
      <c r="BF27" s="6"/>
      <c r="BG27" s="6"/>
      <c r="BH27" s="6"/>
    </row>
    <row r="28" spans="1:103" s="10" customFormat="1" ht="20" customHeight="1" x14ac:dyDescent="0.2">
      <c r="A28" s="48" t="s">
        <v>60</v>
      </c>
      <c r="B28" s="54"/>
      <c r="C28" s="54"/>
      <c r="D28" s="54"/>
      <c r="E28" s="54">
        <f>SUM(Flynn!E18)</f>
        <v>229</v>
      </c>
      <c r="F28" s="54">
        <f>SUM(Flynn!F18)</f>
        <v>376</v>
      </c>
      <c r="G28" s="54">
        <f>SUM(Flynn!G18)</f>
        <v>432</v>
      </c>
      <c r="H28" s="54">
        <f>SUM(Flynn!H18)</f>
        <v>639</v>
      </c>
      <c r="I28" s="54">
        <f>SUM(Flynn!I18)</f>
        <v>592</v>
      </c>
      <c r="J28" s="54">
        <f>SUM(Flynn!J18)</f>
        <v>610</v>
      </c>
      <c r="K28" s="54">
        <f>SUM(Flynn!K18)</f>
        <v>502</v>
      </c>
      <c r="L28" s="54">
        <f>SUM(Flynn!L18)</f>
        <v>408</v>
      </c>
      <c r="M28" s="54">
        <f>SUM(Flynn!M18)</f>
        <v>471</v>
      </c>
      <c r="N28" s="54">
        <f>SUM(Flynn!N18)</f>
        <v>355</v>
      </c>
      <c r="O28" s="54">
        <f>SUM(Flynn!O18)</f>
        <v>353</v>
      </c>
      <c r="P28" s="54">
        <f>SUM(Flynn!P18)</f>
        <v>441</v>
      </c>
      <c r="Q28" s="54">
        <f>SUM(Flynn!Q18)</f>
        <v>372</v>
      </c>
      <c r="R28" s="54">
        <f>SUM(Flynn!R18)</f>
        <v>430</v>
      </c>
      <c r="S28" s="54"/>
      <c r="T28" s="54"/>
      <c r="U28" s="54"/>
      <c r="V28" s="54"/>
      <c r="W28" s="54">
        <f>SUM(Flynn!W18)</f>
        <v>396</v>
      </c>
      <c r="X28" s="54">
        <f>SUM(Flynn!X18)</f>
        <v>356</v>
      </c>
      <c r="Y28" s="54">
        <f>SUM(Flynn!Y18)</f>
        <v>470</v>
      </c>
      <c r="Z28" s="54">
        <f>SUM(Flynn!Z18)</f>
        <v>588</v>
      </c>
      <c r="AA28" s="54">
        <f>SUM(Flynn!AA18)</f>
        <v>640</v>
      </c>
      <c r="AB28" s="54">
        <f>SUM(Flynn!AB18)</f>
        <v>888</v>
      </c>
      <c r="AC28" s="54">
        <f>SUM(Flynn!AC18)</f>
        <v>897</v>
      </c>
      <c r="AD28" s="54">
        <f>SUM(Flynn!AD18)</f>
        <v>853</v>
      </c>
      <c r="AE28" s="54">
        <f>SUM(Flynn!AE18)</f>
        <v>966</v>
      </c>
      <c r="AF28" s="54">
        <f>SUM(Flynn!AF18)</f>
        <v>641</v>
      </c>
      <c r="AG28" s="54">
        <f>SUM(Flynn!AG18)</f>
        <v>547</v>
      </c>
      <c r="AH28" s="54">
        <f>SUM(Flynn!AH18)</f>
        <v>483</v>
      </c>
      <c r="AI28" s="54">
        <f>SUM(Flynn!AI18)</f>
        <v>270</v>
      </c>
      <c r="AJ28" s="54">
        <f>SUM(Flynn!AJ18)</f>
        <v>0</v>
      </c>
      <c r="AK28" s="54">
        <f>SUM(Flynn!AK18)</f>
        <v>0</v>
      </c>
      <c r="AL28" s="54">
        <f>SUM(Flynn!AL18)</f>
        <v>0</v>
      </c>
      <c r="AM28" s="54">
        <f>SUM(Flynn!AM18)</f>
        <v>0</v>
      </c>
      <c r="AN28" s="54">
        <f>SUM(Flynn!AN18)</f>
        <v>0</v>
      </c>
      <c r="AO28" s="54">
        <f>SUM(Flynn!AO18)</f>
        <v>0</v>
      </c>
      <c r="AP28" s="54">
        <f>SUM(Flynn!AP18)</f>
        <v>0</v>
      </c>
      <c r="AQ28" s="54">
        <f>SUM(Flynn!AQ18)</f>
        <v>0</v>
      </c>
      <c r="AR28" s="54">
        <f>SUM(Flynn!AR18)</f>
        <v>0</v>
      </c>
      <c r="AS28" s="54">
        <f>SUM(Flynn!AS18)</f>
        <v>0</v>
      </c>
      <c r="AT28" s="54">
        <f>SUM(Flynn!AT18)</f>
        <v>0</v>
      </c>
      <c r="AU28" s="54">
        <f>SUM(Flynn!AU18)</f>
        <v>0</v>
      </c>
      <c r="AV28" s="54">
        <f>SUM(Flynn!AV18)</f>
        <v>0</v>
      </c>
      <c r="AW28" s="54">
        <f>SUM(Flynn!AW18)</f>
        <v>0</v>
      </c>
      <c r="AX28" s="54">
        <f>SUM(Flynn!AX18)</f>
        <v>0</v>
      </c>
      <c r="AY28" s="54">
        <f>SUM(Flynn!AY18)</f>
        <v>0</v>
      </c>
      <c r="AZ28" s="54">
        <f>SUM(Flynn!AZ18)</f>
        <v>0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>
        <f t="shared" ref="BJ28" si="282">AVERAGEIF(B28:K28,"&gt;0")</f>
        <v>482.85714285714283</v>
      </c>
      <c r="BK28">
        <f t="shared" ref="BK28" si="283">AVERAGEIF(C28:L28,"&gt;0")</f>
        <v>473.5</v>
      </c>
      <c r="BL28">
        <f t="shared" ref="BL28" si="284">AVERAGEIF(D28:M28,"&gt;0")</f>
        <v>473.22222222222223</v>
      </c>
      <c r="BM28">
        <f t="shared" ref="BM28" si="285">AVERAGEIF(E28:N28,"&gt;0")</f>
        <v>461.4</v>
      </c>
      <c r="BN28">
        <f t="shared" ref="BN28" si="286">AVERAGEIF(F28:O28,"&gt;0")</f>
        <v>473.8</v>
      </c>
      <c r="BO28">
        <f t="shared" ref="BO28" si="287">AVERAGEIF(G28:P28,"&gt;0")</f>
        <v>480.3</v>
      </c>
      <c r="BP28">
        <f t="shared" ref="BP28" si="288">AVERAGEIF(H28:Q28,"&gt;0")</f>
        <v>474.3</v>
      </c>
      <c r="BQ28">
        <f t="shared" ref="BQ28" si="289">AVERAGEIF(I28:R28,"&gt;0")</f>
        <v>453.4</v>
      </c>
      <c r="BR28">
        <f t="shared" ref="BR28" si="290">AVERAGEIF(J28:S28,"&gt;0")</f>
        <v>438</v>
      </c>
      <c r="BS28">
        <f t="shared" ref="BS28" si="291">AVERAGEIF(K28:T28,"&gt;0")</f>
        <v>416.5</v>
      </c>
      <c r="BT28">
        <f t="shared" ref="BT28" si="292">AVERAGEIF(L28:U28,"&gt;0")</f>
        <v>404.28571428571428</v>
      </c>
      <c r="BU28">
        <f t="shared" ref="BU28" si="293">AVERAGEIF(M28:V28,"&gt;0")</f>
        <v>403.66666666666669</v>
      </c>
      <c r="BV28">
        <f t="shared" ref="BV28" si="294">AVERAGEIF(N28:W28,"&gt;0")</f>
        <v>391.16666666666669</v>
      </c>
      <c r="BW28">
        <f t="shared" ref="BW28" si="295">AVERAGEIF(O28:X28,"&gt;0")</f>
        <v>391.33333333333331</v>
      </c>
      <c r="BX28">
        <f t="shared" ref="BX28" si="296">AVERAGEIF(P28:Y28,"&gt;0")</f>
        <v>410.83333333333331</v>
      </c>
      <c r="BY28">
        <f t="shared" ref="BY28" si="297">AVERAGEIF(Q28:Z28,"&gt;0")</f>
        <v>435.33333333333331</v>
      </c>
      <c r="BZ28">
        <f t="shared" ref="BZ28" si="298">AVERAGEIF(R28:AA28,"&gt;0")</f>
        <v>480</v>
      </c>
      <c r="CA28">
        <f t="shared" ref="CA28" si="299">AVERAGEIF(S28:AB28,"&gt;0")</f>
        <v>556.33333333333337</v>
      </c>
      <c r="CB28">
        <f t="shared" ref="CB28" si="300">AVERAGEIF(T28:AC28,"&gt;0")</f>
        <v>605</v>
      </c>
      <c r="CC28">
        <f t="shared" ref="CC28" si="301">AVERAGEIF(U28:AD28,"&gt;0")</f>
        <v>636</v>
      </c>
      <c r="CD28">
        <f t="shared" ref="CD28" si="302">AVERAGEIF(V28:AE28,"&gt;0")</f>
        <v>672.66666666666663</v>
      </c>
      <c r="CE28">
        <f t="shared" ref="CE28" si="303">AVERAGEIF(W28:AF28,"&gt;0")</f>
        <v>669.5</v>
      </c>
      <c r="CF28">
        <f t="shared" ref="CF28" si="304">AVERAGEIF(X28:AG28,"&gt;0")</f>
        <v>684.6</v>
      </c>
      <c r="CG28">
        <f t="shared" ref="CG28" si="305">AVERAGEIF(Y28:AH28,"&gt;0")</f>
        <v>697.3</v>
      </c>
      <c r="CH28">
        <f t="shared" ref="CH28" si="306">AVERAGEIF(Z28:AI28,"&gt;0")</f>
        <v>677.3</v>
      </c>
      <c r="CI28">
        <f t="shared" ref="CI28" si="307">AVERAGEIF(AA28:AJ28,"&gt;0")</f>
        <v>687.22222222222217</v>
      </c>
      <c r="CJ28">
        <f t="shared" ref="CJ28" si="308">AVERAGEIF(AB28:AK28,"&gt;0")</f>
        <v>693.125</v>
      </c>
      <c r="CK28">
        <f t="shared" ref="CK28" si="309">AVERAGEIF(AC28:AL28,"&gt;0")</f>
        <v>665.28571428571433</v>
      </c>
      <c r="CL28">
        <f t="shared" ref="CL28" si="310">AVERAGEIF(AD28:AM28,"&gt;0")</f>
        <v>626.66666666666663</v>
      </c>
      <c r="CM28">
        <f t="shared" ref="CM28" si="311">AVERAGEIF(AE28:AN28,"&gt;0")</f>
        <v>581.4</v>
      </c>
      <c r="CN28">
        <f t="shared" ref="CN28" si="312">AVERAGEIF(AF28:AO28,"&gt;0")</f>
        <v>485.25</v>
      </c>
      <c r="CO28">
        <f t="shared" ref="CO28" si="313">AVERAGEIF(AG28:AP28,"&gt;0")</f>
        <v>433.33333333333331</v>
      </c>
      <c r="CP28">
        <f t="shared" ref="CP28" si="314">AVERAGEIF(AH28:AQ28,"&gt;0")</f>
        <v>376.5</v>
      </c>
      <c r="CQ28">
        <f t="shared" ref="CQ28" si="315">AVERAGEIF(AI28:AR28,"&gt;0")</f>
        <v>270</v>
      </c>
      <c r="CR28" t="e">
        <f t="shared" ref="CR28" si="316">AVERAGEIF(AJ28:AS28,"&gt;0")</f>
        <v>#DIV/0!</v>
      </c>
      <c r="CS28" t="e">
        <f t="shared" ref="CS28" si="317">AVERAGEIF(AK28:AT28,"&gt;0")</f>
        <v>#DIV/0!</v>
      </c>
      <c r="CT28" t="e">
        <f t="shared" ref="CT28" si="318">AVERAGEIF(AL28:AU28,"&gt;0")</f>
        <v>#DIV/0!</v>
      </c>
      <c r="CU28" t="e">
        <f t="shared" ref="CU28" si="319">AVERAGEIF(AM28:AV28,"&gt;0")</f>
        <v>#DIV/0!</v>
      </c>
      <c r="CV28" t="e">
        <f t="shared" ref="CV28" si="320">AVERAGEIF(AN28:AW28,"&gt;0")</f>
        <v>#DIV/0!</v>
      </c>
      <c r="CW28" t="e">
        <f t="shared" ref="CW28" si="321">AVERAGEIF(AO28:AX28,"&gt;0")</f>
        <v>#DIV/0!</v>
      </c>
      <c r="CX28" t="e">
        <f t="shared" ref="CX28" si="322">AVERAGEIF(AP28:AY28,"&gt;0")</f>
        <v>#DIV/0!</v>
      </c>
      <c r="CY28" t="e">
        <f t="shared" ref="CY28" si="323">AVERAGEIF(AQ28:AZ28,"&gt;0")</f>
        <v>#DIV/0!</v>
      </c>
    </row>
    <row r="29" spans="1:103" ht="20" customHeight="1" x14ac:dyDescent="0.2">
      <c r="A29" s="49" t="s">
        <v>25</v>
      </c>
      <c r="B29" s="52">
        <f>SUM('Frick Pond'!B18)</f>
        <v>43</v>
      </c>
      <c r="C29" s="52">
        <f>SUM('Frick Pond'!C18)</f>
        <v>398</v>
      </c>
      <c r="D29" s="52">
        <f>SUM('Frick Pond'!D18)</f>
        <v>556</v>
      </c>
      <c r="E29" s="52">
        <f>SUM('Frick Pond'!E18)</f>
        <v>934</v>
      </c>
      <c r="F29" s="52">
        <f>SUM('Frick Pond'!F18)</f>
        <v>1418</v>
      </c>
      <c r="G29" s="52">
        <f>SUM('Frick Pond'!G18)</f>
        <v>1279</v>
      </c>
      <c r="H29" s="52">
        <f>SUM('Frick Pond'!H18)</f>
        <v>1526</v>
      </c>
      <c r="I29" s="52">
        <f>SUM('Frick Pond'!I18)</f>
        <v>1809</v>
      </c>
      <c r="J29" s="52">
        <f>SUM('Frick Pond'!J18)</f>
        <v>1517</v>
      </c>
      <c r="K29" s="52">
        <f>SUM('Frick Pond'!K18)</f>
        <v>1132</v>
      </c>
      <c r="L29" s="52">
        <f>SUM('Frick Pond'!L18)</f>
        <v>1153</v>
      </c>
      <c r="M29" s="52">
        <f>SUM('Frick Pond'!M18)</f>
        <v>980</v>
      </c>
      <c r="N29" s="52">
        <f>SUM('Frick Pond'!N18)</f>
        <v>773</v>
      </c>
      <c r="O29" s="52">
        <f>SUM('Frick Pond'!O18)</f>
        <v>720</v>
      </c>
      <c r="P29" s="52">
        <f>SUM('Frick Pond'!P18)</f>
        <v>879</v>
      </c>
      <c r="Q29" s="52">
        <f>SUM('Frick Pond'!Q18)</f>
        <v>692</v>
      </c>
      <c r="R29" s="52">
        <f>SUM('Frick Pond'!R18)</f>
        <v>763</v>
      </c>
      <c r="S29" s="52"/>
      <c r="T29" s="52"/>
      <c r="U29" s="52"/>
      <c r="V29" s="52"/>
      <c r="W29" s="52"/>
      <c r="X29" s="52">
        <f>SUM('Frick Pond'!X18)</f>
        <v>692</v>
      </c>
      <c r="Y29" s="52">
        <f>SUM('Frick Pond'!Y18)</f>
        <v>1095</v>
      </c>
      <c r="Z29" s="52">
        <f>SUM('Frick Pond'!Z18)</f>
        <v>1231</v>
      </c>
      <c r="AA29" s="52">
        <f>SUM('Frick Pond'!AA18)</f>
        <v>1575</v>
      </c>
      <c r="AB29" s="52">
        <f>SUM('Frick Pond'!AB18)</f>
        <v>1642</v>
      </c>
      <c r="AC29" s="52">
        <f>SUM('Frick Pond'!AC18)</f>
        <v>1391</v>
      </c>
      <c r="AD29" s="52">
        <f>SUM('Frick Pond'!AD18)</f>
        <v>1650</v>
      </c>
      <c r="AE29" s="52">
        <f>SUM('Frick Pond'!AE18)</f>
        <v>1909</v>
      </c>
      <c r="AF29" s="52">
        <f>SUM('Frick Pond'!AF18)</f>
        <v>1727</v>
      </c>
      <c r="AG29" s="52">
        <f>SUM('Frick Pond'!AG18)</f>
        <v>1432</v>
      </c>
      <c r="AH29" s="52">
        <f>SUM('Frick Pond'!AH18)</f>
        <v>1342</v>
      </c>
      <c r="AI29" s="52">
        <f>SUM('Frick Pond'!AI18)</f>
        <v>1066</v>
      </c>
      <c r="AJ29" s="52">
        <f>SUM('Frick Pond'!AJ18)</f>
        <v>0</v>
      </c>
      <c r="AK29" s="52">
        <f>SUM('Frick Pond'!AK18)</f>
        <v>0</v>
      </c>
      <c r="AL29" s="52">
        <f>SUM('Frick Pond'!AL18)</f>
        <v>0</v>
      </c>
      <c r="AM29" s="52">
        <f>SUM('Frick Pond'!AM18)</f>
        <v>0</v>
      </c>
      <c r="AN29" s="52">
        <f>SUM('Frick Pond'!AN18)</f>
        <v>0</v>
      </c>
      <c r="AO29" s="52">
        <f>SUM('Frick Pond'!AO18)</f>
        <v>0</v>
      </c>
      <c r="AP29" s="52">
        <f>SUM('Frick Pond'!AP18)</f>
        <v>0</v>
      </c>
      <c r="AQ29" s="52">
        <f>SUM('Frick Pond'!AQ18)</f>
        <v>0</v>
      </c>
      <c r="AR29" s="52">
        <f>SUM('Frick Pond'!AR18)</f>
        <v>0</v>
      </c>
      <c r="AS29" s="52">
        <f>SUM('Frick Pond'!AS18)</f>
        <v>0</v>
      </c>
      <c r="AT29" s="52">
        <f>SUM('Frick Pond'!AT18)</f>
        <v>0</v>
      </c>
      <c r="AU29" s="52">
        <f>SUM('Frick Pond'!AU18)</f>
        <v>0</v>
      </c>
      <c r="AV29" s="52">
        <f>SUM('Frick Pond'!AV18)</f>
        <v>0</v>
      </c>
      <c r="AW29" s="52">
        <f>SUM('Frick Pond'!AW18)</f>
        <v>0</v>
      </c>
      <c r="AX29" s="52">
        <f>SUM('Frick Pond'!AX18)</f>
        <v>0</v>
      </c>
      <c r="AY29" s="52">
        <f>SUM('Frick Pond'!AY18)</f>
        <v>0</v>
      </c>
      <c r="AZ29" s="52">
        <f>SUM('Frick Pond'!AZ18)</f>
        <v>0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>
        <f t="shared" ref="BJ29:BJ32" si="324">AVERAGEIF(B29:K29,"&gt;0")</f>
        <v>1061.2</v>
      </c>
      <c r="BK29">
        <f t="shared" ref="BK29:BK32" si="325">AVERAGEIF(C29:L29,"&gt;0")</f>
        <v>1172.2</v>
      </c>
      <c r="BL29">
        <f t="shared" ref="BL29:BL32" si="326">AVERAGEIF(D29:M29,"&gt;0")</f>
        <v>1230.4000000000001</v>
      </c>
      <c r="BM29">
        <f t="shared" ref="BM29:BM32" si="327">AVERAGEIF(E29:N29,"&gt;0")</f>
        <v>1252.0999999999999</v>
      </c>
      <c r="BN29">
        <f t="shared" ref="BN29:BN32" si="328">AVERAGEIF(F29:O29,"&gt;0")</f>
        <v>1230.7</v>
      </c>
      <c r="BO29">
        <f t="shared" ref="BO29:BO32" si="329">AVERAGEIF(G29:P29,"&gt;0")</f>
        <v>1176.8</v>
      </c>
      <c r="BP29">
        <f t="shared" ref="BP29:BP32" si="330">AVERAGEIF(H29:Q29,"&gt;0")</f>
        <v>1118.0999999999999</v>
      </c>
      <c r="BQ29">
        <f t="shared" ref="BQ29:BQ32" si="331">AVERAGEIF(I29:R29,"&gt;0")</f>
        <v>1041.8</v>
      </c>
      <c r="BR29">
        <f t="shared" ref="BR29:BR32" si="332">AVERAGEIF(J29:S29,"&gt;0")</f>
        <v>956.55555555555554</v>
      </c>
      <c r="BS29">
        <f t="shared" ref="BS29:BS32" si="333">AVERAGEIF(K29:T29,"&gt;0")</f>
        <v>886.5</v>
      </c>
      <c r="BT29">
        <f t="shared" ref="BT29:BT32" si="334">AVERAGEIF(L29:U29,"&gt;0")</f>
        <v>851.42857142857144</v>
      </c>
      <c r="BU29">
        <f t="shared" ref="BU29:BU32" si="335">AVERAGEIF(M29:V29,"&gt;0")</f>
        <v>801.16666666666663</v>
      </c>
      <c r="BV29">
        <f t="shared" ref="BV29:BV32" si="336">AVERAGEIF(N29:W29,"&gt;0")</f>
        <v>765.4</v>
      </c>
      <c r="BW29">
        <f t="shared" ref="BW29:BW32" si="337">AVERAGEIF(O29:X29,"&gt;0")</f>
        <v>749.2</v>
      </c>
      <c r="BX29">
        <f t="shared" ref="BX29:BX32" si="338">AVERAGEIF(P29:Y29,"&gt;0")</f>
        <v>824.2</v>
      </c>
      <c r="BY29">
        <f t="shared" ref="BY29:BY32" si="339">AVERAGEIF(Q29:Z29,"&gt;0")</f>
        <v>894.6</v>
      </c>
      <c r="BZ29">
        <f t="shared" ref="BZ29:BZ32" si="340">AVERAGEIF(R29:AA29,"&gt;0")</f>
        <v>1071.2</v>
      </c>
      <c r="CA29">
        <f t="shared" ref="CA29:CA32" si="341">AVERAGEIF(S29:AB29,"&gt;0")</f>
        <v>1247</v>
      </c>
      <c r="CB29">
        <f t="shared" ref="CB29:CB32" si="342">AVERAGEIF(T29:AC29,"&gt;0")</f>
        <v>1271</v>
      </c>
      <c r="CC29">
        <f t="shared" ref="CC29:CC32" si="343">AVERAGEIF(U29:AD29,"&gt;0")</f>
        <v>1325.1428571428571</v>
      </c>
      <c r="CD29">
        <f t="shared" ref="CD29:CD32" si="344">AVERAGEIF(V29:AE29,"&gt;0")</f>
        <v>1398.125</v>
      </c>
      <c r="CE29">
        <f t="shared" ref="CE29:CE32" si="345">AVERAGEIF(W29:AF29,"&gt;0")</f>
        <v>1434.6666666666667</v>
      </c>
      <c r="CF29">
        <f t="shared" ref="CF29:CF32" si="346">AVERAGEIF(X29:AG29,"&gt;0")</f>
        <v>1434.4</v>
      </c>
      <c r="CG29">
        <f t="shared" ref="CG29:CG32" si="347">AVERAGEIF(Y29:AH29,"&gt;0")</f>
        <v>1499.4</v>
      </c>
      <c r="CH29">
        <f t="shared" ref="CH29:CH32" si="348">AVERAGEIF(Z29:AI29,"&gt;0")</f>
        <v>1496.5</v>
      </c>
      <c r="CI29">
        <f t="shared" ref="CI29:CI32" si="349">AVERAGEIF(AA29:AJ29,"&gt;0")</f>
        <v>1526</v>
      </c>
      <c r="CJ29">
        <f t="shared" ref="CJ29:CJ32" si="350">AVERAGEIF(AB29:AK29,"&gt;0")</f>
        <v>1519.875</v>
      </c>
      <c r="CK29">
        <f t="shared" ref="CK29:CK32" si="351">AVERAGEIF(AC29:AL29,"&gt;0")</f>
        <v>1502.4285714285713</v>
      </c>
      <c r="CL29">
        <f t="shared" ref="CL29:CL32" si="352">AVERAGEIF(AD29:AM29,"&gt;0")</f>
        <v>1521</v>
      </c>
      <c r="CM29">
        <f t="shared" ref="CM29:CM32" si="353">AVERAGEIF(AE29:AN29,"&gt;0")</f>
        <v>1495.2</v>
      </c>
      <c r="CN29">
        <f t="shared" ref="CN29:CN32" si="354">AVERAGEIF(AF29:AO29,"&gt;0")</f>
        <v>1391.75</v>
      </c>
      <c r="CO29">
        <f t="shared" ref="CO29:CO32" si="355">AVERAGEIF(AG29:AP29,"&gt;0")</f>
        <v>1280</v>
      </c>
      <c r="CP29">
        <f t="shared" ref="CP29:CP32" si="356">AVERAGEIF(AH29:AQ29,"&gt;0")</f>
        <v>1204</v>
      </c>
      <c r="CQ29">
        <f t="shared" ref="CQ29:CQ32" si="357">AVERAGEIF(AI29:AR29,"&gt;0")</f>
        <v>1066</v>
      </c>
      <c r="CR29" t="e">
        <f t="shared" ref="CR29:CR32" si="358">AVERAGEIF(AJ29:AS29,"&gt;0")</f>
        <v>#DIV/0!</v>
      </c>
      <c r="CS29" t="e">
        <f t="shared" ref="CS29:CS32" si="359">AVERAGEIF(AK29:AT29,"&gt;0")</f>
        <v>#DIV/0!</v>
      </c>
      <c r="CT29" t="e">
        <f t="shared" ref="CT29:CT32" si="360">AVERAGEIF(AL29:AU29,"&gt;0")</f>
        <v>#DIV/0!</v>
      </c>
      <c r="CU29" t="e">
        <f t="shared" ref="CU29:CU32" si="361">AVERAGEIF(AM29:AV29,"&gt;0")</f>
        <v>#DIV/0!</v>
      </c>
      <c r="CV29" t="e">
        <f t="shared" ref="CV29:CV32" si="362">AVERAGEIF(AN29:AW29,"&gt;0")</f>
        <v>#DIV/0!</v>
      </c>
      <c r="CW29" t="e">
        <f t="shared" ref="CW29:CW32" si="363">AVERAGEIF(AO29:AX29,"&gt;0")</f>
        <v>#DIV/0!</v>
      </c>
      <c r="CX29" t="e">
        <f t="shared" ref="CX29:CX32" si="364">AVERAGEIF(AP29:AY29,"&gt;0")</f>
        <v>#DIV/0!</v>
      </c>
      <c r="CY29" t="e">
        <f t="shared" ref="CY29:CY32" si="365">AVERAGEIF(AQ29:AZ29,"&gt;0")</f>
        <v>#DIV/0!</v>
      </c>
    </row>
    <row r="30" spans="1:103" s="10" customFormat="1" ht="20" customHeight="1" x14ac:dyDescent="0.2">
      <c r="A30" s="48" t="s">
        <v>26</v>
      </c>
      <c r="B30" s="54">
        <f>SUM('Long Pond'!B18)</f>
        <v>511</v>
      </c>
      <c r="C30" s="54">
        <f>SUM('Long Pond'!C18)</f>
        <v>423</v>
      </c>
      <c r="D30" s="54">
        <f>SUM('Long Pond'!D18)</f>
        <v>592</v>
      </c>
      <c r="E30" s="54">
        <f>SUM('Long Pond'!E18)</f>
        <v>746</v>
      </c>
      <c r="F30" s="54">
        <f>SUM('Long Pond'!F18)</f>
        <v>685</v>
      </c>
      <c r="G30" s="54">
        <f>SUM('Long Pond'!G18)</f>
        <v>534</v>
      </c>
      <c r="H30" s="54">
        <f>SUM('Long Pond'!H18)</f>
        <v>565</v>
      </c>
      <c r="I30" s="54">
        <f>SUM('Long Pond'!I18)</f>
        <v>560</v>
      </c>
      <c r="J30" s="54">
        <f>SUM('Long Pond'!J18)</f>
        <v>543</v>
      </c>
      <c r="K30" s="54">
        <f>SUM('Long Pond'!K18)</f>
        <v>771</v>
      </c>
      <c r="L30" s="54">
        <f>SUM('Long Pond'!L18)</f>
        <v>536</v>
      </c>
      <c r="M30" s="54">
        <f>SUM('Long Pond'!M18)</f>
        <v>360</v>
      </c>
      <c r="N30" s="54">
        <f>SUM('Long Pond'!N18)</f>
        <v>300</v>
      </c>
      <c r="O30" s="54">
        <f>SUM('Long Pond'!O18)</f>
        <v>321</v>
      </c>
      <c r="P30" s="54">
        <f>SUM('Long Pond'!P18)</f>
        <v>371</v>
      </c>
      <c r="Q30" s="54">
        <f>SUM('Long Pond'!Q18)</f>
        <v>252</v>
      </c>
      <c r="R30" s="54">
        <f>SUM('Long Pond'!R18)</f>
        <v>331</v>
      </c>
      <c r="S30" s="54"/>
      <c r="T30" s="54"/>
      <c r="U30" s="54">
        <f>SUM('Long Pond'!U18)</f>
        <v>189</v>
      </c>
      <c r="V30" s="54"/>
      <c r="W30" s="54">
        <f>SUM('Long Pond'!W18)</f>
        <v>256</v>
      </c>
      <c r="X30" s="54">
        <f>SUM('Long Pond'!X18)</f>
        <v>327</v>
      </c>
      <c r="Y30" s="54">
        <f>SUM('Long Pond'!Y18)</f>
        <v>398</v>
      </c>
      <c r="Z30" s="54">
        <f>SUM('Long Pond'!Z18)</f>
        <v>306</v>
      </c>
      <c r="AA30" s="54">
        <f>SUM('Long Pond'!AA18)</f>
        <v>342</v>
      </c>
      <c r="AB30" s="54">
        <f>SUM('Long Pond'!AB18)</f>
        <v>284</v>
      </c>
      <c r="AC30" s="54">
        <f>SUM('Long Pond'!AC18)</f>
        <v>255</v>
      </c>
      <c r="AD30" s="54">
        <f>SUM('Long Pond'!AD18)</f>
        <v>351</v>
      </c>
      <c r="AE30" s="54">
        <f>SUM('Long Pond'!AE18)</f>
        <v>595</v>
      </c>
      <c r="AF30" s="54">
        <f>SUM('Long Pond'!AF18)</f>
        <v>442</v>
      </c>
      <c r="AG30" s="54">
        <f>SUM('Long Pond'!AG18)</f>
        <v>0</v>
      </c>
      <c r="AH30" s="54">
        <f>SUM('Long Pond'!AH18)</f>
        <v>0</v>
      </c>
      <c r="AI30" s="54">
        <f>SUM('Long Pond'!AI18)</f>
        <v>0</v>
      </c>
      <c r="AJ30" s="54">
        <f>SUM('Long Pond'!AJ18)</f>
        <v>0</v>
      </c>
      <c r="AK30" s="54">
        <f>SUM('Long Pond'!AK18)</f>
        <v>0</v>
      </c>
      <c r="AL30" s="54">
        <f>SUM('Long Pond'!AL18)</f>
        <v>0</v>
      </c>
      <c r="AM30" s="54">
        <f>SUM('Long Pond'!AM18)</f>
        <v>0</v>
      </c>
      <c r="AN30" s="54">
        <f>SUM('Long Pond'!AN18)</f>
        <v>0</v>
      </c>
      <c r="AO30" s="54">
        <f>SUM('Long Pond'!AO18)</f>
        <v>0</v>
      </c>
      <c r="AP30" s="54">
        <f>SUM('Long Pond'!AP18)</f>
        <v>0</v>
      </c>
      <c r="AQ30" s="54">
        <f>SUM('Long Pond'!AQ18)</f>
        <v>0</v>
      </c>
      <c r="AR30" s="54">
        <f>SUM('Long Pond'!AR18)</f>
        <v>0</v>
      </c>
      <c r="AS30" s="54">
        <f>SUM('Long Pond'!AS18)</f>
        <v>0</v>
      </c>
      <c r="AT30" s="54">
        <f>SUM('Long Pond'!AT18)</f>
        <v>0</v>
      </c>
      <c r="AU30" s="54">
        <f>SUM('Long Pond'!AU18)</f>
        <v>0</v>
      </c>
      <c r="AV30" s="54">
        <f>SUM('Long Pond'!AV18)</f>
        <v>0</v>
      </c>
      <c r="AW30" s="54">
        <f>SUM('Long Pond'!AW18)</f>
        <v>0</v>
      </c>
      <c r="AX30" s="54">
        <f>SUM('Long Pond'!AX18)</f>
        <v>0</v>
      </c>
      <c r="AY30" s="54">
        <f>SUM('Long Pond'!AY18)</f>
        <v>0</v>
      </c>
      <c r="AZ30" s="54">
        <f>SUM('Long Pond'!AZ18)</f>
        <v>0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>
        <f t="shared" si="324"/>
        <v>593</v>
      </c>
      <c r="BK30">
        <f t="shared" si="325"/>
        <v>595.5</v>
      </c>
      <c r="BL30">
        <f t="shared" si="326"/>
        <v>589.20000000000005</v>
      </c>
      <c r="BM30">
        <f t="shared" si="327"/>
        <v>560</v>
      </c>
      <c r="BN30">
        <f t="shared" si="328"/>
        <v>517.5</v>
      </c>
      <c r="BO30">
        <f t="shared" si="329"/>
        <v>486.1</v>
      </c>
      <c r="BP30">
        <f t="shared" si="330"/>
        <v>457.9</v>
      </c>
      <c r="BQ30">
        <f t="shared" si="331"/>
        <v>434.5</v>
      </c>
      <c r="BR30">
        <f t="shared" si="332"/>
        <v>420.55555555555554</v>
      </c>
      <c r="BS30">
        <f t="shared" si="333"/>
        <v>405.25</v>
      </c>
      <c r="BT30">
        <f t="shared" si="334"/>
        <v>332.5</v>
      </c>
      <c r="BU30">
        <f t="shared" si="335"/>
        <v>303.42857142857144</v>
      </c>
      <c r="BV30">
        <f t="shared" si="336"/>
        <v>288.57142857142856</v>
      </c>
      <c r="BW30">
        <f t="shared" si="337"/>
        <v>292.42857142857144</v>
      </c>
      <c r="BX30">
        <f t="shared" si="338"/>
        <v>303.42857142857144</v>
      </c>
      <c r="BY30">
        <f t="shared" si="339"/>
        <v>294.14285714285717</v>
      </c>
      <c r="BZ30">
        <f t="shared" si="340"/>
        <v>307</v>
      </c>
      <c r="CA30">
        <f t="shared" si="341"/>
        <v>300.28571428571428</v>
      </c>
      <c r="CB30">
        <f t="shared" si="342"/>
        <v>294.625</v>
      </c>
      <c r="CC30">
        <f t="shared" si="343"/>
        <v>300.88888888888891</v>
      </c>
      <c r="CD30">
        <f t="shared" si="344"/>
        <v>346</v>
      </c>
      <c r="CE30">
        <f t="shared" si="345"/>
        <v>355.6</v>
      </c>
      <c r="CF30">
        <f t="shared" si="346"/>
        <v>366.66666666666669</v>
      </c>
      <c r="CG30">
        <f t="shared" si="347"/>
        <v>371.625</v>
      </c>
      <c r="CH30">
        <f t="shared" si="348"/>
        <v>367.85714285714283</v>
      </c>
      <c r="CI30">
        <f t="shared" si="349"/>
        <v>378.16666666666669</v>
      </c>
      <c r="CJ30">
        <f t="shared" si="350"/>
        <v>385.4</v>
      </c>
      <c r="CK30">
        <f t="shared" si="351"/>
        <v>410.75</v>
      </c>
      <c r="CL30">
        <f t="shared" si="352"/>
        <v>462.66666666666669</v>
      </c>
      <c r="CM30">
        <f t="shared" si="353"/>
        <v>518.5</v>
      </c>
      <c r="CN30">
        <f t="shared" si="354"/>
        <v>442</v>
      </c>
      <c r="CO30" t="e">
        <f t="shared" si="355"/>
        <v>#DIV/0!</v>
      </c>
      <c r="CP30" t="e">
        <f t="shared" si="356"/>
        <v>#DIV/0!</v>
      </c>
      <c r="CQ30" t="e">
        <f t="shared" si="357"/>
        <v>#DIV/0!</v>
      </c>
      <c r="CR30" t="e">
        <f t="shared" si="358"/>
        <v>#DIV/0!</v>
      </c>
      <c r="CS30" t="e">
        <f t="shared" si="359"/>
        <v>#DIV/0!</v>
      </c>
      <c r="CT30" t="e">
        <f t="shared" si="360"/>
        <v>#DIV/0!</v>
      </c>
      <c r="CU30" t="e">
        <f t="shared" si="361"/>
        <v>#DIV/0!</v>
      </c>
      <c r="CV30" t="e">
        <f t="shared" si="362"/>
        <v>#DIV/0!</v>
      </c>
      <c r="CW30" t="e">
        <f t="shared" si="363"/>
        <v>#DIV/0!</v>
      </c>
      <c r="CX30" t="e">
        <f t="shared" si="364"/>
        <v>#DIV/0!</v>
      </c>
      <c r="CY30" t="e">
        <f t="shared" si="365"/>
        <v>#DIV/0!</v>
      </c>
    </row>
    <row r="31" spans="1:103" s="35" customFormat="1" ht="20" customHeight="1" x14ac:dyDescent="0.2">
      <c r="A31" s="70" t="s">
        <v>64</v>
      </c>
      <c r="B31" s="58">
        <f t="shared" ref="B31" si="366">SUM(B28:B30)</f>
        <v>554</v>
      </c>
      <c r="C31" s="58">
        <f t="shared" ref="C31" si="367">SUM(C28:C30)</f>
        <v>821</v>
      </c>
      <c r="D31" s="58">
        <f t="shared" ref="D31" si="368">SUM(D28:D30)</f>
        <v>1148</v>
      </c>
      <c r="E31" s="58">
        <f t="shared" ref="E31" si="369">SUM(E28:E30)</f>
        <v>1909</v>
      </c>
      <c r="F31" s="58">
        <f t="shared" ref="F31" si="370">SUM(F28:F30)</f>
        <v>2479</v>
      </c>
      <c r="G31" s="58">
        <f t="shared" ref="G31" si="371">SUM(G28:G30)</f>
        <v>2245</v>
      </c>
      <c r="H31" s="58">
        <f t="shared" ref="H31" si="372">SUM(H28:H30)</f>
        <v>2730</v>
      </c>
      <c r="I31" s="58">
        <f t="shared" ref="I31:AA31" si="373">SUM(I28:I30)</f>
        <v>2961</v>
      </c>
      <c r="J31" s="58">
        <f t="shared" si="373"/>
        <v>2670</v>
      </c>
      <c r="K31" s="58">
        <f t="shared" si="373"/>
        <v>2405</v>
      </c>
      <c r="L31" s="58">
        <f t="shared" si="373"/>
        <v>2097</v>
      </c>
      <c r="M31" s="58">
        <f t="shared" si="373"/>
        <v>1811</v>
      </c>
      <c r="N31" s="58">
        <f t="shared" si="373"/>
        <v>1428</v>
      </c>
      <c r="O31" s="58">
        <f t="shared" si="373"/>
        <v>1394</v>
      </c>
      <c r="P31" s="58">
        <f t="shared" si="373"/>
        <v>1691</v>
      </c>
      <c r="Q31" s="58">
        <f t="shared" si="373"/>
        <v>1316</v>
      </c>
      <c r="R31" s="58">
        <f t="shared" si="373"/>
        <v>1524</v>
      </c>
      <c r="S31" s="58"/>
      <c r="T31" s="58"/>
      <c r="U31" s="58">
        <f t="shared" si="373"/>
        <v>189</v>
      </c>
      <c r="V31" s="58"/>
      <c r="W31" s="58">
        <f t="shared" si="373"/>
        <v>652</v>
      </c>
      <c r="X31" s="58">
        <f t="shared" si="373"/>
        <v>1375</v>
      </c>
      <c r="Y31" s="58">
        <f t="shared" si="373"/>
        <v>1963</v>
      </c>
      <c r="Z31" s="58">
        <f t="shared" si="373"/>
        <v>2125</v>
      </c>
      <c r="AA31" s="58">
        <f t="shared" si="373"/>
        <v>2557</v>
      </c>
      <c r="AB31" s="58">
        <f t="shared" ref="AB31:AZ31" si="374">SUM(AB28:AB30)</f>
        <v>2814</v>
      </c>
      <c r="AC31" s="58">
        <f t="shared" si="374"/>
        <v>2543</v>
      </c>
      <c r="AD31" s="58">
        <f t="shared" si="374"/>
        <v>2854</v>
      </c>
      <c r="AE31" s="58">
        <f t="shared" si="374"/>
        <v>3470</v>
      </c>
      <c r="AF31" s="58">
        <f t="shared" si="374"/>
        <v>2810</v>
      </c>
      <c r="AG31" s="58">
        <f t="shared" si="374"/>
        <v>1979</v>
      </c>
      <c r="AH31" s="58">
        <f t="shared" si="374"/>
        <v>1825</v>
      </c>
      <c r="AI31" s="58">
        <f t="shared" si="374"/>
        <v>1336</v>
      </c>
      <c r="AJ31" s="58">
        <f t="shared" si="374"/>
        <v>0</v>
      </c>
      <c r="AK31" s="58">
        <f t="shared" si="374"/>
        <v>0</v>
      </c>
      <c r="AL31" s="58">
        <f t="shared" si="374"/>
        <v>0</v>
      </c>
      <c r="AM31" s="58">
        <f t="shared" si="374"/>
        <v>0</v>
      </c>
      <c r="AN31" s="58">
        <f t="shared" si="374"/>
        <v>0</v>
      </c>
      <c r="AO31" s="58">
        <f t="shared" si="374"/>
        <v>0</v>
      </c>
      <c r="AP31" s="58">
        <f t="shared" si="374"/>
        <v>0</v>
      </c>
      <c r="AQ31" s="58">
        <f t="shared" si="374"/>
        <v>0</v>
      </c>
      <c r="AR31" s="58">
        <f t="shared" si="374"/>
        <v>0</v>
      </c>
      <c r="AS31" s="58">
        <f t="shared" si="374"/>
        <v>0</v>
      </c>
      <c r="AT31" s="58">
        <f t="shared" si="374"/>
        <v>0</v>
      </c>
      <c r="AU31" s="58">
        <f t="shared" si="374"/>
        <v>0</v>
      </c>
      <c r="AV31" s="58">
        <f t="shared" si="374"/>
        <v>0</v>
      </c>
      <c r="AW31" s="58">
        <f t="shared" si="374"/>
        <v>0</v>
      </c>
      <c r="AX31" s="58">
        <f t="shared" si="374"/>
        <v>0</v>
      </c>
      <c r="AY31" s="58">
        <f t="shared" si="374"/>
        <v>0</v>
      </c>
      <c r="AZ31" s="58">
        <f t="shared" si="374"/>
        <v>0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>
        <f t="shared" si="324"/>
        <v>1992.2</v>
      </c>
      <c r="BK31">
        <f t="shared" si="325"/>
        <v>2146.5</v>
      </c>
      <c r="BL31">
        <f t="shared" si="326"/>
        <v>2245.5</v>
      </c>
      <c r="BM31">
        <f t="shared" si="327"/>
        <v>2273.5</v>
      </c>
      <c r="BN31">
        <f t="shared" si="328"/>
        <v>2222</v>
      </c>
      <c r="BO31">
        <f t="shared" si="329"/>
        <v>2143.1999999999998</v>
      </c>
      <c r="BP31">
        <f t="shared" si="330"/>
        <v>2050.3000000000002</v>
      </c>
      <c r="BQ31">
        <f t="shared" si="331"/>
        <v>1929.7</v>
      </c>
      <c r="BR31">
        <f t="shared" si="332"/>
        <v>1815.1111111111111</v>
      </c>
      <c r="BS31">
        <f t="shared" si="333"/>
        <v>1708.25</v>
      </c>
      <c r="BT31">
        <f t="shared" si="334"/>
        <v>1431.25</v>
      </c>
      <c r="BU31">
        <f t="shared" si="335"/>
        <v>1336.1428571428571</v>
      </c>
      <c r="BV31">
        <f t="shared" si="336"/>
        <v>1170.5714285714287</v>
      </c>
      <c r="BW31">
        <f t="shared" si="337"/>
        <v>1163</v>
      </c>
      <c r="BX31">
        <f t="shared" si="338"/>
        <v>1244.2857142857142</v>
      </c>
      <c r="BY31">
        <f t="shared" si="339"/>
        <v>1306.2857142857142</v>
      </c>
      <c r="BZ31">
        <f t="shared" si="340"/>
        <v>1483.5714285714287</v>
      </c>
      <c r="CA31">
        <f t="shared" si="341"/>
        <v>1667.8571428571429</v>
      </c>
      <c r="CB31">
        <f t="shared" si="342"/>
        <v>1777.25</v>
      </c>
      <c r="CC31">
        <f t="shared" si="343"/>
        <v>1896.8888888888889</v>
      </c>
      <c r="CD31">
        <f t="shared" si="344"/>
        <v>2261.4444444444443</v>
      </c>
      <c r="CE31">
        <f t="shared" si="345"/>
        <v>2316.3000000000002</v>
      </c>
      <c r="CF31">
        <f t="shared" si="346"/>
        <v>2449</v>
      </c>
      <c r="CG31">
        <f t="shared" si="347"/>
        <v>2494</v>
      </c>
      <c r="CH31">
        <f t="shared" si="348"/>
        <v>2431.3000000000002</v>
      </c>
      <c r="CI31">
        <f t="shared" si="349"/>
        <v>2465.3333333333335</v>
      </c>
      <c r="CJ31">
        <f t="shared" si="350"/>
        <v>2453.875</v>
      </c>
      <c r="CK31">
        <f t="shared" si="351"/>
        <v>2402.4285714285716</v>
      </c>
      <c r="CL31">
        <f t="shared" si="352"/>
        <v>2379</v>
      </c>
      <c r="CM31">
        <f t="shared" si="353"/>
        <v>2284</v>
      </c>
      <c r="CN31">
        <f t="shared" si="354"/>
        <v>1987.5</v>
      </c>
      <c r="CO31">
        <f t="shared" si="355"/>
        <v>1713.3333333333333</v>
      </c>
      <c r="CP31">
        <f t="shared" si="356"/>
        <v>1580.5</v>
      </c>
      <c r="CQ31">
        <f t="shared" si="357"/>
        <v>1336</v>
      </c>
      <c r="CR31" t="e">
        <f t="shared" si="358"/>
        <v>#DIV/0!</v>
      </c>
      <c r="CS31" t="e">
        <f t="shared" si="359"/>
        <v>#DIV/0!</v>
      </c>
      <c r="CT31" t="e">
        <f t="shared" si="360"/>
        <v>#DIV/0!</v>
      </c>
      <c r="CU31" t="e">
        <f t="shared" si="361"/>
        <v>#DIV/0!</v>
      </c>
      <c r="CV31" t="e">
        <f t="shared" si="362"/>
        <v>#DIV/0!</v>
      </c>
      <c r="CW31" t="e">
        <f t="shared" si="363"/>
        <v>#DIV/0!</v>
      </c>
      <c r="CX31" t="e">
        <f t="shared" si="364"/>
        <v>#DIV/0!</v>
      </c>
      <c r="CY31" t="e">
        <f t="shared" si="365"/>
        <v>#DIV/0!</v>
      </c>
    </row>
    <row r="32" spans="1:103" s="73" customFormat="1" ht="20" customHeight="1" x14ac:dyDescent="0.2">
      <c r="A32" s="71" t="s">
        <v>65</v>
      </c>
      <c r="B32" s="72">
        <f t="shared" ref="B32" si="375">SUM(B11+B14+B16+B18+B20+B25+B31)</f>
        <v>14971</v>
      </c>
      <c r="C32" s="72">
        <f t="shared" ref="C32" si="376">SUM(C11+C14+C16+C18+C20+C25+C31)</f>
        <v>12746</v>
      </c>
      <c r="D32" s="72">
        <f t="shared" ref="D32" si="377">SUM(D11+D14+D16+D18+D20+D25+D31)</f>
        <v>14295</v>
      </c>
      <c r="E32" s="72">
        <f t="shared" ref="E32" si="378">SUM(E11+E14+E16+E18+E20+E25+E31)</f>
        <v>18977</v>
      </c>
      <c r="F32" s="72">
        <f t="shared" ref="F32" si="379">SUM(F11+F14+F16+F18+F20+F25+F31)</f>
        <v>15535</v>
      </c>
      <c r="G32" s="72">
        <f t="shared" ref="G32" si="380">SUM(G11+G14+G16+G18+G20+G25+G31)</f>
        <v>15076</v>
      </c>
      <c r="H32" s="72">
        <f t="shared" ref="H32" si="381">SUM(H11+H14+H16+H18+H20+H25+H31)</f>
        <v>18387</v>
      </c>
      <c r="I32" s="72">
        <f t="shared" ref="I32:AA32" si="382">SUM(I11+I14+I16+I18+I20+I25+I31)</f>
        <v>21587</v>
      </c>
      <c r="J32" s="72">
        <f t="shared" si="382"/>
        <v>20001</v>
      </c>
      <c r="K32" s="72">
        <f t="shared" si="382"/>
        <v>17314</v>
      </c>
      <c r="L32" s="72">
        <f t="shared" si="382"/>
        <v>20046</v>
      </c>
      <c r="M32" s="72">
        <f t="shared" si="382"/>
        <v>20446</v>
      </c>
      <c r="N32" s="72">
        <f t="shared" si="382"/>
        <v>18596</v>
      </c>
      <c r="O32" s="72">
        <f t="shared" si="382"/>
        <v>20063</v>
      </c>
      <c r="P32" s="72">
        <f t="shared" si="382"/>
        <v>18644</v>
      </c>
      <c r="Q32" s="72">
        <f t="shared" si="382"/>
        <v>21724</v>
      </c>
      <c r="R32" s="72">
        <f t="shared" si="382"/>
        <v>23663</v>
      </c>
      <c r="S32" s="72"/>
      <c r="T32" s="72"/>
      <c r="U32" s="72">
        <f>SUM(U11+U14+U16+U18+U20+U25+U31)</f>
        <v>13357</v>
      </c>
      <c r="V32" s="72"/>
      <c r="W32" s="72">
        <f t="shared" si="382"/>
        <v>24511</v>
      </c>
      <c r="X32" s="72">
        <f t="shared" si="382"/>
        <v>23749</v>
      </c>
      <c r="Y32" s="72">
        <f t="shared" si="382"/>
        <v>30589</v>
      </c>
      <c r="Z32" s="72">
        <f t="shared" si="382"/>
        <v>35245</v>
      </c>
      <c r="AA32" s="72">
        <f t="shared" si="382"/>
        <v>37191.566666666666</v>
      </c>
      <c r="AB32" s="72">
        <f t="shared" ref="AB32:AZ32" si="383">SUM(AB11+AB14+AB16+AB18+AB20+AB25+AB31)</f>
        <v>43503</v>
      </c>
      <c r="AC32" s="72">
        <f t="shared" si="383"/>
        <v>40335</v>
      </c>
      <c r="AD32" s="72">
        <f t="shared" si="383"/>
        <v>43838.333333333336</v>
      </c>
      <c r="AE32" s="72">
        <f t="shared" si="383"/>
        <v>41039</v>
      </c>
      <c r="AF32" s="72">
        <f t="shared" si="383"/>
        <v>29901.333333333332</v>
      </c>
      <c r="AG32" s="72">
        <f t="shared" si="383"/>
        <v>29078.777777777777</v>
      </c>
      <c r="AH32" s="72">
        <f t="shared" si="383"/>
        <v>24816</v>
      </c>
      <c r="AI32" s="72">
        <f t="shared" si="383"/>
        <v>20466</v>
      </c>
      <c r="AJ32" s="72">
        <f t="shared" si="383"/>
        <v>7910</v>
      </c>
      <c r="AK32" s="72">
        <f t="shared" si="383"/>
        <v>0</v>
      </c>
      <c r="AL32" s="72">
        <f t="shared" si="383"/>
        <v>0</v>
      </c>
      <c r="AM32" s="72">
        <f t="shared" si="383"/>
        <v>0</v>
      </c>
      <c r="AN32" s="72">
        <f t="shared" si="383"/>
        <v>0</v>
      </c>
      <c r="AO32" s="72">
        <f t="shared" si="383"/>
        <v>0</v>
      </c>
      <c r="AP32" s="72">
        <f t="shared" si="383"/>
        <v>0</v>
      </c>
      <c r="AQ32" s="72">
        <f t="shared" si="383"/>
        <v>0</v>
      </c>
      <c r="AR32" s="72">
        <f t="shared" si="383"/>
        <v>0</v>
      </c>
      <c r="AS32" s="72">
        <f t="shared" si="383"/>
        <v>0</v>
      </c>
      <c r="AT32" s="72">
        <f t="shared" si="383"/>
        <v>0</v>
      </c>
      <c r="AU32" s="72">
        <f t="shared" si="383"/>
        <v>0</v>
      </c>
      <c r="AV32" s="72">
        <f t="shared" si="383"/>
        <v>0</v>
      </c>
      <c r="AW32" s="72">
        <f t="shared" si="383"/>
        <v>0</v>
      </c>
      <c r="AX32" s="72">
        <f t="shared" si="383"/>
        <v>0</v>
      </c>
      <c r="AY32" s="72">
        <f t="shared" si="383"/>
        <v>0</v>
      </c>
      <c r="AZ32" s="72">
        <f t="shared" si="383"/>
        <v>0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>
        <f t="shared" si="324"/>
        <v>16888.900000000001</v>
      </c>
      <c r="BK32">
        <f t="shared" si="325"/>
        <v>17396.400000000001</v>
      </c>
      <c r="BL32">
        <f t="shared" si="326"/>
        <v>18166.400000000001</v>
      </c>
      <c r="BM32">
        <f t="shared" si="327"/>
        <v>18596.5</v>
      </c>
      <c r="BN32">
        <f t="shared" si="328"/>
        <v>18705.099999999999</v>
      </c>
      <c r="BO32">
        <f t="shared" si="329"/>
        <v>19016</v>
      </c>
      <c r="BP32">
        <f t="shared" si="330"/>
        <v>19680.8</v>
      </c>
      <c r="BQ32">
        <f t="shared" si="331"/>
        <v>20208.400000000001</v>
      </c>
      <c r="BR32">
        <f t="shared" si="332"/>
        <v>20055.222222222223</v>
      </c>
      <c r="BS32">
        <f t="shared" si="333"/>
        <v>20062</v>
      </c>
      <c r="BT32">
        <f t="shared" si="334"/>
        <v>19567.375</v>
      </c>
      <c r="BU32">
        <f t="shared" si="335"/>
        <v>19499</v>
      </c>
      <c r="BV32">
        <f t="shared" si="336"/>
        <v>20079.714285714286</v>
      </c>
      <c r="BW32">
        <f t="shared" si="337"/>
        <v>20815.857142857141</v>
      </c>
      <c r="BX32">
        <f t="shared" si="338"/>
        <v>22319.571428571428</v>
      </c>
      <c r="BY32">
        <f t="shared" si="339"/>
        <v>24691.142857142859</v>
      </c>
      <c r="BZ32">
        <f t="shared" si="340"/>
        <v>26900.795238095237</v>
      </c>
      <c r="CA32">
        <f t="shared" si="341"/>
        <v>29735.080952380951</v>
      </c>
      <c r="CB32">
        <f t="shared" si="342"/>
        <v>31060.070833333331</v>
      </c>
      <c r="CC32">
        <f t="shared" si="343"/>
        <v>32479.877777777772</v>
      </c>
      <c r="CD32">
        <f t="shared" si="344"/>
        <v>35555.655555555553</v>
      </c>
      <c r="CE32">
        <f t="shared" si="345"/>
        <v>34990.223333333328</v>
      </c>
      <c r="CF32">
        <f t="shared" si="346"/>
        <v>35447.001111111109</v>
      </c>
      <c r="CG32">
        <f t="shared" si="347"/>
        <v>35553.701111111106</v>
      </c>
      <c r="CH32">
        <f t="shared" si="348"/>
        <v>34541.40111111111</v>
      </c>
      <c r="CI32">
        <f t="shared" si="349"/>
        <v>31807.90111111111</v>
      </c>
      <c r="CJ32">
        <f t="shared" si="350"/>
        <v>31209.716049382721</v>
      </c>
      <c r="CK32">
        <f t="shared" si="351"/>
        <v>29673.055555555558</v>
      </c>
      <c r="CL32">
        <f t="shared" si="352"/>
        <v>28149.920634920632</v>
      </c>
      <c r="CM32">
        <f t="shared" si="353"/>
        <v>25535.185185185186</v>
      </c>
      <c r="CN32">
        <f t="shared" si="354"/>
        <v>22434.422222222223</v>
      </c>
      <c r="CO32">
        <f t="shared" si="355"/>
        <v>20567.694444444445</v>
      </c>
      <c r="CP32">
        <f t="shared" si="356"/>
        <v>17730.666666666668</v>
      </c>
      <c r="CQ32">
        <f t="shared" si="357"/>
        <v>14188</v>
      </c>
      <c r="CR32">
        <f t="shared" si="358"/>
        <v>7910</v>
      </c>
      <c r="CS32" t="e">
        <f t="shared" si="359"/>
        <v>#DIV/0!</v>
      </c>
      <c r="CT32" t="e">
        <f t="shared" si="360"/>
        <v>#DIV/0!</v>
      </c>
      <c r="CU32" t="e">
        <f t="shared" si="361"/>
        <v>#DIV/0!</v>
      </c>
      <c r="CV32" t="e">
        <f t="shared" si="362"/>
        <v>#DIV/0!</v>
      </c>
      <c r="CW32" t="e">
        <f t="shared" si="363"/>
        <v>#DIV/0!</v>
      </c>
      <c r="CX32" t="e">
        <f t="shared" si="364"/>
        <v>#DIV/0!</v>
      </c>
      <c r="CY32" t="e">
        <f t="shared" si="365"/>
        <v>#DIV/0!</v>
      </c>
    </row>
    <row r="33" spans="1:60" ht="19.5" customHeight="1" x14ac:dyDescent="0.2">
      <c r="A33" s="143"/>
      <c r="B33" s="138"/>
      <c r="C33" s="138"/>
      <c r="D33" s="138"/>
      <c r="E33" s="138"/>
      <c r="F33" s="138"/>
      <c r="G33" s="138"/>
      <c r="H33" s="138"/>
      <c r="I33" s="144"/>
      <c r="J33" s="26"/>
      <c r="K33" s="38" t="s">
        <v>75</v>
      </c>
      <c r="L33" s="29"/>
      <c r="M33" s="29"/>
      <c r="N33" s="29"/>
      <c r="O33" s="29"/>
      <c r="P33" s="29"/>
      <c r="Q33" s="29"/>
      <c r="R33" s="38" t="s">
        <v>75</v>
      </c>
      <c r="S33" s="29"/>
      <c r="T33" s="29"/>
      <c r="U33" s="29"/>
      <c r="V33" s="29"/>
      <c r="W33" s="29"/>
      <c r="X33" s="29"/>
      <c r="Y33" s="29"/>
      <c r="Z33" s="38"/>
      <c r="AA33" s="38" t="s">
        <v>75</v>
      </c>
      <c r="AB33" s="38"/>
      <c r="AC33" s="38"/>
      <c r="AD33" s="29"/>
      <c r="AE33" s="29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B33" s="1"/>
    </row>
    <row r="34" spans="1:60" ht="20" customHeight="1" x14ac:dyDescent="0.2">
      <c r="A34" s="143"/>
      <c r="B34" s="138"/>
      <c r="C34" s="138"/>
      <c r="D34" s="138"/>
      <c r="E34" s="138"/>
      <c r="F34" s="138"/>
      <c r="G34" s="138"/>
      <c r="H34" s="138"/>
      <c r="I34" s="144"/>
      <c r="J34" s="9" t="s">
        <v>124</v>
      </c>
      <c r="K34" s="89">
        <v>2000</v>
      </c>
      <c r="L34" s="89">
        <v>2001</v>
      </c>
      <c r="M34" s="89">
        <v>2002</v>
      </c>
      <c r="N34" s="89">
        <v>2003</v>
      </c>
      <c r="O34" s="89">
        <v>2004</v>
      </c>
      <c r="P34" s="89">
        <v>2005</v>
      </c>
      <c r="Q34" s="89">
        <v>2006</v>
      </c>
      <c r="R34" s="89">
        <v>2007</v>
      </c>
      <c r="S34" s="89">
        <v>2008</v>
      </c>
      <c r="T34" s="89">
        <v>2009</v>
      </c>
      <c r="U34" s="89">
        <v>2010</v>
      </c>
      <c r="V34" s="89">
        <v>2011</v>
      </c>
      <c r="W34" s="89">
        <v>2012</v>
      </c>
      <c r="X34" s="89">
        <v>2013</v>
      </c>
      <c r="Y34" s="92">
        <v>2014</v>
      </c>
      <c r="Z34" s="89">
        <v>2015</v>
      </c>
      <c r="AA34" s="89">
        <v>2016</v>
      </c>
      <c r="AB34" s="89">
        <v>2017</v>
      </c>
      <c r="AC34" s="89">
        <v>2018</v>
      </c>
      <c r="AD34" s="89">
        <v>2019</v>
      </c>
      <c r="AE34" s="89">
        <v>2020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B34" s="1"/>
      <c r="BC34" s="6"/>
      <c r="BD34" s="6"/>
      <c r="BF34" s="6"/>
      <c r="BG34" s="6"/>
      <c r="BH34" s="6"/>
    </row>
    <row r="35" spans="1:60" ht="20" customHeight="1" x14ac:dyDescent="0.2">
      <c r="A35" s="143"/>
      <c r="B35" s="138"/>
      <c r="C35" s="138"/>
      <c r="D35" s="138"/>
      <c r="E35" s="138"/>
      <c r="F35" s="138"/>
      <c r="G35" s="138"/>
      <c r="H35" s="138"/>
      <c r="I35" s="144"/>
      <c r="J35" s="49" t="s">
        <v>16</v>
      </c>
      <c r="K35">
        <v>1348.4</v>
      </c>
      <c r="L35">
        <v>1371.5</v>
      </c>
      <c r="M35">
        <v>1472</v>
      </c>
      <c r="N35">
        <v>1518</v>
      </c>
      <c r="O35">
        <v>1579.4</v>
      </c>
      <c r="P35">
        <v>1586.6</v>
      </c>
      <c r="Q35">
        <v>1632.3</v>
      </c>
      <c r="R35">
        <v>1668.9</v>
      </c>
      <c r="S35">
        <v>1630.6666666666667</v>
      </c>
      <c r="T35">
        <v>1567.625</v>
      </c>
      <c r="U35">
        <v>1603.625</v>
      </c>
      <c r="V35">
        <v>1607.1428571428571</v>
      </c>
      <c r="W35">
        <v>1587.5714285714287</v>
      </c>
      <c r="X35">
        <v>1580.5</v>
      </c>
      <c r="Y35">
        <v>1610.8333333333333</v>
      </c>
      <c r="Z35">
        <v>1686.8333333333333</v>
      </c>
      <c r="AA35">
        <v>1865.1666666666667</v>
      </c>
      <c r="AB35">
        <v>1981.8333333333333</v>
      </c>
      <c r="AC35">
        <v>1992.7142857142858</v>
      </c>
      <c r="AD35">
        <v>2023.875</v>
      </c>
      <c r="AE35">
        <v>2113.375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B35" s="1"/>
    </row>
    <row r="36" spans="1:60" ht="20" customHeight="1" x14ac:dyDescent="0.2">
      <c r="A36" s="143"/>
      <c r="B36" s="138"/>
      <c r="C36" s="138"/>
      <c r="D36" s="138"/>
      <c r="E36" s="138"/>
      <c r="F36" s="138"/>
      <c r="G36" s="138"/>
      <c r="H36" s="138"/>
      <c r="I36" s="144"/>
      <c r="J36" s="48" t="s">
        <v>115</v>
      </c>
      <c r="K36">
        <v>850.71428571428567</v>
      </c>
      <c r="L36">
        <v>869.75</v>
      </c>
      <c r="M36">
        <v>872.55555555555554</v>
      </c>
      <c r="N36">
        <v>891.2</v>
      </c>
      <c r="O36">
        <v>930.1</v>
      </c>
      <c r="P36">
        <v>942.5</v>
      </c>
      <c r="Q36">
        <v>982.9</v>
      </c>
      <c r="R36">
        <v>1004.6</v>
      </c>
      <c r="S36">
        <v>996.66666666666663</v>
      </c>
      <c r="T36">
        <v>1003</v>
      </c>
      <c r="U36">
        <v>1059.75</v>
      </c>
      <c r="V36">
        <v>1067.8571428571429</v>
      </c>
      <c r="W36">
        <v>1174.4285714285713</v>
      </c>
      <c r="X36">
        <v>1193.6666666666667</v>
      </c>
      <c r="Y36">
        <v>1215.8333333333333</v>
      </c>
      <c r="Z36">
        <v>1274.6666666666667</v>
      </c>
      <c r="AA36">
        <v>1393.1666666666667</v>
      </c>
      <c r="AB36">
        <v>1432.8333333333333</v>
      </c>
      <c r="AC36">
        <v>1419.5714285714287</v>
      </c>
      <c r="AD36">
        <v>1507.5416666666667</v>
      </c>
      <c r="AE36">
        <v>1577.7916666666667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B36" s="1"/>
      <c r="BC36" s="6"/>
      <c r="BD36" s="6"/>
      <c r="BF36" s="6"/>
      <c r="BG36" s="6"/>
      <c r="BH36" s="6"/>
    </row>
    <row r="37" spans="1:60" ht="20" customHeight="1" x14ac:dyDescent="0.2">
      <c r="A37" s="143"/>
      <c r="B37" s="138"/>
      <c r="C37" s="138"/>
      <c r="D37" s="138"/>
      <c r="E37" s="138"/>
      <c r="F37" s="138"/>
      <c r="G37" s="138"/>
      <c r="H37" s="138"/>
      <c r="I37" s="144"/>
      <c r="J37" s="49" t="s">
        <v>114</v>
      </c>
      <c r="K37">
        <v>311.42857142857144</v>
      </c>
      <c r="L37">
        <v>301.25</v>
      </c>
      <c r="M37">
        <v>294.77777777777777</v>
      </c>
      <c r="N37">
        <v>281.5</v>
      </c>
      <c r="O37">
        <v>270.2</v>
      </c>
      <c r="P37">
        <v>255.8</v>
      </c>
      <c r="Q37">
        <v>239.8</v>
      </c>
      <c r="R37">
        <v>228</v>
      </c>
      <c r="S37">
        <v>223.22222222222223</v>
      </c>
      <c r="T37">
        <v>219</v>
      </c>
      <c r="U37">
        <v>201.875</v>
      </c>
      <c r="V37">
        <v>197.85714285714286</v>
      </c>
      <c r="W37">
        <v>200.28571428571428</v>
      </c>
      <c r="X37">
        <v>200.14285714285714</v>
      </c>
      <c r="Y37">
        <v>198.85714285714286</v>
      </c>
      <c r="Z37">
        <v>182.14285714285714</v>
      </c>
      <c r="AA37">
        <v>196.14285714285714</v>
      </c>
      <c r="AB37">
        <v>204.28571428571428</v>
      </c>
      <c r="AC37">
        <v>218.75</v>
      </c>
      <c r="AD37">
        <v>234.66666666666666</v>
      </c>
      <c r="AE37">
        <v>253.66666666666666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B37" s="1"/>
    </row>
    <row r="38" spans="1:60" ht="20" customHeight="1" x14ac:dyDescent="0.2">
      <c r="A38" s="143"/>
      <c r="B38" s="138"/>
      <c r="C38" s="138"/>
      <c r="D38" s="138"/>
      <c r="E38" s="138"/>
      <c r="F38" s="138"/>
      <c r="G38" s="138"/>
      <c r="H38" s="138"/>
      <c r="I38" s="144"/>
      <c r="J38" s="48" t="s">
        <v>15</v>
      </c>
      <c r="K38">
        <v>332.5</v>
      </c>
      <c r="L38">
        <v>355.1</v>
      </c>
      <c r="M38">
        <v>382</v>
      </c>
      <c r="N38">
        <v>410.8</v>
      </c>
      <c r="O38">
        <v>430.6</v>
      </c>
      <c r="P38">
        <v>455.6</v>
      </c>
      <c r="Q38">
        <v>486.4</v>
      </c>
      <c r="R38">
        <v>512.29999999999995</v>
      </c>
      <c r="S38">
        <v>525.55555555555554</v>
      </c>
      <c r="T38">
        <v>543.875</v>
      </c>
      <c r="U38">
        <v>605.5</v>
      </c>
      <c r="V38">
        <v>625.14285714285711</v>
      </c>
      <c r="W38">
        <v>676.14285714285711</v>
      </c>
      <c r="X38">
        <v>707.85714285714289</v>
      </c>
      <c r="Y38">
        <v>734.85714285714289</v>
      </c>
      <c r="Z38">
        <v>758.42857142857144</v>
      </c>
      <c r="AA38">
        <v>809</v>
      </c>
      <c r="AB38">
        <v>839.57142857142856</v>
      </c>
      <c r="AC38">
        <v>856.375</v>
      </c>
      <c r="AD38">
        <v>897.77777777777783</v>
      </c>
      <c r="AE38">
        <v>1019.7777777777778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B38" s="1"/>
    </row>
    <row r="39" spans="1:60" ht="20" customHeight="1" x14ac:dyDescent="0.2">
      <c r="A39" s="143"/>
      <c r="B39" s="138"/>
      <c r="C39" s="138"/>
      <c r="D39" s="138"/>
      <c r="E39" s="138"/>
      <c r="F39" s="138"/>
      <c r="G39" s="138"/>
      <c r="H39" s="138"/>
      <c r="I39" s="144"/>
      <c r="J39" s="49" t="s">
        <v>116</v>
      </c>
      <c r="K39">
        <v>1022.8</v>
      </c>
      <c r="L39">
        <v>1090.0999999999999</v>
      </c>
      <c r="M39">
        <v>1146.4000000000001</v>
      </c>
      <c r="N39">
        <v>1170.4000000000001</v>
      </c>
      <c r="O39">
        <v>1188.9000000000001</v>
      </c>
      <c r="P39">
        <v>1206.9000000000001</v>
      </c>
      <c r="Q39">
        <v>1259.5</v>
      </c>
      <c r="R39">
        <v>1285.0999999999999</v>
      </c>
      <c r="S39">
        <v>1298.1111111111111</v>
      </c>
      <c r="T39">
        <v>1290.5</v>
      </c>
      <c r="U39">
        <v>1240.5</v>
      </c>
      <c r="V39">
        <v>1198.5714285714287</v>
      </c>
      <c r="W39">
        <v>1189</v>
      </c>
      <c r="X39">
        <v>1264.8571428571429</v>
      </c>
      <c r="Y39">
        <v>1349.2857142857142</v>
      </c>
      <c r="Z39">
        <v>1475.1428571428571</v>
      </c>
      <c r="AA39">
        <v>1644.5714285714287</v>
      </c>
      <c r="AB39">
        <v>1814.8571428571429</v>
      </c>
      <c r="AC39">
        <v>1861.25</v>
      </c>
      <c r="AD39">
        <v>2022.8888888888889</v>
      </c>
      <c r="AE39">
        <v>2263.2222222222222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B39" s="1"/>
    </row>
    <row r="40" spans="1:60" ht="20" customHeight="1" x14ac:dyDescent="0.2">
      <c r="A40" s="143"/>
      <c r="B40" s="138"/>
      <c r="C40" s="138"/>
      <c r="D40" s="138"/>
      <c r="E40" s="138"/>
      <c r="F40" s="138"/>
      <c r="G40" s="138"/>
      <c r="H40" s="138"/>
      <c r="I40" s="144"/>
      <c r="J40" s="48" t="s">
        <v>113</v>
      </c>
      <c r="K40">
        <v>292.89999999999998</v>
      </c>
      <c r="L40">
        <v>291</v>
      </c>
      <c r="M40">
        <v>282.3</v>
      </c>
      <c r="N40">
        <v>259.60000000000002</v>
      </c>
      <c r="O40">
        <v>242.6</v>
      </c>
      <c r="P40">
        <v>231.8</v>
      </c>
      <c r="Q40">
        <v>222.4</v>
      </c>
      <c r="R40">
        <v>214.6</v>
      </c>
      <c r="S40">
        <v>202.66666666666666</v>
      </c>
      <c r="T40">
        <v>197.625</v>
      </c>
      <c r="U40">
        <v>184.57142857142858</v>
      </c>
      <c r="V40">
        <v>175.33333333333334</v>
      </c>
      <c r="W40">
        <v>179.6</v>
      </c>
      <c r="X40">
        <v>199.5</v>
      </c>
      <c r="Y40">
        <v>187.25</v>
      </c>
      <c r="Z40">
        <v>197.25</v>
      </c>
      <c r="AA40">
        <v>202.75</v>
      </c>
      <c r="AB40">
        <v>208.25</v>
      </c>
      <c r="AC40">
        <v>207.2</v>
      </c>
      <c r="AD40">
        <v>218.66666666666666</v>
      </c>
      <c r="AE40">
        <v>211.66666666666669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B40" s="1"/>
      <c r="BC40" s="6"/>
      <c r="BD40" s="6"/>
      <c r="BF40" s="6"/>
      <c r="BG40" s="6"/>
      <c r="BH40" s="6"/>
    </row>
    <row r="41" spans="1:60" ht="20" customHeight="1" x14ac:dyDescent="0.2">
      <c r="A41" s="143"/>
      <c r="B41" s="138"/>
      <c r="C41" s="138"/>
      <c r="D41" s="138"/>
      <c r="E41" s="138"/>
      <c r="F41" s="138"/>
      <c r="G41" s="138"/>
      <c r="H41" s="138"/>
      <c r="I41" s="144"/>
      <c r="J41" s="70" t="s">
        <v>62</v>
      </c>
      <c r="K41">
        <v>3810.1</v>
      </c>
      <c r="L41">
        <v>4044.5</v>
      </c>
      <c r="M41">
        <v>4333.3</v>
      </c>
      <c r="N41">
        <v>4531.5</v>
      </c>
      <c r="O41">
        <v>4641.8</v>
      </c>
      <c r="P41">
        <v>4679.2</v>
      </c>
      <c r="Q41">
        <v>4823.3</v>
      </c>
      <c r="R41">
        <v>4913.5</v>
      </c>
      <c r="S41">
        <v>4876.8888888888887</v>
      </c>
      <c r="T41">
        <v>4821.625</v>
      </c>
      <c r="U41">
        <v>4872.75</v>
      </c>
      <c r="V41">
        <v>4846.8571428571431</v>
      </c>
      <c r="W41">
        <v>4955.7142857142853</v>
      </c>
      <c r="X41">
        <v>4664.7142857142853</v>
      </c>
      <c r="Y41">
        <v>4812.8571428571431</v>
      </c>
      <c r="Z41">
        <v>5066.8571428571431</v>
      </c>
      <c r="AA41">
        <v>5558.4285714285716</v>
      </c>
      <c r="AB41">
        <v>5904.5714285714284</v>
      </c>
      <c r="AC41">
        <v>6051.625</v>
      </c>
      <c r="AD41">
        <v>6440.1481481481487</v>
      </c>
      <c r="AE41">
        <v>6982.333333333333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B41" s="1"/>
    </row>
    <row r="42" spans="1:60" ht="20" customHeight="1" x14ac:dyDescent="0.2">
      <c r="A42" s="143"/>
      <c r="B42" s="138"/>
      <c r="C42" s="138"/>
      <c r="D42" s="138"/>
      <c r="E42" s="138"/>
      <c r="F42" s="138"/>
      <c r="G42" s="138"/>
      <c r="H42" s="138"/>
      <c r="I42" s="144"/>
      <c r="J42" s="1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B42" s="1"/>
    </row>
    <row r="43" spans="1:60" ht="20" customHeight="1" x14ac:dyDescent="0.2">
      <c r="A43" s="143"/>
      <c r="B43" s="138"/>
      <c r="C43" s="138"/>
      <c r="D43" s="138"/>
      <c r="E43" s="138"/>
      <c r="F43" s="138"/>
      <c r="G43" s="138"/>
      <c r="H43" s="138"/>
      <c r="I43" s="144"/>
      <c r="J43" s="1" t="s">
        <v>28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B43" s="1"/>
    </row>
    <row r="44" spans="1:60" ht="20" customHeight="1" x14ac:dyDescent="0.2">
      <c r="A44" s="143"/>
      <c r="B44" s="138"/>
      <c r="C44" s="138"/>
      <c r="D44" s="138"/>
      <c r="E44" s="138"/>
      <c r="F44" s="138"/>
      <c r="G44" s="138"/>
      <c r="H44" s="138"/>
      <c r="I44" s="144"/>
      <c r="J44" s="10" t="s">
        <v>27</v>
      </c>
      <c r="K44" t="e">
        <v>#DIV/0!</v>
      </c>
      <c r="L44" t="e">
        <v>#DIV/0!</v>
      </c>
      <c r="M44">
        <v>567</v>
      </c>
      <c r="N44">
        <v>567</v>
      </c>
      <c r="O44">
        <v>567</v>
      </c>
      <c r="P44">
        <v>567</v>
      </c>
      <c r="Q44">
        <v>834.5</v>
      </c>
      <c r="R44">
        <v>1185.3333333333333</v>
      </c>
      <c r="S44">
        <v>1185.3333333333333</v>
      </c>
      <c r="T44">
        <v>1185.3333333333333</v>
      </c>
      <c r="U44">
        <v>1316.75</v>
      </c>
      <c r="V44">
        <v>1316.75</v>
      </c>
      <c r="W44">
        <v>1764.75</v>
      </c>
      <c r="X44">
        <v>1828.6</v>
      </c>
      <c r="Y44">
        <v>1859.8333333333333</v>
      </c>
      <c r="Z44">
        <v>2013.1428571428571</v>
      </c>
      <c r="AA44">
        <v>2351</v>
      </c>
      <c r="AB44">
        <v>2574.1428571428573</v>
      </c>
      <c r="AC44">
        <v>2650.375</v>
      </c>
      <c r="AD44">
        <v>2754.7777777777778</v>
      </c>
      <c r="AE44">
        <v>2943.2962962962965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B44" s="1"/>
      <c r="BC44" s="6"/>
      <c r="BD44" s="6"/>
      <c r="BF44" s="6"/>
      <c r="BG44" s="6"/>
      <c r="BH44" s="6"/>
    </row>
    <row r="45" spans="1:60" ht="20" customHeight="1" x14ac:dyDescent="0.2">
      <c r="A45" s="143"/>
      <c r="B45" s="138"/>
      <c r="C45" s="138"/>
      <c r="D45" s="138"/>
      <c r="E45" s="138"/>
      <c r="F45" s="138"/>
      <c r="G45" s="138"/>
      <c r="H45" s="138"/>
      <c r="I45" s="144"/>
      <c r="J45" s="7" t="s">
        <v>39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B45" s="1"/>
    </row>
    <row r="46" spans="1:60" ht="20" customHeight="1" x14ac:dyDescent="0.2">
      <c r="A46" s="143"/>
      <c r="B46" s="138"/>
      <c r="C46" s="138"/>
      <c r="D46" s="138"/>
      <c r="E46" s="138"/>
      <c r="F46" s="138"/>
      <c r="G46" s="138"/>
      <c r="H46" s="138"/>
      <c r="I46" s="144"/>
      <c r="J46" s="48" t="s">
        <v>56</v>
      </c>
      <c r="K46">
        <v>5043.6000000000004</v>
      </c>
      <c r="L46">
        <v>5346</v>
      </c>
      <c r="M46">
        <v>5714</v>
      </c>
      <c r="N46">
        <v>6081.7</v>
      </c>
      <c r="O46">
        <v>6261.5</v>
      </c>
      <c r="P46">
        <v>6378.1</v>
      </c>
      <c r="Q46">
        <v>6572.9</v>
      </c>
      <c r="R46">
        <v>6664.2</v>
      </c>
      <c r="S46">
        <v>6641.4444444444443</v>
      </c>
      <c r="T46">
        <v>6710.625</v>
      </c>
      <c r="U46">
        <v>6858.4285714285716</v>
      </c>
      <c r="V46">
        <v>6825.833333333333</v>
      </c>
      <c r="W46">
        <v>6962.166666666667</v>
      </c>
      <c r="X46">
        <v>7348.5</v>
      </c>
      <c r="Y46">
        <v>7982.833333333333</v>
      </c>
      <c r="Z46">
        <v>9077.5</v>
      </c>
      <c r="AA46">
        <v>9740.8888888888887</v>
      </c>
      <c r="AB46">
        <v>11299.722222222224</v>
      </c>
      <c r="AC46">
        <v>11812.333333333334</v>
      </c>
      <c r="AD46">
        <v>11931.041666666668</v>
      </c>
      <c r="AE46">
        <v>11617.259259259261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B46" s="1"/>
    </row>
    <row r="47" spans="1:60" ht="20" customHeight="1" x14ac:dyDescent="0.2">
      <c r="A47" s="143"/>
      <c r="B47" s="138"/>
      <c r="C47" s="138"/>
      <c r="D47" s="138"/>
      <c r="E47" s="138"/>
      <c r="F47" s="138"/>
      <c r="G47" s="138"/>
      <c r="H47" s="138"/>
      <c r="I47" s="144"/>
      <c r="J47" s="7" t="s">
        <v>41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B47" s="1"/>
    </row>
    <row r="48" spans="1:60" ht="20" customHeight="1" x14ac:dyDescent="0.2">
      <c r="A48" s="145"/>
      <c r="B48" s="145"/>
      <c r="C48" s="145"/>
      <c r="D48" s="139"/>
      <c r="E48" s="139"/>
      <c r="F48" s="139"/>
      <c r="G48" s="139"/>
      <c r="H48" s="139"/>
      <c r="I48" s="146"/>
      <c r="J48" s="48" t="s">
        <v>57</v>
      </c>
      <c r="K48">
        <v>1593.3</v>
      </c>
      <c r="L48">
        <v>1697.4</v>
      </c>
      <c r="M48">
        <v>1796.1</v>
      </c>
      <c r="N48">
        <v>1854.1</v>
      </c>
      <c r="O48">
        <v>1917</v>
      </c>
      <c r="P48">
        <v>1932.9</v>
      </c>
      <c r="Q48">
        <v>2043.9</v>
      </c>
      <c r="R48">
        <v>2137.1999999999998</v>
      </c>
      <c r="S48">
        <v>2144.8888888888887</v>
      </c>
      <c r="T48">
        <v>2172.375</v>
      </c>
      <c r="U48">
        <v>2311.375</v>
      </c>
      <c r="V48">
        <v>2274.5714285714284</v>
      </c>
      <c r="W48">
        <v>2318.2857142857142</v>
      </c>
      <c r="X48">
        <v>2403.8571428571427</v>
      </c>
      <c r="Y48">
        <v>2503.7142857142858</v>
      </c>
      <c r="Z48">
        <v>2736.8571428571427</v>
      </c>
      <c r="AA48">
        <v>2839.0476190476188</v>
      </c>
      <c r="AB48">
        <v>2941.6190476190473</v>
      </c>
      <c r="AC48">
        <v>3010.9166666666665</v>
      </c>
      <c r="AD48">
        <v>3191.3703703703704</v>
      </c>
      <c r="AE48">
        <v>3267.5185185185187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E48" s="1"/>
    </row>
    <row r="49" spans="1:52" ht="20" customHeight="1" x14ac:dyDescent="0.2">
      <c r="A49" s="145"/>
      <c r="B49" s="145"/>
      <c r="C49" s="145"/>
      <c r="D49" s="139"/>
      <c r="E49" s="139"/>
      <c r="F49" s="139"/>
      <c r="G49" s="139"/>
      <c r="H49" s="139"/>
      <c r="I49" s="146"/>
      <c r="J49" s="7" t="s">
        <v>29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ht="20" customHeight="1" x14ac:dyDescent="0.2">
      <c r="A50" s="145"/>
      <c r="B50" s="145"/>
      <c r="C50" s="145"/>
      <c r="D50" s="139"/>
      <c r="E50" s="139"/>
      <c r="F50" s="139"/>
      <c r="G50" s="139"/>
      <c r="H50" s="139"/>
      <c r="I50" s="146"/>
      <c r="J50" s="48" t="s">
        <v>30</v>
      </c>
      <c r="K50">
        <v>4587.75</v>
      </c>
      <c r="L50">
        <v>4530.333333333333</v>
      </c>
      <c r="M50">
        <v>4528</v>
      </c>
      <c r="N50">
        <v>4617</v>
      </c>
      <c r="O50">
        <v>415</v>
      </c>
      <c r="P50">
        <v>527.5</v>
      </c>
      <c r="Q50">
        <v>579.33333333333337</v>
      </c>
      <c r="R50">
        <v>641</v>
      </c>
      <c r="S50">
        <v>641</v>
      </c>
      <c r="T50">
        <v>641</v>
      </c>
      <c r="U50">
        <v>641</v>
      </c>
      <c r="V50">
        <v>641</v>
      </c>
      <c r="W50">
        <v>652.20000000000005</v>
      </c>
      <c r="X50">
        <v>728.66666666666663</v>
      </c>
      <c r="Y50">
        <v>889.16666666666663</v>
      </c>
      <c r="Z50">
        <v>1052.8333333333333</v>
      </c>
      <c r="AA50">
        <v>1174.6499999999999</v>
      </c>
      <c r="AB50">
        <v>1348.6499999999999</v>
      </c>
      <c r="AC50">
        <v>1391.4142857142856</v>
      </c>
      <c r="AD50">
        <v>1429.6125</v>
      </c>
      <c r="AE50">
        <v>1511.5444444444445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ht="20" customHeight="1" x14ac:dyDescent="0.2">
      <c r="A51" s="145"/>
      <c r="B51" s="145"/>
      <c r="C51" s="145"/>
      <c r="D51" s="139"/>
      <c r="E51" s="139"/>
      <c r="F51" s="139"/>
      <c r="G51" s="139"/>
      <c r="H51" s="139"/>
      <c r="I51" s="146"/>
      <c r="J51" s="7" t="s">
        <v>13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ht="20" customHeight="1" x14ac:dyDescent="0.2">
      <c r="A52" s="145"/>
      <c r="B52" s="145"/>
      <c r="C52" s="145"/>
      <c r="D52" s="139"/>
      <c r="E52" s="139"/>
      <c r="F52" s="139"/>
      <c r="G52" s="139"/>
      <c r="H52" s="139"/>
      <c r="I52" s="146"/>
      <c r="J52" s="48" t="s">
        <v>58</v>
      </c>
      <c r="K52">
        <v>1632</v>
      </c>
      <c r="L52">
        <v>1618.1666666666667</v>
      </c>
      <c r="M52">
        <v>1656.8571428571429</v>
      </c>
      <c r="N52">
        <v>1648.25</v>
      </c>
      <c r="O52">
        <v>1654.3333333333333</v>
      </c>
      <c r="P52">
        <v>1639.1</v>
      </c>
      <c r="Q52">
        <v>1702.3</v>
      </c>
      <c r="R52">
        <v>1702.3</v>
      </c>
      <c r="S52">
        <v>1653.5555555555557</v>
      </c>
      <c r="T52">
        <v>1662.875</v>
      </c>
      <c r="U52">
        <v>1673.25</v>
      </c>
      <c r="V52">
        <v>1691</v>
      </c>
      <c r="W52">
        <v>1691.2857142857142</v>
      </c>
      <c r="X52">
        <v>1724.7142857142858</v>
      </c>
      <c r="Y52">
        <v>1740.4285714285713</v>
      </c>
      <c r="Z52">
        <v>1809.4285714285713</v>
      </c>
      <c r="AA52">
        <v>1800.8571428571429</v>
      </c>
      <c r="AB52">
        <v>1850.2857142857142</v>
      </c>
      <c r="AC52">
        <v>1835.625</v>
      </c>
      <c r="AD52">
        <v>1834.6666666666667</v>
      </c>
      <c r="AE52">
        <v>1945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ht="20" customHeight="1" x14ac:dyDescent="0.2">
      <c r="A53" s="145"/>
      <c r="B53" s="145"/>
      <c r="C53" s="145"/>
      <c r="D53" s="139"/>
      <c r="E53" s="139"/>
      <c r="F53" s="139"/>
      <c r="G53" s="139"/>
      <c r="H53" s="139"/>
      <c r="I53" s="146"/>
      <c r="J53" s="49" t="s">
        <v>119</v>
      </c>
      <c r="K53" t="e">
        <v>#DIV/0!</v>
      </c>
      <c r="L53" t="e">
        <v>#DIV/0!</v>
      </c>
      <c r="M53">
        <v>636</v>
      </c>
      <c r="N53">
        <v>617.5</v>
      </c>
      <c r="O53">
        <v>730</v>
      </c>
      <c r="P53">
        <v>731.5</v>
      </c>
      <c r="Q53">
        <v>743.4</v>
      </c>
      <c r="R53">
        <v>766</v>
      </c>
      <c r="S53">
        <v>766</v>
      </c>
      <c r="T53">
        <v>766</v>
      </c>
      <c r="U53">
        <v>839.28571428571433</v>
      </c>
      <c r="V53">
        <v>839.28571428571433</v>
      </c>
      <c r="W53">
        <v>899.57142857142856</v>
      </c>
      <c r="X53">
        <v>962.14285714285711</v>
      </c>
      <c r="Y53">
        <v>1072.4285714285713</v>
      </c>
      <c r="Z53">
        <v>1225.4285714285713</v>
      </c>
      <c r="AA53">
        <v>1429.8571428571429</v>
      </c>
      <c r="AB53">
        <v>1637.2857142857142</v>
      </c>
      <c r="AC53">
        <v>1716.375</v>
      </c>
      <c r="AD53">
        <v>1942.8888888888889</v>
      </c>
      <c r="AE53">
        <v>2178.2222222222222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ht="20" customHeight="1" x14ac:dyDescent="0.2">
      <c r="A54" s="145"/>
      <c r="B54" s="145"/>
      <c r="C54" s="145"/>
      <c r="D54" s="139"/>
      <c r="E54" s="139"/>
      <c r="F54" s="139"/>
      <c r="G54" s="139"/>
      <c r="H54" s="139"/>
      <c r="I54" s="146"/>
      <c r="J54" s="48" t="s">
        <v>59</v>
      </c>
      <c r="K54">
        <v>1798.6</v>
      </c>
      <c r="L54">
        <v>1832</v>
      </c>
      <c r="M54">
        <v>1891.8</v>
      </c>
      <c r="N54">
        <v>1895.2</v>
      </c>
      <c r="O54">
        <v>1856.7</v>
      </c>
      <c r="P54">
        <v>1788.7</v>
      </c>
      <c r="Q54">
        <v>1775.7</v>
      </c>
      <c r="R54">
        <v>1789.9</v>
      </c>
      <c r="S54">
        <v>1732.6666666666667</v>
      </c>
      <c r="T54">
        <v>1646.75</v>
      </c>
      <c r="U54">
        <v>1564.375</v>
      </c>
      <c r="V54">
        <v>1541.7142857142858</v>
      </c>
      <c r="W54">
        <v>1602.4285714285713</v>
      </c>
      <c r="X54">
        <v>1668</v>
      </c>
      <c r="Y54">
        <v>1747.1428571428571</v>
      </c>
      <c r="Z54">
        <v>1850</v>
      </c>
      <c r="AA54">
        <v>2081.8571428571427</v>
      </c>
      <c r="AB54">
        <v>2317.8571428571427</v>
      </c>
      <c r="AC54">
        <v>2464.625</v>
      </c>
      <c r="AD54">
        <v>2543</v>
      </c>
      <c r="AE54">
        <v>2840.2592592592591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ht="20" customHeight="1" x14ac:dyDescent="0.2">
      <c r="A55" s="145"/>
      <c r="B55" s="145"/>
      <c r="C55" s="145"/>
      <c r="D55" s="139"/>
      <c r="E55" s="139"/>
      <c r="F55" s="139"/>
      <c r="G55" s="139"/>
      <c r="H55" s="139"/>
      <c r="I55" s="146"/>
      <c r="J55" s="70" t="s">
        <v>63</v>
      </c>
      <c r="K55">
        <v>2614.6</v>
      </c>
      <c r="L55">
        <v>2802.9</v>
      </c>
      <c r="M55">
        <v>3115.2</v>
      </c>
      <c r="N55">
        <v>3337.3</v>
      </c>
      <c r="O55">
        <v>3564.6</v>
      </c>
      <c r="P55">
        <v>3720.4</v>
      </c>
      <c r="Q55">
        <v>3849.7</v>
      </c>
      <c r="R55">
        <v>3951.8</v>
      </c>
      <c r="S55">
        <v>3896.8888888888887</v>
      </c>
      <c r="T55">
        <v>3884.125</v>
      </c>
      <c r="U55">
        <v>3972</v>
      </c>
      <c r="V55">
        <v>4072</v>
      </c>
      <c r="W55">
        <v>4193.2857142857147</v>
      </c>
      <c r="X55">
        <v>4354.8571428571431</v>
      </c>
      <c r="Y55">
        <v>4560</v>
      </c>
      <c r="Z55">
        <v>4884.8571428571431</v>
      </c>
      <c r="AA55">
        <v>5312.5714285714284</v>
      </c>
      <c r="AB55">
        <v>5805.4285714285716</v>
      </c>
      <c r="AC55">
        <v>6016.625</v>
      </c>
      <c r="AD55">
        <v>6320.5555555555557</v>
      </c>
      <c r="AE55">
        <v>6963.4814814814818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ht="20" customHeight="1" x14ac:dyDescent="0.2">
      <c r="A56" s="145"/>
      <c r="B56" s="145"/>
      <c r="C56" s="145"/>
      <c r="D56" s="139"/>
      <c r="E56" s="139"/>
      <c r="F56" s="139"/>
      <c r="G56" s="139"/>
      <c r="H56" s="139"/>
      <c r="I56" s="146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ht="20" customHeight="1" x14ac:dyDescent="0.2">
      <c r="A57" s="145"/>
      <c r="B57" s="145"/>
      <c r="C57" s="145"/>
      <c r="D57" s="139"/>
      <c r="E57" s="139"/>
      <c r="F57" s="139"/>
      <c r="G57" s="139"/>
      <c r="H57" s="139"/>
      <c r="I57" s="146"/>
      <c r="J57" s="7" t="s">
        <v>14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ht="20" customHeight="1" x14ac:dyDescent="0.2">
      <c r="A58" s="145"/>
      <c r="B58" s="145"/>
      <c r="C58" s="145"/>
      <c r="D58" s="139"/>
      <c r="E58" s="139"/>
      <c r="F58" s="139"/>
      <c r="G58" s="139"/>
      <c r="H58" s="139"/>
      <c r="I58" s="146"/>
      <c r="J58" s="48" t="s">
        <v>60</v>
      </c>
      <c r="K58">
        <v>482.85714285714283</v>
      </c>
      <c r="L58">
        <v>473.5</v>
      </c>
      <c r="M58">
        <v>473.22222222222223</v>
      </c>
      <c r="N58">
        <v>461.4</v>
      </c>
      <c r="O58">
        <v>473.8</v>
      </c>
      <c r="P58">
        <v>480.3</v>
      </c>
      <c r="Q58">
        <v>474.3</v>
      </c>
      <c r="R58">
        <v>453.4</v>
      </c>
      <c r="S58">
        <v>438</v>
      </c>
      <c r="T58">
        <v>416.5</v>
      </c>
      <c r="U58">
        <v>404.28571428571428</v>
      </c>
      <c r="V58">
        <v>403.66666666666669</v>
      </c>
      <c r="W58">
        <v>391.16666666666669</v>
      </c>
      <c r="X58">
        <v>391.33333333333331</v>
      </c>
      <c r="Y58">
        <v>410.83333333333331</v>
      </c>
      <c r="Z58">
        <v>435.33333333333331</v>
      </c>
      <c r="AA58">
        <v>480</v>
      </c>
      <c r="AB58">
        <v>556.33333333333337</v>
      </c>
      <c r="AC58">
        <v>605</v>
      </c>
      <c r="AD58">
        <v>636</v>
      </c>
      <c r="AE58">
        <v>672.66666666666663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20" customHeight="1" x14ac:dyDescent="0.2">
      <c r="A59" s="147"/>
      <c r="B59" s="145"/>
      <c r="C59" s="145"/>
      <c r="D59" s="148"/>
      <c r="E59" s="148"/>
      <c r="F59" s="148"/>
      <c r="G59" s="148"/>
      <c r="H59" s="148"/>
      <c r="I59" s="149"/>
      <c r="J59" s="49" t="s">
        <v>25</v>
      </c>
      <c r="K59">
        <v>1061.2</v>
      </c>
      <c r="L59">
        <v>1172.2</v>
      </c>
      <c r="M59">
        <v>1230.4000000000001</v>
      </c>
      <c r="N59">
        <v>1252.0999999999999</v>
      </c>
      <c r="O59">
        <v>1230.7</v>
      </c>
      <c r="P59">
        <v>1176.8</v>
      </c>
      <c r="Q59">
        <v>1118.0999999999999</v>
      </c>
      <c r="R59">
        <v>1041.8</v>
      </c>
      <c r="S59">
        <v>956.55555555555554</v>
      </c>
      <c r="T59">
        <v>886.5</v>
      </c>
      <c r="U59">
        <v>851.42857142857144</v>
      </c>
      <c r="V59">
        <v>801.16666666666663</v>
      </c>
      <c r="W59">
        <v>765.4</v>
      </c>
      <c r="X59">
        <v>749.2</v>
      </c>
      <c r="Y59">
        <v>824.2</v>
      </c>
      <c r="Z59">
        <v>894.6</v>
      </c>
      <c r="AA59">
        <v>1071.2</v>
      </c>
      <c r="AB59">
        <v>1247</v>
      </c>
      <c r="AC59">
        <v>1271</v>
      </c>
      <c r="AD59">
        <v>1325.1428571428571</v>
      </c>
      <c r="AE59">
        <v>1398.125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20" customHeight="1" x14ac:dyDescent="0.2">
      <c r="A60" s="145"/>
      <c r="B60" s="145"/>
      <c r="C60" s="145"/>
      <c r="D60" s="139"/>
      <c r="E60" s="139"/>
      <c r="F60" s="139"/>
      <c r="G60" s="139"/>
      <c r="H60" s="139"/>
      <c r="I60" s="146"/>
      <c r="J60" s="48" t="s">
        <v>26</v>
      </c>
      <c r="K60">
        <v>593</v>
      </c>
      <c r="L60">
        <v>595.5</v>
      </c>
      <c r="M60">
        <v>589.20000000000005</v>
      </c>
      <c r="N60">
        <v>560</v>
      </c>
      <c r="O60">
        <v>517.5</v>
      </c>
      <c r="P60">
        <v>486.1</v>
      </c>
      <c r="Q60">
        <v>457.9</v>
      </c>
      <c r="R60">
        <v>434.5</v>
      </c>
      <c r="S60">
        <v>420.55555555555554</v>
      </c>
      <c r="T60">
        <v>405.25</v>
      </c>
      <c r="U60">
        <v>332.5</v>
      </c>
      <c r="V60">
        <v>303.42857142857144</v>
      </c>
      <c r="W60">
        <v>288.57142857142856</v>
      </c>
      <c r="X60">
        <v>292.42857142857144</v>
      </c>
      <c r="Y60">
        <v>303.42857142857144</v>
      </c>
      <c r="Z60">
        <v>294.14285714285717</v>
      </c>
      <c r="AA60">
        <v>307</v>
      </c>
      <c r="AB60">
        <v>300.28571428571428</v>
      </c>
      <c r="AC60">
        <v>294.625</v>
      </c>
      <c r="AD60">
        <v>300.88888888888891</v>
      </c>
      <c r="AE60">
        <v>346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20" customHeight="1" x14ac:dyDescent="0.2">
      <c r="A61" s="150"/>
      <c r="B61" s="145"/>
      <c r="C61" s="145"/>
      <c r="D61" s="139"/>
      <c r="E61" s="139"/>
      <c r="F61" s="139"/>
      <c r="G61" s="139"/>
      <c r="H61" s="139"/>
      <c r="I61" s="146"/>
      <c r="J61" s="70" t="s">
        <v>64</v>
      </c>
      <c r="K61">
        <v>1992.2</v>
      </c>
      <c r="L61">
        <v>2146.5</v>
      </c>
      <c r="M61">
        <v>2245.5</v>
      </c>
      <c r="N61">
        <v>2273.5</v>
      </c>
      <c r="O61">
        <v>2222</v>
      </c>
      <c r="P61">
        <v>2143.1999999999998</v>
      </c>
      <c r="Q61">
        <v>2050.3000000000002</v>
      </c>
      <c r="R61">
        <v>1929.7</v>
      </c>
      <c r="S61">
        <v>1815.1111111111111</v>
      </c>
      <c r="T61">
        <v>1708.25</v>
      </c>
      <c r="U61">
        <v>1431.25</v>
      </c>
      <c r="V61">
        <v>1336.1428571428571</v>
      </c>
      <c r="W61">
        <v>1170.5714285714287</v>
      </c>
      <c r="X61">
        <v>1163</v>
      </c>
      <c r="Y61">
        <v>1244.2857142857142</v>
      </c>
      <c r="Z61">
        <v>1306.2857142857142</v>
      </c>
      <c r="AA61">
        <v>1483.5714285714287</v>
      </c>
      <c r="AB61">
        <v>1667.8571428571429</v>
      </c>
      <c r="AC61">
        <v>1777.25</v>
      </c>
      <c r="AD61">
        <v>1896.8888888888889</v>
      </c>
      <c r="AE61">
        <v>2261.4444444444443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20" customHeight="1" x14ac:dyDescent="0.2">
      <c r="A62" s="139"/>
      <c r="B62" s="139"/>
      <c r="C62" s="139"/>
      <c r="D62" s="139"/>
      <c r="E62" s="139"/>
      <c r="F62" s="139"/>
      <c r="G62" s="139"/>
      <c r="H62" s="139"/>
      <c r="I62" s="146"/>
      <c r="J62" s="71" t="s">
        <v>65</v>
      </c>
      <c r="K62">
        <v>16888.900000000001</v>
      </c>
      <c r="L62">
        <v>17396.400000000001</v>
      </c>
      <c r="M62">
        <v>18166.400000000001</v>
      </c>
      <c r="N62">
        <v>18596.5</v>
      </c>
      <c r="O62">
        <v>18705.099999999999</v>
      </c>
      <c r="P62">
        <v>19016</v>
      </c>
      <c r="Q62">
        <v>19680.8</v>
      </c>
      <c r="R62">
        <v>20208.400000000001</v>
      </c>
      <c r="S62">
        <v>20055.222222222223</v>
      </c>
      <c r="T62">
        <v>20062</v>
      </c>
      <c r="U62">
        <v>19567.375</v>
      </c>
      <c r="V62">
        <v>19499</v>
      </c>
      <c r="W62">
        <v>20079.714285714286</v>
      </c>
      <c r="X62">
        <v>20815.857142857141</v>
      </c>
      <c r="Y62">
        <v>22319.571428571428</v>
      </c>
      <c r="Z62">
        <v>24691.142857142859</v>
      </c>
      <c r="AA62">
        <v>26900.795238095237</v>
      </c>
      <c r="AB62">
        <v>29735.080952380951</v>
      </c>
      <c r="AC62">
        <v>31060.070833333331</v>
      </c>
      <c r="AD62">
        <v>32479.877777777772</v>
      </c>
      <c r="AE62">
        <v>35546.877777777772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20" customHeight="1" x14ac:dyDescent="0.2">
      <c r="AC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20" customHeight="1" x14ac:dyDescent="0.2">
      <c r="AC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29:52" ht="20" customHeight="1" x14ac:dyDescent="0.2">
      <c r="AC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29:52" ht="20" customHeight="1" x14ac:dyDescent="0.2">
      <c r="AC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29:52" ht="20" customHeight="1" x14ac:dyDescent="0.2">
      <c r="AC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29:52" ht="20" customHeight="1" x14ac:dyDescent="0.2">
      <c r="AC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29:52" ht="20" customHeight="1" x14ac:dyDescent="0.2">
      <c r="AC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29:52" ht="20" customHeight="1" x14ac:dyDescent="0.2">
      <c r="AC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29:52" ht="20" customHeight="1" x14ac:dyDescent="0.2">
      <c r="AC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29:52" ht="20" customHeight="1" x14ac:dyDescent="0.2">
      <c r="AC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29:52" ht="20" customHeight="1" x14ac:dyDescent="0.2">
      <c r="AC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29:52" ht="20" customHeight="1" x14ac:dyDescent="0.2">
      <c r="AC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29:52" ht="20" customHeight="1" x14ac:dyDescent="0.2">
      <c r="AC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29:52" ht="20" customHeight="1" x14ac:dyDescent="0.2">
      <c r="AC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29:52" ht="20" customHeight="1" x14ac:dyDescent="0.2">
      <c r="AC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29:52" ht="20" customHeight="1" x14ac:dyDescent="0.2">
      <c r="AC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29:52" ht="20" customHeight="1" x14ac:dyDescent="0.2">
      <c r="AC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29:52" ht="20" customHeight="1" x14ac:dyDescent="0.2">
      <c r="AC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29:52" ht="20" customHeight="1" x14ac:dyDescent="0.2">
      <c r="AC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29:52" ht="20" customHeight="1" x14ac:dyDescent="0.2">
      <c r="AC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29:52" ht="20" customHeight="1" x14ac:dyDescent="0.2">
      <c r="AC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29:52" ht="20" customHeight="1" x14ac:dyDescent="0.2">
      <c r="AC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29:52" ht="20" customHeight="1" x14ac:dyDescent="0.2">
      <c r="AC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29:52" ht="20" customHeight="1" x14ac:dyDescent="0.2">
      <c r="AC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29:52" ht="20" customHeight="1" x14ac:dyDescent="0.2">
      <c r="AC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29:52" ht="20" customHeight="1" x14ac:dyDescent="0.2">
      <c r="AC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29:52" ht="20" customHeight="1" x14ac:dyDescent="0.2">
      <c r="AC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29:52" ht="20" customHeight="1" x14ac:dyDescent="0.2">
      <c r="AC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29:52" ht="20" customHeight="1" x14ac:dyDescent="0.2">
      <c r="AC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29:52" ht="20" customHeight="1" x14ac:dyDescent="0.2">
      <c r="AC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29:52" ht="20" customHeight="1" x14ac:dyDescent="0.2">
      <c r="AC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29:52" ht="20" customHeight="1" x14ac:dyDescent="0.2">
      <c r="AC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29:52" ht="20" customHeight="1" x14ac:dyDescent="0.2">
      <c r="AC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29:52" ht="20" customHeight="1" x14ac:dyDescent="0.2">
      <c r="AC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29:52" ht="20" customHeight="1" x14ac:dyDescent="0.2">
      <c r="AC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29:52" ht="20" customHeight="1" x14ac:dyDescent="0.2">
      <c r="AC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29:52" ht="20" customHeight="1" x14ac:dyDescent="0.2">
      <c r="AC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29:52" ht="20" customHeight="1" x14ac:dyDescent="0.2">
      <c r="AC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29:52" ht="20" customHeight="1" x14ac:dyDescent="0.2">
      <c r="AC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29:52" ht="20" customHeight="1" x14ac:dyDescent="0.2">
      <c r="AC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29:52" ht="20" customHeight="1" x14ac:dyDescent="0.2">
      <c r="AC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29:52" ht="20" customHeight="1" x14ac:dyDescent="0.2">
      <c r="AC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29:52" ht="20" customHeight="1" x14ac:dyDescent="0.2">
      <c r="AC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29:52" ht="20" customHeight="1" x14ac:dyDescent="0.2">
      <c r="AC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29:52" ht="20" customHeight="1" x14ac:dyDescent="0.2">
      <c r="AC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29:52" ht="20" customHeight="1" x14ac:dyDescent="0.2">
      <c r="AC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29:52" ht="20" customHeight="1" x14ac:dyDescent="0.2">
      <c r="AC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29:52" ht="20" customHeight="1" x14ac:dyDescent="0.2">
      <c r="AC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29:52" ht="20" customHeight="1" x14ac:dyDescent="0.2">
      <c r="AC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29:52" ht="20" customHeight="1" x14ac:dyDescent="0.2">
      <c r="AC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29:52" ht="20" customHeight="1" x14ac:dyDescent="0.2">
      <c r="AC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29:52" ht="20" customHeight="1" x14ac:dyDescent="0.2">
      <c r="AC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29:52" ht="20" customHeight="1" x14ac:dyDescent="0.2">
      <c r="AC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29:52" ht="20" customHeight="1" x14ac:dyDescent="0.2">
      <c r="AC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29:52" ht="20" customHeight="1" x14ac:dyDescent="0.2">
      <c r="AC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29:52" ht="20" customHeight="1" x14ac:dyDescent="0.2">
      <c r="AC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29:52" ht="20" customHeight="1" x14ac:dyDescent="0.2">
      <c r="AC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29:52" ht="20" customHeight="1" x14ac:dyDescent="0.2">
      <c r="AC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29:52" ht="20" customHeight="1" x14ac:dyDescent="0.2">
      <c r="AC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29:52" ht="20" customHeight="1" x14ac:dyDescent="0.2">
      <c r="AC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29:52" ht="20" customHeight="1" x14ac:dyDescent="0.2">
      <c r="AC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29:52" ht="20" customHeight="1" x14ac:dyDescent="0.2">
      <c r="AC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29:52" ht="20" customHeight="1" x14ac:dyDescent="0.2">
      <c r="AC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29:52" ht="20" customHeight="1" x14ac:dyDescent="0.2">
      <c r="AC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29:52" ht="20" customHeight="1" x14ac:dyDescent="0.2">
      <c r="AC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29:52" ht="20" customHeight="1" x14ac:dyDescent="0.2">
      <c r="AC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29:52" ht="20" customHeight="1" x14ac:dyDescent="0.2">
      <c r="AC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29:52" ht="20" customHeight="1" x14ac:dyDescent="0.2">
      <c r="AC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29:52" ht="20" customHeight="1" x14ac:dyDescent="0.2">
      <c r="AC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29:52" ht="20" customHeight="1" x14ac:dyDescent="0.2">
      <c r="AC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29:52" ht="20" customHeight="1" x14ac:dyDescent="0.2">
      <c r="AC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29:52" ht="20" customHeight="1" x14ac:dyDescent="0.2">
      <c r="AC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29:52" ht="20" customHeight="1" x14ac:dyDescent="0.2">
      <c r="AC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29:52" ht="20" customHeight="1" x14ac:dyDescent="0.2">
      <c r="AC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29:52" ht="20" customHeight="1" x14ac:dyDescent="0.2">
      <c r="AC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29:52" ht="20" customHeight="1" x14ac:dyDescent="0.2">
      <c r="AC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29:52" ht="20" customHeight="1" x14ac:dyDescent="0.2">
      <c r="AC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29:52" ht="20" customHeight="1" x14ac:dyDescent="0.2">
      <c r="AC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29:52" ht="20" customHeight="1" x14ac:dyDescent="0.2">
      <c r="AC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29:52" ht="20" customHeight="1" x14ac:dyDescent="0.2">
      <c r="AC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29:52" ht="20" customHeight="1" x14ac:dyDescent="0.2">
      <c r="AC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29:52" ht="20" customHeight="1" x14ac:dyDescent="0.2">
      <c r="AC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29:52" ht="20" customHeight="1" x14ac:dyDescent="0.2">
      <c r="AC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29:52" ht="20" customHeight="1" x14ac:dyDescent="0.2">
      <c r="AC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29:52" ht="20" customHeight="1" x14ac:dyDescent="0.2">
      <c r="AC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29:52" ht="20" customHeight="1" x14ac:dyDescent="0.2">
      <c r="AC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29:52" ht="20" customHeight="1" x14ac:dyDescent="0.2">
      <c r="AC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29:52" ht="20" customHeight="1" x14ac:dyDescent="0.2">
      <c r="AC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29:52" ht="20" customHeight="1" x14ac:dyDescent="0.2">
      <c r="AC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29:52" ht="20" customHeight="1" x14ac:dyDescent="0.2">
      <c r="AC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29:52" ht="20" customHeight="1" x14ac:dyDescent="0.2">
      <c r="AC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29:52" ht="20" customHeight="1" x14ac:dyDescent="0.2">
      <c r="AC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29:52" ht="20" customHeight="1" x14ac:dyDescent="0.2">
      <c r="AC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29:52" ht="20" customHeight="1" x14ac:dyDescent="0.2">
      <c r="AC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29:52" ht="20" customHeight="1" x14ac:dyDescent="0.2">
      <c r="AC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29:52" ht="20" customHeight="1" x14ac:dyDescent="0.2">
      <c r="AC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29:52" ht="20" customHeight="1" x14ac:dyDescent="0.2">
      <c r="AC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29:52" ht="20" customHeight="1" x14ac:dyDescent="0.2">
      <c r="AC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29:52" ht="20" customHeight="1" x14ac:dyDescent="0.2">
      <c r="AC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29:52" ht="20" customHeight="1" x14ac:dyDescent="0.2">
      <c r="AC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29:52" ht="20" customHeight="1" x14ac:dyDescent="0.2">
      <c r="AC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29:52" ht="20" customHeight="1" x14ac:dyDescent="0.2">
      <c r="AC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29:52" ht="20" customHeight="1" x14ac:dyDescent="0.2">
      <c r="AC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29:52" ht="20" customHeight="1" x14ac:dyDescent="0.2">
      <c r="AC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29:52" ht="20" customHeight="1" x14ac:dyDescent="0.2">
      <c r="AC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29:52" ht="20" customHeight="1" x14ac:dyDescent="0.2">
      <c r="AC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29:52" ht="20" customHeight="1" x14ac:dyDescent="0.2">
      <c r="AC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29:52" ht="20" customHeight="1" x14ac:dyDescent="0.2">
      <c r="AC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29:52" ht="20" customHeight="1" x14ac:dyDescent="0.2">
      <c r="AC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29:52" ht="20" customHeight="1" x14ac:dyDescent="0.2">
      <c r="AC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29:52" ht="20" customHeight="1" x14ac:dyDescent="0.2">
      <c r="AC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29:52" ht="20" customHeight="1" x14ac:dyDescent="0.2">
      <c r="AC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29:52" ht="20" customHeight="1" x14ac:dyDescent="0.2">
      <c r="AC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29:52" ht="20" customHeight="1" x14ac:dyDescent="0.2">
      <c r="AC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29:52" ht="20" customHeight="1" x14ac:dyDescent="0.2">
      <c r="AC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29:52" ht="20" customHeight="1" x14ac:dyDescent="0.2">
      <c r="AC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29:52" ht="20" customHeight="1" x14ac:dyDescent="0.2">
      <c r="AC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29:52" ht="20" customHeight="1" x14ac:dyDescent="0.2">
      <c r="AC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29:52" ht="20" customHeight="1" x14ac:dyDescent="0.2">
      <c r="AC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29:52" ht="20" customHeight="1" x14ac:dyDescent="0.2">
      <c r="AC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29:52" ht="20" customHeight="1" x14ac:dyDescent="0.2">
      <c r="AC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29:52" ht="20" customHeight="1" x14ac:dyDescent="0.2">
      <c r="AC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29:52" ht="20" customHeight="1" x14ac:dyDescent="0.2">
      <c r="AC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29:52" ht="20" customHeight="1" x14ac:dyDescent="0.2">
      <c r="AC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29:52" ht="20" customHeight="1" x14ac:dyDescent="0.2">
      <c r="AC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29:52" ht="20" customHeight="1" x14ac:dyDescent="0.2">
      <c r="AC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29:52" ht="20" customHeight="1" x14ac:dyDescent="0.2">
      <c r="AC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29:52" ht="20" customHeight="1" x14ac:dyDescent="0.2">
      <c r="AC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29:52" ht="20" customHeight="1" x14ac:dyDescent="0.2">
      <c r="AC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</sheetData>
  <pageMargins left="0.7" right="0.7" top="1" bottom="0.7" header="0.5" footer="0.5"/>
  <pageSetup paperSize="5" scale="12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9145-14CA-2246-AF8D-9F74B8F2AED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Alder Lake</vt:lpstr>
      <vt:lpstr>Beaverkill Road to BLM FT</vt:lpstr>
      <vt:lpstr>Dry Brook Ridge to Lean-to </vt:lpstr>
      <vt:lpstr>Kelly Hollow</vt:lpstr>
      <vt:lpstr>Millbrook to BLM FT</vt:lpstr>
      <vt:lpstr>Neversink Hardenburgh Trail</vt:lpstr>
      <vt:lpstr>Cathedral Glen</vt:lpstr>
      <vt:lpstr>Woodchuck Hollow</vt:lpstr>
      <vt:lpstr>Biscuit Brook</vt:lpstr>
      <vt:lpstr>Hardenburgh- MH Trail</vt:lpstr>
      <vt:lpstr>McKenley Hollow</vt:lpstr>
      <vt:lpstr>Mongaup Pond</vt:lpstr>
      <vt:lpstr>Rider Hollow</vt:lpstr>
      <vt:lpstr>Seager</vt:lpstr>
      <vt:lpstr>Onteora Lake</vt:lpstr>
      <vt:lpstr>Overlook</vt:lpstr>
      <vt:lpstr>Mt Tremper</vt:lpstr>
      <vt:lpstr>Rochester Hollow</vt:lpstr>
      <vt:lpstr>Denning</vt:lpstr>
      <vt:lpstr>Fox Hollow</vt:lpstr>
      <vt:lpstr>Giant Ledge</vt:lpstr>
      <vt:lpstr>Lane Street</vt:lpstr>
      <vt:lpstr>Peekamoose</vt:lpstr>
      <vt:lpstr>Slide Mt</vt:lpstr>
      <vt:lpstr>Wittenberg</vt:lpstr>
      <vt:lpstr>Woodland Valley</vt:lpstr>
      <vt:lpstr>Ashokan HP</vt:lpstr>
      <vt:lpstr>Bangle Hill</vt:lpstr>
      <vt:lpstr>Red Hill Dinch Road </vt:lpstr>
      <vt:lpstr>Trails End Road</vt:lpstr>
      <vt:lpstr>Upper Cherrytown Road</vt:lpstr>
      <vt:lpstr>Vernooy</vt:lpstr>
      <vt:lpstr>Flynn</vt:lpstr>
      <vt:lpstr>Frick Pond</vt:lpstr>
      <vt:lpstr>Long Pond</vt:lpstr>
      <vt:lpstr>Yearly Totals</vt:lpstr>
      <vt:lpstr>Wilderness Area</vt:lpstr>
      <vt:lpstr>Wild Forest</vt:lpstr>
      <vt:lpstr>Sheet1</vt:lpstr>
    </vt:vector>
  </TitlesOfParts>
  <Company>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</dc:creator>
  <cp:lastModifiedBy>Inesh Vytheswaran</cp:lastModifiedBy>
  <cp:lastPrinted>2021-02-02T22:38:23Z</cp:lastPrinted>
  <dcterms:created xsi:type="dcterms:W3CDTF">2001-03-14T15:11:12Z</dcterms:created>
  <dcterms:modified xsi:type="dcterms:W3CDTF">2026-07-09T17:10:04Z</dcterms:modified>
</cp:coreProperties>
</file>