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ЭтаКнига" defaultThemeVersion="124226"/>
  <bookViews>
    <workbookView xWindow="0" yWindow="504" windowWidth="23256" windowHeight="13176" tabRatio="621" activeTab="2"/>
  </bookViews>
  <sheets>
    <sheet name="Calculation" sheetId="2" r:id="rId1"/>
    <sheet name="ДЗ" sheetId="11" r:id="rId2"/>
    <sheet name="Calculation_hw_full" sheetId="13" r:id="rId3"/>
    <sheet name="Лист1" sheetId="10" state="hidden" r:id="rId4"/>
    <sheet name="Calculation_hw_xsore16" sheetId="18" r:id="rId5"/>
    <sheet name="Calculation_hw_xsore14" sheetId="19" r:id="rId6"/>
    <sheet name="Calculation_hw_pd4" sheetId="20" r:id="rId7"/>
    <sheet name="Calculation_hw_pd6" sheetId="21" r:id="rId8"/>
  </sheets>
  <definedNames>
    <definedName name="accnt_act" localSheetId="2">Calculation_hw_full!$C$43:$AA$43</definedName>
    <definedName name="accnt_act" localSheetId="6">Calculation_hw_pd4!$C$43:$AA$43</definedName>
    <definedName name="accnt_act" localSheetId="7">Calculation_hw_pd6!$C$43:$AA$43</definedName>
    <definedName name="accnt_act" localSheetId="5">Calculation_hw_xsore14!$C$43:$AA$43</definedName>
    <definedName name="accnt_act" localSheetId="4">Calculation_hw_xsore16!$C$43:$AA$43</definedName>
    <definedName name="accnt_act">Calculation!$C$40:$AA$40</definedName>
    <definedName name="accnt_b_def" localSheetId="2">Calculation_hw_full!$C$49:$AA$49</definedName>
    <definedName name="accnt_b_def" localSheetId="6">Calculation_hw_pd4!$C$49:$AA$49</definedName>
    <definedName name="accnt_b_def" localSheetId="7">Calculation_hw_pd6!$C$49:$AA$49</definedName>
    <definedName name="accnt_b_def" localSheetId="5">Calculation_hw_xsore14!$C$49:$AA$49</definedName>
    <definedName name="accnt_b_def" localSheetId="4">Calculation_hw_xsore16!$C$49:$AA$49</definedName>
    <definedName name="accnt_b_def">Calculation!$C$46:$AA$46</definedName>
    <definedName name="accnt_b_res" localSheetId="2">Calculation_hw_full!$C$49:$AA$49</definedName>
    <definedName name="accnt_b_res" localSheetId="6">Calculation_hw_pd4!$C$49:$AA$49</definedName>
    <definedName name="accnt_b_res" localSheetId="7">Calculation_hw_pd6!$C$49:$AA$49</definedName>
    <definedName name="accnt_b_res" localSheetId="5">Calculation_hw_xsore14!$C$49:$AA$49</definedName>
    <definedName name="accnt_b_res" localSheetId="4">Calculation_hw_xsore16!$C$49:$AA$49</definedName>
    <definedName name="accnt_b_res">Calculation!$C$46:$AA$46</definedName>
    <definedName name="accnt_clo" localSheetId="2">Calculation_hw_full!$C$46:$XFD$46</definedName>
    <definedName name="accnt_clo" localSheetId="6">Calculation_hw_pd4!$C$46:$XFD$46</definedName>
    <definedName name="accnt_clo" localSheetId="7">Calculation_hw_pd6!$C$46:$XFD$46</definedName>
    <definedName name="accnt_clo" localSheetId="5">Calculation_hw_xsore14!$C$46:$XFD$46</definedName>
    <definedName name="accnt_clo" localSheetId="4">Calculation_hw_xsore16!$C$46:$XFD$46</definedName>
    <definedName name="accnt_clo">Calculation!$C$43:$XFD$43</definedName>
    <definedName name="accnt_cur" localSheetId="2">Calculation_hw_full!$C$44:$XFD$44</definedName>
    <definedName name="accnt_cur" localSheetId="6">Calculation_hw_pd4!$C$44:$XFD$44</definedName>
    <definedName name="accnt_cur" localSheetId="7">Calculation_hw_pd6!$C$44:$XFD$44</definedName>
    <definedName name="accnt_cur" localSheetId="5">Calculation_hw_xsore14!$C$44:$XFD$44</definedName>
    <definedName name="accnt_cur" localSheetId="4">Calculation_hw_xsore16!$C$44:$XFD$44</definedName>
    <definedName name="accnt_cur">Calculation!$C$41:$XFD$41</definedName>
    <definedName name="accnt_DEF" localSheetId="2">Calculation_hw_full!$C$47:$AA$47</definedName>
    <definedName name="accnt_DEF" localSheetId="6">Calculation_hw_pd4!$C$47:$AA$47</definedName>
    <definedName name="accnt_DEF" localSheetId="7">Calculation_hw_pd6!$C$47:$AA$47</definedName>
    <definedName name="accnt_DEF" localSheetId="5">Calculation_hw_xsore14!$C$47:$AA$47</definedName>
    <definedName name="accnt_DEF" localSheetId="4">Calculation_hw_xsore16!$C$47:$AA$47</definedName>
    <definedName name="accnt_DEF">Calculation!$C$44:$AA$44</definedName>
    <definedName name="accnt_dlq" localSheetId="2">Calculation_hw_full!$C$45:$XFD$45</definedName>
    <definedName name="accnt_dlq" localSheetId="6">Calculation_hw_pd4!$C$45:$XFD$45</definedName>
    <definedName name="accnt_dlq" localSheetId="7">Calculation_hw_pd6!$C$45:$XFD$45</definedName>
    <definedName name="accnt_dlq" localSheetId="5">Calculation_hw_xsore14!$C$45:$XFD$45</definedName>
    <definedName name="accnt_dlq" localSheetId="4">Calculation_hw_xsore16!$C$45:$XFD$45</definedName>
    <definedName name="accnt_dlq">Calculation!$C$42:$XFD$42</definedName>
    <definedName name="accnt_wro" localSheetId="2">Calculation_hw_full!$C$47:$XFD$47</definedName>
    <definedName name="accnt_wro" localSheetId="6">Calculation_hw_pd4!$C$47:$XFD$47</definedName>
    <definedName name="accnt_wro" localSheetId="7">Calculation_hw_pd6!$C$47:$XFD$47</definedName>
    <definedName name="accnt_wro" localSheetId="5">Calculation_hw_xsore14!$C$47:$XFD$47</definedName>
    <definedName name="accnt_wro" localSheetId="4">Calculation_hw_xsore16!$C$47:$XFD$47</definedName>
    <definedName name="accnt_wro">Calculation!$C$44:$XFD$44</definedName>
    <definedName name="assets" localSheetId="2">Calculation_hw_full!$C$88:$AA$88</definedName>
    <definedName name="assets" localSheetId="6">Calculation_hw_pd4!$C$88:$AA$88</definedName>
    <definedName name="assets" localSheetId="7">Calculation_hw_pd6!$C$88:$AA$88</definedName>
    <definedName name="assets" localSheetId="5">Calculation_hw_xsore14!$C$88:$AA$88</definedName>
    <definedName name="assets" localSheetId="4">Calculation_hw_xsore16!$C$88:$AA$88</definedName>
    <definedName name="assets">Calculation!$C$85:$AA$85</definedName>
    <definedName name="AT1_all_curve" localSheetId="2">#REF!</definedName>
    <definedName name="AT1_all_curve" localSheetId="6">#REF!</definedName>
    <definedName name="AT1_all_curve" localSheetId="7">#REF!</definedName>
    <definedName name="AT1_all_curve" localSheetId="5">#REF!</definedName>
    <definedName name="AT1_all_curve" localSheetId="4">#REF!</definedName>
    <definedName name="AT1_all_curve">#REF!</definedName>
    <definedName name="AT1_curve" localSheetId="2">#REF!</definedName>
    <definedName name="AT1_curve" localSheetId="6">#REF!</definedName>
    <definedName name="AT1_curve" localSheetId="7">#REF!</definedName>
    <definedName name="AT1_curve" localSheetId="5">#REF!</definedName>
    <definedName name="AT1_curve" localSheetId="4">#REF!</definedName>
    <definedName name="AT1_curve">#REF!</definedName>
    <definedName name="At1_int_rate" localSheetId="2">#REF!</definedName>
    <definedName name="At1_int_rate" localSheetId="6">#REF!</definedName>
    <definedName name="At1_int_rate" localSheetId="7">#REF!</definedName>
    <definedName name="At1_int_rate" localSheetId="5">#REF!</definedName>
    <definedName name="At1_int_rate" localSheetId="4">#REF!</definedName>
    <definedName name="At1_int_rate">#REF!</definedName>
    <definedName name="AT1_req" localSheetId="2">Calculation_hw_full!$C$91:$AA$91</definedName>
    <definedName name="AT1_req" localSheetId="6">Calculation_hw_pd4!$C$91:$AA$91</definedName>
    <definedName name="AT1_req" localSheetId="7">Calculation_hw_pd6!$C$91:$AA$91</definedName>
    <definedName name="AT1_req" localSheetId="5">Calculation_hw_xsore14!$C$91:$AA$91</definedName>
    <definedName name="AT1_req" localSheetId="4">Calculation_hw_xsore16!$C$91:$AA$91</definedName>
    <definedName name="AT1_req">Calculation!$C$88:$AA$88</definedName>
    <definedName name="AT1_req_chng" localSheetId="2">Calculation_hw_full!#REF!</definedName>
    <definedName name="AT1_req_chng" localSheetId="6">Calculation_hw_pd4!#REF!</definedName>
    <definedName name="AT1_req_chng" localSheetId="7">Calculation_hw_pd6!#REF!</definedName>
    <definedName name="AT1_req_chng" localSheetId="5">Calculation_hw_xsore14!#REF!</definedName>
    <definedName name="AT1_req_chng" localSheetId="4">Calculation_hw_xsore16!#REF!</definedName>
    <definedName name="AT1_req_chng">Calculation!#REF!</definedName>
    <definedName name="Cap_Curve" localSheetId="2">#REF!</definedName>
    <definedName name="Cap_Curve" localSheetId="6">#REF!</definedName>
    <definedName name="Cap_Curve" localSheetId="7">#REF!</definedName>
    <definedName name="Cap_Curve" localSheetId="5">#REF!</definedName>
    <definedName name="Cap_Curve" localSheetId="4">#REF!</definedName>
    <definedName name="Cap_Curve">#REF!</definedName>
    <definedName name="Cap_Curve_H1.0" localSheetId="2">#REF!</definedName>
    <definedName name="Cap_Curve_H1.0" localSheetId="6">#REF!</definedName>
    <definedName name="Cap_Curve_H1.0" localSheetId="7">#REF!</definedName>
    <definedName name="Cap_Curve_H1.0" localSheetId="5">#REF!</definedName>
    <definedName name="Cap_Curve_H1.0" localSheetId="4">#REF!</definedName>
    <definedName name="Cap_Curve_H1.0">#REF!</definedName>
    <definedName name="capital_bal" localSheetId="2">Calculation_hw_full!#REF!</definedName>
    <definedName name="capital_bal" localSheetId="6">Calculation_hw_pd4!#REF!</definedName>
    <definedName name="capital_bal" localSheetId="7">Calculation_hw_pd6!#REF!</definedName>
    <definedName name="capital_bal" localSheetId="5">Calculation_hw_xsore14!#REF!</definedName>
    <definedName name="capital_bal" localSheetId="4">Calculation_hw_xsore16!#REF!</definedName>
    <definedName name="capital_bal">Calculation!#REF!</definedName>
    <definedName name="Capital_balance" localSheetId="2">Calculation_hw_full!#REF!</definedName>
    <definedName name="Capital_balance" localSheetId="6">Calculation_hw_pd4!#REF!</definedName>
    <definedName name="Capital_balance" localSheetId="7">Calculation_hw_pd6!#REF!</definedName>
    <definedName name="Capital_balance" localSheetId="5">Calculation_hw_xsore14!#REF!</definedName>
    <definedName name="Capital_balance" localSheetId="4">Calculation_hw_xsore16!#REF!</definedName>
    <definedName name="Capital_balance">Calculation!#REF!</definedName>
    <definedName name="Capital_req" localSheetId="2">Calculation_hw_full!#REF!</definedName>
    <definedName name="Capital_req" localSheetId="6">Calculation_hw_pd4!#REF!</definedName>
    <definedName name="Capital_req" localSheetId="7">Calculation_hw_pd6!#REF!</definedName>
    <definedName name="Capital_req" localSheetId="5">Calculation_hw_xsore14!#REF!</definedName>
    <definedName name="Capital_req" localSheetId="4">Calculation_hw_xsore16!#REF!</definedName>
    <definedName name="Capital_req">Calculation!#REF!</definedName>
    <definedName name="CapR_curve" localSheetId="2">#REF!</definedName>
    <definedName name="CapR_curve" localSheetId="6">#REF!</definedName>
    <definedName name="CapR_curve" localSheetId="7">#REF!</definedName>
    <definedName name="CapR_curve" localSheetId="5">#REF!</definedName>
    <definedName name="CapR_curve" localSheetId="4">#REF!</definedName>
    <definedName name="CapR_curve">#REF!</definedName>
    <definedName name="CapR_fix_H1.0" localSheetId="2">#REF!</definedName>
    <definedName name="CapR_fix_H1.0" localSheetId="6">#REF!</definedName>
    <definedName name="CapR_fix_H1.0" localSheetId="7">#REF!</definedName>
    <definedName name="CapR_fix_H1.0" localSheetId="5">#REF!</definedName>
    <definedName name="CapR_fix_H1.0" localSheetId="4">#REF!</definedName>
    <definedName name="CapR_fix_H1.0">#REF!</definedName>
    <definedName name="Cash_flow_to_Client" localSheetId="2">Calculation_hw_full!$C$101:$AA$101</definedName>
    <definedName name="Cash_flow_to_Client" localSheetId="6">Calculation_hw_pd4!$C$101:$AA$101</definedName>
    <definedName name="Cash_flow_to_Client" localSheetId="7">Calculation_hw_pd6!$C$101:$AA$101</definedName>
    <definedName name="Cash_flow_to_Client" localSheetId="5">Calculation_hw_xsore14!$C$101:$AA$101</definedName>
    <definedName name="Cash_flow_to_Client" localSheetId="4">Calculation_hw_xsore16!$C$101:$AA$101</definedName>
    <definedName name="Cash_flow_to_Client">Calculation!$C$98:$AA$98</definedName>
    <definedName name="CFtB" localSheetId="2">Calculation_hw_full!$C$102:$AA$102</definedName>
    <definedName name="CFtB" localSheetId="6">Calculation_hw_pd4!$C$102:$AA$102</definedName>
    <definedName name="CFtB" localSheetId="7">Calculation_hw_pd6!$C$102:$AA$102</definedName>
    <definedName name="CFtB" localSheetId="5">Calculation_hw_xsore14!$C$102:$AA$102</definedName>
    <definedName name="CFtB" localSheetId="4">Calculation_hw_xsore16!$C$102:$AA$102</definedName>
    <definedName name="CFtB">Calculation!$C$99:$AA$99</definedName>
    <definedName name="CFtC" localSheetId="2">Calculation_hw_full!$C$101:$AA$101</definedName>
    <definedName name="CFtC" localSheetId="6">Calculation_hw_pd4!$C$101:$AA$101</definedName>
    <definedName name="CFtC" localSheetId="7">Calculation_hw_pd6!$C$101:$AA$101</definedName>
    <definedName name="CFtC" localSheetId="5">Calculation_hw_xsore14!$C$101:$AA$101</definedName>
    <definedName name="CFtC" localSheetId="4">Calculation_hw_xsore16!$C$101:$AA$101</definedName>
    <definedName name="CFtC">Calculation!$C$98:$AA$98</definedName>
    <definedName name="CFtCT" localSheetId="2">Calculation_hw_full!$C$103:$AA$103</definedName>
    <definedName name="CFtCT" localSheetId="6">Calculation_hw_pd4!$C$103:$AA$103</definedName>
    <definedName name="CFtCT" localSheetId="7">Calculation_hw_pd6!$C$103:$AA$103</definedName>
    <definedName name="CFtCT" localSheetId="5">Calculation_hw_xsore14!$C$103:$AA$103</definedName>
    <definedName name="CFtCT" localSheetId="4">Calculation_hw_xsore16!$C$103:$AA$103</definedName>
    <definedName name="CFtCT">Calculation!$C$100:$AA$100</definedName>
    <definedName name="CFtP" localSheetId="2">Calculation_hw_full!#REF!</definedName>
    <definedName name="CFtP" localSheetId="6">Calculation_hw_pd4!#REF!</definedName>
    <definedName name="CFtP" localSheetId="7">Calculation_hw_pd6!#REF!</definedName>
    <definedName name="CFtP" localSheetId="5">Calculation_hw_xsore14!#REF!</definedName>
    <definedName name="CFtP" localSheetId="4">Calculation_hw_xsore16!#REF!</definedName>
    <definedName name="CFtP">Calculation!#REF!</definedName>
    <definedName name="CFtS" localSheetId="2">Calculation_hw_full!$C$104:$AA$104</definedName>
    <definedName name="CFtS" localSheetId="6">Calculation_hw_pd4!$C$104:$AA$104</definedName>
    <definedName name="CFtS" localSheetId="7">Calculation_hw_pd6!$C$104:$AA$104</definedName>
    <definedName name="CFtS" localSheetId="5">Calculation_hw_xsore14!$C$104:$AA$104</definedName>
    <definedName name="CFtS" localSheetId="4">Calculation_hw_xsore16!$C$104:$AA$104</definedName>
    <definedName name="CFtS">Calculation!$C$101:$AA$101</definedName>
    <definedName name="CLO_Rate" localSheetId="2">Calculation_hw_full!$C$37:$AA$37</definedName>
    <definedName name="CLO_Rate" localSheetId="6">Calculation_hw_pd4!$C$37:$AA$37</definedName>
    <definedName name="CLO_Rate" localSheetId="7">Calculation_hw_pd6!$C$37:$AA$37</definedName>
    <definedName name="CLO_Rate" localSheetId="5">Calculation_hw_xsore14!$C$37:$AA$37</definedName>
    <definedName name="CLO_Rate" localSheetId="4">Calculation_hw_xsore16!$C$37:$AA$37</definedName>
    <definedName name="CLO_Rate">Calculation!$C$37:$AA$37</definedName>
    <definedName name="clo_rate_curve" localSheetId="2">#REF!</definedName>
    <definedName name="clo_rate_curve" localSheetId="6">#REF!</definedName>
    <definedName name="clo_rate_curve" localSheetId="7">#REF!</definedName>
    <definedName name="clo_rate_curve" localSheetId="5">#REF!</definedName>
    <definedName name="clo_rate_curve" localSheetId="4">#REF!</definedName>
    <definedName name="clo_rate_curve">#REF!</definedName>
    <definedName name="coeff_discount" localSheetId="2">Calculation_hw_full!$C$99:$AA$99</definedName>
    <definedName name="coeff_discount" localSheetId="6">Calculation_hw_pd4!$C$99:$AA$99</definedName>
    <definedName name="coeff_discount" localSheetId="7">Calculation_hw_pd6!$C$99:$AA$99</definedName>
    <definedName name="coeff_discount" localSheetId="5">Calculation_hw_xsore14!$C$99:$AA$99</definedName>
    <definedName name="coeff_discount" localSheetId="4">Calculation_hw_xsore16!$C$99:$AA$99</definedName>
    <definedName name="coeff_discount">Calculation!$C$96:$AA$96</definedName>
    <definedName name="coeff_lim" localSheetId="2">#REF!</definedName>
    <definedName name="coeff_lim" localSheetId="6">#REF!</definedName>
    <definedName name="coeff_lim" localSheetId="7">#REF!</definedName>
    <definedName name="coeff_lim" localSheetId="5">#REF!</definedName>
    <definedName name="coeff_lim" localSheetId="4">#REF!</definedName>
    <definedName name="coeff_lim">#REF!</definedName>
    <definedName name="CoF" localSheetId="2">Calculation_hw_full!$C$19</definedName>
    <definedName name="CoF" localSheetId="6">Calculation_hw_pd4!$C$19</definedName>
    <definedName name="CoF" localSheetId="7">Calculation_hw_pd6!$C$19</definedName>
    <definedName name="CoF" localSheetId="5">Calculation_hw_xsore14!$C$19</definedName>
    <definedName name="CoF" localSheetId="4">Calculation_hw_xsore16!$C$19</definedName>
    <definedName name="CoF">Calculation!$C$19</definedName>
    <definedName name="COF_rate" localSheetId="2">#REF!</definedName>
    <definedName name="COF_rate" localSheetId="6">#REF!</definedName>
    <definedName name="COF_rate" localSheetId="7">#REF!</definedName>
    <definedName name="COF_rate" localSheetId="5">#REF!</definedName>
    <definedName name="COF_rate" localSheetId="4">#REF!</definedName>
    <definedName name="COF_rate">#REF!</definedName>
    <definedName name="collect_cost" localSheetId="2">Calculation_hw_full!$C$77:$AA$77</definedName>
    <definedName name="collect_cost" localSheetId="6">Calculation_hw_pd4!$C$77:$AA$77</definedName>
    <definedName name="collect_cost" localSheetId="7">Calculation_hw_pd6!$C$77:$AA$77</definedName>
    <definedName name="collect_cost" localSheetId="5">Calculation_hw_xsore14!$C$77:$AA$77</definedName>
    <definedName name="collect_cost" localSheetId="4">Calculation_hw_xsore16!$C$77:$AA$77</definedName>
    <definedName name="collect_cost">Calculation!$C$74:$AA$74</definedName>
    <definedName name="collection_cost" localSheetId="2">Calculation_hw_full!$C$26</definedName>
    <definedName name="collection_cost" localSheetId="6">Calculation_hw_pd4!$C$26</definedName>
    <definedName name="collection_cost" localSheetId="7">Calculation_hw_pd6!$C$26</definedName>
    <definedName name="collection_cost" localSheetId="5">Calculation_hw_xsore14!$C$26</definedName>
    <definedName name="collection_cost" localSheetId="4">Calculation_hw_xsore16!$C$26</definedName>
    <definedName name="collection_cost">Calculation!$C$26</definedName>
    <definedName name="comission_rate" localSheetId="2">#REF!</definedName>
    <definedName name="comission_rate" localSheetId="6">#REF!</definedName>
    <definedName name="comission_rate" localSheetId="7">#REF!</definedName>
    <definedName name="comission_rate" localSheetId="5">#REF!</definedName>
    <definedName name="comission_rate" localSheetId="4">#REF!</definedName>
    <definedName name="comission_rate">#REF!</definedName>
    <definedName name="Cost_of_AT1" localSheetId="2">Calculation_hw_full!$C$75:$AA$75</definedName>
    <definedName name="Cost_of_AT1" localSheetId="6">Calculation_hw_pd4!$C$75:$AA$75</definedName>
    <definedName name="Cost_of_AT1" localSheetId="7">Calculation_hw_pd6!$C$75:$AA$75</definedName>
    <definedName name="Cost_of_AT1" localSheetId="5">Calculation_hw_xsore14!$C$75:$AA$75</definedName>
    <definedName name="Cost_of_AT1" localSheetId="4">Calculation_hw_xsore16!$C$75:$AA$75</definedName>
    <definedName name="Cost_of_AT1">Calculation!$C$72:$AA$72</definedName>
    <definedName name="Cost_of_Funds" localSheetId="2">Calculation_hw_full!$C$75:$AA$75</definedName>
    <definedName name="Cost_of_Funds" localSheetId="6">Calculation_hw_pd4!$C$75:$AA$75</definedName>
    <definedName name="Cost_of_Funds" localSheetId="7">Calculation_hw_pd6!$C$75:$AA$75</definedName>
    <definedName name="Cost_of_Funds" localSheetId="5">Calculation_hw_xsore14!$C$75:$AA$75</definedName>
    <definedName name="Cost_of_Funds" localSheetId="4">Calculation_hw_xsore16!$C$75:$AA$75</definedName>
    <definedName name="Cost_of_Funds">Calculation!$C$72:$AA$72</definedName>
    <definedName name="cost_tax" localSheetId="2">Calculation_hw_full!$C$103:$AA$103</definedName>
    <definedName name="cost_tax" localSheetId="6">Calculation_hw_pd4!$C$103:$AA$103</definedName>
    <definedName name="cost_tax" localSheetId="7">Calculation_hw_pd6!$C$103:$AA$103</definedName>
    <definedName name="cost_tax" localSheetId="5">Calculation_hw_xsore14!$C$103:$AA$103</definedName>
    <definedName name="cost_tax" localSheetId="4">Calculation_hw_xsore16!$C$103:$AA$103</definedName>
    <definedName name="cost_tax">Calculation!$C$100:$AA$100</definedName>
    <definedName name="cred_fee" localSheetId="2">#REF!</definedName>
    <definedName name="cred_fee" localSheetId="6">#REF!</definedName>
    <definedName name="cred_fee" localSheetId="7">#REF!</definedName>
    <definedName name="cred_fee" localSheetId="5">#REF!</definedName>
    <definedName name="cred_fee" localSheetId="4">#REF!</definedName>
    <definedName name="cred_fee">#REF!</definedName>
    <definedName name="Credit_Fee" localSheetId="2">Calculation_hw_full!#REF!</definedName>
    <definedName name="Credit_Fee" localSheetId="6">Calculation_hw_pd4!#REF!</definedName>
    <definedName name="Credit_Fee" localSheetId="7">Calculation_hw_pd6!#REF!</definedName>
    <definedName name="Credit_Fee" localSheetId="5">Calculation_hw_xsore14!#REF!</definedName>
    <definedName name="Credit_Fee" localSheetId="4">Calculation_hw_xsore16!#REF!</definedName>
    <definedName name="Credit_Fee">Calculation!#REF!</definedName>
    <definedName name="Cumulative_PV" localSheetId="2">Calculation_hw_full!$C$107:$AA$107</definedName>
    <definedName name="Cumulative_PV" localSheetId="6">Calculation_hw_pd4!$C$107:$AA$107</definedName>
    <definedName name="Cumulative_PV" localSheetId="7">Calculation_hw_pd6!$C$107:$AA$107</definedName>
    <definedName name="Cumulative_PV" localSheetId="5">Calculation_hw_xsore14!$C$107:$AA$107</definedName>
    <definedName name="Cumulative_PV" localSheetId="4">Calculation_hw_xsore16!$C$107:$AA$107</definedName>
    <definedName name="Cumulative_PV">Calculation!$C$104:$AA$104</definedName>
    <definedName name="DEF_Rate" localSheetId="2">Calculation_hw_full!$C$35:$AA$35</definedName>
    <definedName name="DEF_Rate" localSheetId="6">Calculation_hw_pd4!$C$35:$AA$35</definedName>
    <definedName name="DEF_Rate" localSheetId="7">Calculation_hw_pd6!$C$35:$AA$35</definedName>
    <definedName name="DEF_Rate" localSheetId="5">Calculation_hw_xsore14!$C$35:$AA$35</definedName>
    <definedName name="DEF_Rate" localSheetId="4">Calculation_hw_xsore16!$C$35:$AA$35</definedName>
    <definedName name="DEF_Rate">Calculation!$C$35:$AA$35</definedName>
    <definedName name="disc_loss" localSheetId="2">Calculation_hw_full!#REF!</definedName>
    <definedName name="disc_loss" localSheetId="6">Calculation_hw_pd4!#REF!</definedName>
    <definedName name="disc_loss" localSheetId="7">Calculation_hw_pd6!#REF!</definedName>
    <definedName name="disc_loss" localSheetId="5">Calculation_hw_xsore14!#REF!</definedName>
    <definedName name="disc_loss" localSheetId="4">Calculation_hw_xsore16!#REF!</definedName>
    <definedName name="disc_loss">Calculation!#REF!</definedName>
    <definedName name="discount_rate" localSheetId="2">Calculation_hw_full!$C$21</definedName>
    <definedName name="discount_rate" localSheetId="6">Calculation_hw_pd4!$C$21</definedName>
    <definedName name="discount_rate" localSheetId="7">Calculation_hw_pd6!$C$21</definedName>
    <definedName name="discount_rate" localSheetId="5">Calculation_hw_xsore14!$C$21</definedName>
    <definedName name="discount_rate" localSheetId="4">Calculation_hw_xsore16!$C$21</definedName>
    <definedName name="discount_rate">Calculation!$C$21</definedName>
    <definedName name="discount_rate_month" localSheetId="2">Calculation_hw_full!$B$100</definedName>
    <definedName name="discount_rate_month" localSheetId="6">Calculation_hw_pd4!$B$100</definedName>
    <definedName name="discount_rate_month" localSheetId="7">Calculation_hw_pd6!$B$100</definedName>
    <definedName name="discount_rate_month" localSheetId="5">Calculation_hw_xsore14!$B$100</definedName>
    <definedName name="discount_rate_month" localSheetId="4">Calculation_hw_xsore16!$B$100</definedName>
    <definedName name="discount_rate_month">Calculation!$B$97</definedName>
    <definedName name="dlnq_collection_cost" localSheetId="2">#REF!</definedName>
    <definedName name="dlnq_collection_cost" localSheetId="6">#REF!</definedName>
    <definedName name="dlnq_collection_cost" localSheetId="7">#REF!</definedName>
    <definedName name="dlnq_collection_cost" localSheetId="5">#REF!</definedName>
    <definedName name="dlnq_collection_cost" localSheetId="4">#REF!</definedName>
    <definedName name="dlnq_collection_cost">#REF!</definedName>
    <definedName name="DLNQ_Rate" localSheetId="2">Calculation_hw_full!$C$36:$AA$36</definedName>
    <definedName name="DLNQ_Rate" localSheetId="6">Calculation_hw_pd4!$C$36:$AA$36</definedName>
    <definedName name="DLNQ_Rate" localSheetId="7">Calculation_hw_pd6!$C$36:$AA$36</definedName>
    <definedName name="DLNQ_Rate" localSheetId="5">Calculation_hw_xsore14!$C$36:$AA$36</definedName>
    <definedName name="DLNQ_Rate" localSheetId="4">Calculation_hw_xsore16!$C$36:$AA$36</definedName>
    <definedName name="DLNQ_Rate">Calculation!$C$36:$AA$36</definedName>
    <definedName name="DLNQ_Ratio" localSheetId="2">Calculation_hw_full!$C$36:$AA$36</definedName>
    <definedName name="DLNQ_Ratio" localSheetId="6">Calculation_hw_pd4!$C$36:$AA$36</definedName>
    <definedName name="DLNQ_Ratio" localSheetId="7">Calculation_hw_pd6!$C$36:$AA$36</definedName>
    <definedName name="DLNQ_Ratio" localSheetId="5">Calculation_hw_xsore14!$C$36:$AA$36</definedName>
    <definedName name="DLNQ_Ratio" localSheetId="4">Calculation_hw_xsore16!$C$36:$AA$36</definedName>
    <definedName name="DLNQ_Ratio">Calculation!$C$36:$AA$36</definedName>
    <definedName name="dlq_ratio_curve" localSheetId="2">#REF!</definedName>
    <definedName name="dlq_ratio_curve" localSheetId="6">#REF!</definedName>
    <definedName name="dlq_ratio_curve" localSheetId="7">#REF!</definedName>
    <definedName name="dlq_ratio_curve" localSheetId="5">#REF!</definedName>
    <definedName name="dlq_ratio_curve" localSheetId="4">#REF!</definedName>
    <definedName name="dlq_ratio_curve">#REF!</definedName>
    <definedName name="dlq_to_notdlq_curve" localSheetId="2">#REF!</definedName>
    <definedName name="dlq_to_notdlq_curve" localSheetId="6">#REF!</definedName>
    <definedName name="dlq_to_notdlq_curve" localSheetId="7">#REF!</definedName>
    <definedName name="dlq_to_notdlq_curve" localSheetId="5">#REF!</definedName>
    <definedName name="dlq_to_notdlq_curve" localSheetId="4">#REF!</definedName>
    <definedName name="dlq_to_notdlq_curve">#REF!</definedName>
    <definedName name="Eq_req" localSheetId="2">Calculation_hw_full!$C$90:$AA$90</definedName>
    <definedName name="Eq_req" localSheetId="6">Calculation_hw_pd4!$C$90:$AA$90</definedName>
    <definedName name="Eq_req" localSheetId="7">Calculation_hw_pd6!$C$90:$AA$90</definedName>
    <definedName name="Eq_req" localSheetId="5">Calculation_hw_xsore14!$C$90:$AA$90</definedName>
    <definedName name="Eq_req" localSheetId="4">Calculation_hw_xsore16!$C$90:$AA$90</definedName>
    <definedName name="Eq_req">Calculation!$C$87:$AA$87</definedName>
    <definedName name="Eq_req_chng" localSheetId="2">Calculation_hw_full!$C$95:$AA$95</definedName>
    <definedName name="Eq_req_chng" localSheetId="6">Calculation_hw_pd4!$C$95:$AA$95</definedName>
    <definedName name="Eq_req_chng" localSheetId="7">Calculation_hw_pd6!$C$95:$AA$95</definedName>
    <definedName name="Eq_req_chng" localSheetId="5">Calculation_hw_xsore14!$C$95:$AA$95</definedName>
    <definedName name="Eq_req_chng" localSheetId="4">Calculation_hw_xsore16!$C$95:$AA$95</definedName>
    <definedName name="Eq_req_chng">Calculation!$C$92:$AA$92</definedName>
    <definedName name="EqR_curve" localSheetId="2">#REF!</definedName>
    <definedName name="EqR_curve" localSheetId="6">#REF!</definedName>
    <definedName name="EqR_curve" localSheetId="7">#REF!</definedName>
    <definedName name="EqR_curve" localSheetId="5">#REF!</definedName>
    <definedName name="EqR_curve" localSheetId="4">#REF!</definedName>
    <definedName name="EqR_curve">#REF!</definedName>
    <definedName name="EqR_curve_H1.0" localSheetId="2">#REF!</definedName>
    <definedName name="EqR_curve_H1.0" localSheetId="6">#REF!</definedName>
    <definedName name="EqR_curve_H1.0" localSheetId="7">#REF!</definedName>
    <definedName name="EqR_curve_H1.0" localSheetId="5">#REF!</definedName>
    <definedName name="EqR_curve_H1.0" localSheetId="4">#REF!</definedName>
    <definedName name="EqR_curve_H1.0">#REF!</definedName>
    <definedName name="EqR_fix_H1.1" localSheetId="2">#REF!</definedName>
    <definedName name="EqR_fix_H1.1" localSheetId="6">#REF!</definedName>
    <definedName name="EqR_fix_H1.1" localSheetId="7">#REF!</definedName>
    <definedName name="EqR_fix_H1.1" localSheetId="5">#REF!</definedName>
    <definedName name="EqR_fix_H1.1" localSheetId="4">#REF!</definedName>
    <definedName name="EqR_fix_H1.1">#REF!</definedName>
    <definedName name="EqR_total_H1.0" localSheetId="2">#REF!</definedName>
    <definedName name="EqR_total_H1.0" localSheetId="6">#REF!</definedName>
    <definedName name="EqR_total_H1.0" localSheetId="7">#REF!</definedName>
    <definedName name="EqR_total_H1.0" localSheetId="5">#REF!</definedName>
    <definedName name="EqR_total_H1.0" localSheetId="4">#REF!</definedName>
    <definedName name="EqR_total_H1.0">#REF!</definedName>
    <definedName name="EqR_total_H1.1" localSheetId="2">#REF!</definedName>
    <definedName name="EqR_total_H1.1" localSheetId="6">#REF!</definedName>
    <definedName name="EqR_total_H1.1" localSheetId="7">#REF!</definedName>
    <definedName name="EqR_total_H1.1" localSheetId="5">#REF!</definedName>
    <definedName name="EqR_total_H1.1" localSheetId="4">#REF!</definedName>
    <definedName name="EqR_total_H1.1">#REF!</definedName>
    <definedName name="Equity_Req" localSheetId="2">Calculation_hw_full!$C$22</definedName>
    <definedName name="Equity_Req" localSheetId="6">Calculation_hw_pd4!$C$22</definedName>
    <definedName name="Equity_Req" localSheetId="7">Calculation_hw_pd6!$C$22</definedName>
    <definedName name="Equity_Req" localSheetId="5">Calculation_hw_xsore14!$C$22</definedName>
    <definedName name="Equity_Req" localSheetId="4">Calculation_hw_xsore16!$C$22</definedName>
    <definedName name="Equity_Req">Calculation!$C$22</definedName>
    <definedName name="erv" localSheetId="2">#REF!</definedName>
    <definedName name="erv" localSheetId="6">#REF!</definedName>
    <definedName name="erv" localSheetId="7">#REF!</definedName>
    <definedName name="erv" localSheetId="5">#REF!</definedName>
    <definedName name="erv" localSheetId="4">#REF!</definedName>
    <definedName name="erv">#REF!</definedName>
    <definedName name="erw" localSheetId="2">#REF!</definedName>
    <definedName name="erw" localSheetId="6">#REF!</definedName>
    <definedName name="erw" localSheetId="7">#REF!</definedName>
    <definedName name="erw" localSheetId="5">#REF!</definedName>
    <definedName name="erw" localSheetId="4">#REF!</definedName>
    <definedName name="erw">#REF!</definedName>
    <definedName name="flow_to_sharehold" localSheetId="2">Calculation_hw_full!$C$104:$AA$104</definedName>
    <definedName name="flow_to_sharehold" localSheetId="6">Calculation_hw_pd4!$C$104:$AA$104</definedName>
    <definedName name="flow_to_sharehold" localSheetId="7">Calculation_hw_pd6!$C$104:$AA$104</definedName>
    <definedName name="flow_to_sharehold" localSheetId="5">Calculation_hw_xsore14!$C$104:$AA$104</definedName>
    <definedName name="flow_to_sharehold" localSheetId="4">Calculation_hw_xsore16!$C$104:$AA$104</definedName>
    <definedName name="flow_to_sharehold">Calculation!$C$101:$AA$101</definedName>
    <definedName name="Fund_req" localSheetId="2">Calculation_hw_full!$C$91:$AA$91</definedName>
    <definedName name="Fund_req" localSheetId="6">Calculation_hw_pd4!$C$91:$AA$91</definedName>
    <definedName name="Fund_req" localSheetId="7">Calculation_hw_pd6!$C$91:$AA$91</definedName>
    <definedName name="Fund_req" localSheetId="5">Calculation_hw_xsore14!$C$91:$AA$91</definedName>
    <definedName name="Fund_req" localSheetId="4">Calculation_hw_xsore16!$C$91:$AA$91</definedName>
    <definedName name="Fund_req">Calculation!$C$88:$AA$88</definedName>
    <definedName name="Fund_req_chng" localSheetId="2">Calculation_hw_full!$C$96:$AA$96</definedName>
    <definedName name="Fund_req_chng" localSheetId="6">Calculation_hw_pd4!$C$96:$AA$96</definedName>
    <definedName name="Fund_req_chng" localSheetId="7">Calculation_hw_pd6!$C$96:$AA$96</definedName>
    <definedName name="Fund_req_chng" localSheetId="5">Calculation_hw_xsore14!$C$96:$AA$96</definedName>
    <definedName name="Fund_req_chng" localSheetId="4">Calculation_hw_xsore16!$C$96:$AA$96</definedName>
    <definedName name="Fund_req_chng">Calculation!$C$93:$AA$93</definedName>
    <definedName name="GB_act" localSheetId="2">Calculation_hw_full!$C$62:$XFD$62</definedName>
    <definedName name="GB_act" localSheetId="6">Calculation_hw_pd4!$C$62:$XFD$62</definedName>
    <definedName name="GB_act" localSheetId="7">Calculation_hw_pd6!$C$62:$XFD$62</definedName>
    <definedName name="GB_act" localSheetId="5">Calculation_hw_xsore14!$C$62:$XFD$62</definedName>
    <definedName name="GB_act" localSheetId="4">Calculation_hw_xsore16!$C$62:$XFD$62</definedName>
    <definedName name="GB_act">Calculation!$C$59:$XFD$59</definedName>
    <definedName name="GB_cur" localSheetId="2">Calculation_hw_full!$C$63:$XFD$63</definedName>
    <definedName name="GB_cur" localSheetId="6">Calculation_hw_pd4!$C$63:$XFD$63</definedName>
    <definedName name="GB_cur" localSheetId="7">Calculation_hw_pd6!$C$63:$XFD$63</definedName>
    <definedName name="GB_cur" localSheetId="5">Calculation_hw_xsore14!$C$63:$XFD$63</definedName>
    <definedName name="GB_cur" localSheetId="4">Calculation_hw_xsore16!$C$63:$XFD$63</definedName>
    <definedName name="GB_cur">Calculation!$C$60:$XFD$60</definedName>
    <definedName name="GB_DEF" localSheetId="2">Calculation_hw_full!$C$65:$AA$65</definedName>
    <definedName name="GB_DEF" localSheetId="6">Calculation_hw_pd4!$C$65:$AA$65</definedName>
    <definedName name="GB_DEF" localSheetId="7">Calculation_hw_pd6!$C$65:$AA$65</definedName>
    <definedName name="GB_DEF" localSheetId="5">Calculation_hw_xsore14!$C$65:$AA$65</definedName>
    <definedName name="GB_DEF" localSheetId="4">Calculation_hw_xsore16!$C$65:$AA$65</definedName>
    <definedName name="GB_DEF">Calculation!$C$62:$AA$62</definedName>
    <definedName name="GB_dlq" localSheetId="2">Calculation_hw_full!$C$64:$XFD$64</definedName>
    <definedName name="GB_dlq" localSheetId="6">Calculation_hw_pd4!$C$64:$XFD$64</definedName>
    <definedName name="GB_dlq" localSheetId="7">Calculation_hw_pd6!$C$64:$XFD$64</definedName>
    <definedName name="GB_dlq" localSheetId="5">Calculation_hw_xsore14!$C$64:$XFD$64</definedName>
    <definedName name="GB_dlq" localSheetId="4">Calculation_hw_xsore16!$C$64:$XFD$64</definedName>
    <definedName name="GB_dlq">Calculation!$C$61:$XFD$61</definedName>
    <definedName name="Gross_Expenses" localSheetId="2">Calculation_hw_full!$C$72:$AA$72</definedName>
    <definedName name="Gross_Expenses" localSheetId="6">Calculation_hw_pd4!$C$72:$AA$72</definedName>
    <definedName name="Gross_Expenses" localSheetId="7">Calculation_hw_pd6!$C$72:$AA$72</definedName>
    <definedName name="Gross_Expenses" localSheetId="5">Calculation_hw_xsore14!$C$72:$AA$72</definedName>
    <definedName name="Gross_Expenses" localSheetId="4">Calculation_hw_xsore16!$C$72:$AA$72</definedName>
    <definedName name="Gross_Expenses">Calculation!$C$69:$AA$69</definedName>
    <definedName name="Gross_Loss" localSheetId="2">Calculation_hw_full!$C$73:$AA$73</definedName>
    <definedName name="Gross_Loss" localSheetId="6">Calculation_hw_pd4!$C$73:$AA$73</definedName>
    <definedName name="Gross_Loss" localSheetId="7">Calculation_hw_pd6!$C$73:$AA$73</definedName>
    <definedName name="Gross_Loss" localSheetId="5">Calculation_hw_xsore14!$C$73:$AA$73</definedName>
    <definedName name="Gross_Loss" localSheetId="4">Calculation_hw_xsore16!$C$73:$AA$73</definedName>
    <definedName name="Gross_Loss">Calculation!$C$70:$AA$70</definedName>
    <definedName name="Gross_profit" localSheetId="2">Calculation_hw_full!$C$68:$AA$68</definedName>
    <definedName name="Gross_profit" localSheetId="6">Calculation_hw_pd4!$C$68:$AA$68</definedName>
    <definedName name="Gross_profit" localSheetId="7">Calculation_hw_pd6!$C$68:$AA$68</definedName>
    <definedName name="Gross_profit" localSheetId="5">Calculation_hw_xsore14!$C$68:$AA$68</definedName>
    <definedName name="Gross_profit" localSheetId="4">Calculation_hw_xsore16!$C$68:$AA$68</definedName>
    <definedName name="Gross_profit">Calculation!$C$65:$AA$65</definedName>
    <definedName name="Gross_Revenue" localSheetId="2">Calculation_hw_full!$C$68:$AA$68</definedName>
    <definedName name="Gross_Revenue" localSheetId="6">Calculation_hw_pd4!$C$68:$AA$68</definedName>
    <definedName name="Gross_Revenue" localSheetId="7">Calculation_hw_pd6!$C$68:$AA$68</definedName>
    <definedName name="Gross_Revenue" localSheetId="5">Calculation_hw_xsore14!$C$68:$AA$68</definedName>
    <definedName name="Gross_Revenue" localSheetId="4">Calculation_hw_xsore16!$C$68:$AA$68</definedName>
    <definedName name="Gross_Revenue">Calculation!$C$65:$AA$65</definedName>
    <definedName name="Income" localSheetId="2">Calculation_hw_full!#REF!</definedName>
    <definedName name="Income" localSheetId="6">Calculation_hw_pd4!#REF!</definedName>
    <definedName name="Income" localSheetId="7">Calculation_hw_pd6!#REF!</definedName>
    <definedName name="Income" localSheetId="5">Calculation_hw_xsore14!#REF!</definedName>
    <definedName name="Income" localSheetId="4">Calculation_hw_xsore16!#REF!</definedName>
    <definedName name="Income">Calculation!#REF!</definedName>
    <definedName name="Income_comulative" localSheetId="2">Calculation_hw_full!#REF!</definedName>
    <definedName name="Income_comulative" localSheetId="6">Calculation_hw_pd4!#REF!</definedName>
    <definedName name="Income_comulative" localSheetId="7">Calculation_hw_pd6!#REF!</definedName>
    <definedName name="Income_comulative" localSheetId="5">Calculation_hw_xsore14!#REF!</definedName>
    <definedName name="Income_comulative" localSheetId="4">Calculation_hw_xsore16!#REF!</definedName>
    <definedName name="Income_comulative">Calculation!#REF!</definedName>
    <definedName name="Income_total" localSheetId="2">Calculation_hw_full!#REF!</definedName>
    <definedName name="Income_total" localSheetId="6">Calculation_hw_pd4!#REF!</definedName>
    <definedName name="Income_total" localSheetId="7">Calculation_hw_pd6!#REF!</definedName>
    <definedName name="Income_total" localSheetId="5">Calculation_hw_xsore14!#REF!</definedName>
    <definedName name="Income_total" localSheetId="4">Calculation_hw_xsore16!#REF!</definedName>
    <definedName name="Income_total">Calculation!#REF!</definedName>
    <definedName name="initial_amount" localSheetId="2">Calculation_hw_full!$C$10</definedName>
    <definedName name="initial_amount" localSheetId="6">Calculation_hw_pd4!$C$10</definedName>
    <definedName name="initial_amount" localSheetId="7">Calculation_hw_pd6!$C$10</definedName>
    <definedName name="initial_amount" localSheetId="5">Calculation_hw_xsore14!$C$10</definedName>
    <definedName name="initial_amount" localSheetId="4">Calculation_hw_xsore16!$C$10</definedName>
    <definedName name="initial_amount">Calculation!$C$10</definedName>
    <definedName name="initial_term" localSheetId="2">Calculation_hw_full!$C$11</definedName>
    <definedName name="initial_term" localSheetId="6">Calculation_hw_pd4!$C$11</definedName>
    <definedName name="initial_term" localSheetId="7">Calculation_hw_pd6!$C$11</definedName>
    <definedName name="initial_term" localSheetId="5">Calculation_hw_xsore14!$C$11</definedName>
    <definedName name="initial_term" localSheetId="4">Calculation_hw_xsore16!$C$11</definedName>
    <definedName name="initial_term">Calculation!$C$11</definedName>
    <definedName name="ins" localSheetId="2">Calculation_hw_full!$C$16</definedName>
    <definedName name="ins" localSheetId="6">Calculation_hw_pd4!$C$16</definedName>
    <definedName name="ins" localSheetId="7">Calculation_hw_pd6!$C$16</definedName>
    <definedName name="ins" localSheetId="5">Calculation_hw_xsore14!$C$16</definedName>
    <definedName name="ins" localSheetId="4">Calculation_hw_xsore16!$C$16</definedName>
    <definedName name="ins">Calculation!$C$16</definedName>
    <definedName name="insurance" localSheetId="0">Calculation!$C$68:$AA$68</definedName>
    <definedName name="insurance" localSheetId="2">Calculation_hw_full!$C$71:$AA$71</definedName>
    <definedName name="insurance" localSheetId="6">Calculation_hw_pd4!$C$71:$AA$71</definedName>
    <definedName name="insurance" localSheetId="7">Calculation_hw_pd6!$C$71:$AA$71</definedName>
    <definedName name="insurance" localSheetId="5">Calculation_hw_xsore14!$C$71:$AA$71</definedName>
    <definedName name="insurance" localSheetId="4">Calculation_hw_xsore16!$C$71:$AA$71</definedName>
    <definedName name="int_model" localSheetId="2">Calculation_hw_full!$C$53:$AA$53</definedName>
    <definedName name="int_model" localSheetId="6">Calculation_hw_pd4!$C$53:$AA$53</definedName>
    <definedName name="int_model" localSheetId="7">Calculation_hw_pd6!$C$53:$AA$53</definedName>
    <definedName name="int_model" localSheetId="5">Calculation_hw_xsore14!$C$53:$AA$53</definedName>
    <definedName name="int_model" localSheetId="4">Calculation_hw_xsore16!$C$53:$AA$53</definedName>
    <definedName name="int_model">Calculation!$C$50:$AA$50</definedName>
    <definedName name="int_rate" localSheetId="2">#REF!</definedName>
    <definedName name="int_rate" localSheetId="6">#REF!</definedName>
    <definedName name="int_rate" localSheetId="7">#REF!</definedName>
    <definedName name="int_rate" localSheetId="5">#REF!</definedName>
    <definedName name="int_rate" localSheetId="4">#REF!</definedName>
    <definedName name="int_rate">#REF!</definedName>
    <definedName name="interest" localSheetId="2">Calculation_hw_full!$C$69:$AA$69</definedName>
    <definedName name="interest" localSheetId="6">Calculation_hw_pd4!$C$69:$AA$69</definedName>
    <definedName name="interest" localSheetId="7">Calculation_hw_pd6!$C$69:$AA$69</definedName>
    <definedName name="interest" localSheetId="5">Calculation_hw_xsore14!$C$69:$AA$69</definedName>
    <definedName name="interest" localSheetId="4">Calculation_hw_xsore16!$C$69:$AA$69</definedName>
    <definedName name="interest">Calculation!$C$66:$AA$66</definedName>
    <definedName name="interest_rate" localSheetId="2">Calculation_hw_full!$C$15</definedName>
    <definedName name="interest_rate" localSheetId="6">Calculation_hw_pd4!$C$15</definedName>
    <definedName name="interest_rate" localSheetId="7">Calculation_hw_pd6!$C$15</definedName>
    <definedName name="interest_rate" localSheetId="5">Calculation_hw_xsore14!$C$15</definedName>
    <definedName name="interest_rate" localSheetId="4">Calculation_hw_xsore16!$C$15</definedName>
    <definedName name="interest_rate">Calculation!$C$15</definedName>
    <definedName name="Loan_Loss" localSheetId="2">Calculation_hw_full!$C$74:$AA$74</definedName>
    <definedName name="Loan_Loss" localSheetId="6">Calculation_hw_pd4!$C$74:$AA$74</definedName>
    <definedName name="Loan_Loss" localSheetId="7">Calculation_hw_pd6!$C$74:$AA$74</definedName>
    <definedName name="Loan_Loss" localSheetId="5">Calculation_hw_xsore14!$C$74:$AA$74</definedName>
    <definedName name="Loan_Loss" localSheetId="4">Calculation_hw_xsore16!$C$74:$AA$74</definedName>
    <definedName name="Loan_Loss">Calculation!$C$71:$AA$71</definedName>
    <definedName name="logit" localSheetId="2">#REF!</definedName>
    <definedName name="logit" localSheetId="6">#REF!</definedName>
    <definedName name="logit" localSheetId="7">#REF!</definedName>
    <definedName name="logit" localSheetId="5">#REF!</definedName>
    <definedName name="logit" localSheetId="4">#REF!</definedName>
    <definedName name="logit">#REF!</definedName>
    <definedName name="manual_CLO_rate" localSheetId="2">#REF!</definedName>
    <definedName name="manual_CLO_rate" localSheetId="6">#REF!</definedName>
    <definedName name="manual_CLO_rate" localSheetId="7">#REF!</definedName>
    <definedName name="manual_CLO_rate" localSheetId="5">#REF!</definedName>
    <definedName name="manual_CLO_rate" localSheetId="4">#REF!</definedName>
    <definedName name="manual_CLO_rate">#REF!</definedName>
    <definedName name="manual_DLQ_ratio" localSheetId="2">#REF!</definedName>
    <definedName name="manual_DLQ_ratio" localSheetId="6">#REF!</definedName>
    <definedName name="manual_DLQ_ratio" localSheetId="7">#REF!</definedName>
    <definedName name="manual_DLQ_ratio" localSheetId="5">#REF!</definedName>
    <definedName name="manual_DLQ_ratio" localSheetId="4">#REF!</definedName>
    <definedName name="manual_DLQ_ratio">#REF!</definedName>
    <definedName name="manual_insurance_ratio" localSheetId="2">#REF!</definedName>
    <definedName name="manual_insurance_ratio" localSheetId="6">#REF!</definedName>
    <definedName name="manual_insurance_ratio" localSheetId="7">#REF!</definedName>
    <definedName name="manual_insurance_ratio" localSheetId="5">#REF!</definedName>
    <definedName name="manual_insurance_ratio" localSheetId="4">#REF!</definedName>
    <definedName name="manual_insurance_ratio">#REF!</definedName>
    <definedName name="manual_miss_rep_cnt" localSheetId="2">#REF!</definedName>
    <definedName name="manual_miss_rep_cnt" localSheetId="6">#REF!</definedName>
    <definedName name="manual_miss_rep_cnt" localSheetId="7">#REF!</definedName>
    <definedName name="manual_miss_rep_cnt" localSheetId="5">#REF!</definedName>
    <definedName name="manual_miss_rep_cnt" localSheetId="4">#REF!</definedName>
    <definedName name="manual_miss_rep_cnt">#REF!</definedName>
    <definedName name="manual_ovd_fee_cnt" localSheetId="2">#REF!</definedName>
    <definedName name="manual_ovd_fee_cnt" localSheetId="6">#REF!</definedName>
    <definedName name="manual_ovd_fee_cnt" localSheetId="7">#REF!</definedName>
    <definedName name="manual_ovd_fee_cnt" localSheetId="5">#REF!</definedName>
    <definedName name="manual_ovd_fee_cnt" localSheetId="4">#REF!</definedName>
    <definedName name="manual_ovd_fee_cnt">#REF!</definedName>
    <definedName name="manual_WRO_rate" localSheetId="2">#REF!</definedName>
    <definedName name="manual_WRO_rate" localSheetId="6">#REF!</definedName>
    <definedName name="manual_WRO_rate" localSheetId="7">#REF!</definedName>
    <definedName name="manual_WRO_rate" localSheetId="5">#REF!</definedName>
    <definedName name="manual_WRO_rate" localSheetId="4">#REF!</definedName>
    <definedName name="manual_WRO_rate">#REF!</definedName>
    <definedName name="mean_pd_bucket" localSheetId="2">#REF!</definedName>
    <definedName name="mean_pd_bucket" localSheetId="6">#REF!</definedName>
    <definedName name="mean_pd_bucket" localSheetId="7">#REF!</definedName>
    <definedName name="mean_pd_bucket" localSheetId="5">#REF!</definedName>
    <definedName name="mean_pd_bucket" localSheetId="4">#REF!</definedName>
    <definedName name="mean_pd_bucket">#REF!</definedName>
    <definedName name="miss_rep_cnt_dlq_curve" localSheetId="2">#REF!</definedName>
    <definedName name="miss_rep_cnt_dlq_curve" localSheetId="6">#REF!</definedName>
    <definedName name="miss_rep_cnt_dlq_curve" localSheetId="7">#REF!</definedName>
    <definedName name="miss_rep_cnt_dlq_curve" localSheetId="5">#REF!</definedName>
    <definedName name="miss_rep_cnt_dlq_curve" localSheetId="4">#REF!</definedName>
    <definedName name="miss_rep_cnt_dlq_curve">#REF!</definedName>
    <definedName name="Net_Income_Atax" localSheetId="2">Calculation_hw_full!$C$85:$AA$85</definedName>
    <definedName name="Net_Income_Atax" localSheetId="6">Calculation_hw_pd4!$C$85:$AA$85</definedName>
    <definedName name="Net_Income_Atax" localSheetId="7">Calculation_hw_pd6!$C$85:$AA$85</definedName>
    <definedName name="Net_Income_Atax" localSheetId="5">Calculation_hw_xsore14!$C$85:$AA$85</definedName>
    <definedName name="Net_Income_Atax" localSheetId="4">Calculation_hw_xsore16!$C$85:$AA$85</definedName>
    <definedName name="Net_Income_Atax">Calculation!$C$82:$AA$82</definedName>
    <definedName name="Net_Income_Bax" localSheetId="2">Calculation_hw_full!$C$83:$AA$83</definedName>
    <definedName name="Net_Income_Bax" localSheetId="6">Calculation_hw_pd4!$C$83:$AA$83</definedName>
    <definedName name="Net_Income_Bax" localSheetId="7">Calculation_hw_pd6!$C$83:$AA$83</definedName>
    <definedName name="Net_Income_Bax" localSheetId="5">Calculation_hw_xsore14!$C$83:$AA$83</definedName>
    <definedName name="Net_Income_Bax" localSheetId="4">Calculation_hw_xsore16!$C$83:$AA$83</definedName>
    <definedName name="Net_Income_Bax">Calculation!$C$80:$AA$80</definedName>
    <definedName name="next" localSheetId="0">Calculation!B:B</definedName>
    <definedName name="next" localSheetId="2">Calculation_hw_full!B:B</definedName>
    <definedName name="next" localSheetId="6">Calculation_hw_pd4!B:B</definedName>
    <definedName name="next" localSheetId="7">Calculation_hw_pd6!B:B</definedName>
    <definedName name="next" localSheetId="5">Calculation_hw_xsore14!B:B</definedName>
    <definedName name="next" localSheetId="4">Calculation_hw_xsore16!B:B</definedName>
    <definedName name="next_" localSheetId="2">#REF!</definedName>
    <definedName name="next_" localSheetId="6">#REF!</definedName>
    <definedName name="next_" localSheetId="7">#REF!</definedName>
    <definedName name="next_" localSheetId="5">#REF!</definedName>
    <definedName name="next_" localSheetId="4">#REF!</definedName>
    <definedName name="next_">#REF!</definedName>
    <definedName name="NPV" localSheetId="2">#REF!</definedName>
    <definedName name="NPV" localSheetId="6">#REF!</definedName>
    <definedName name="NPV" localSheetId="7">#REF!</definedName>
    <definedName name="NPV" localSheetId="5">#REF!</definedName>
    <definedName name="NPV" localSheetId="4">#REF!</definedName>
    <definedName name="NPV">#REF!</definedName>
    <definedName name="Oper_Cash_Flow" localSheetId="2">Calculation_hw_full!#REF!</definedName>
    <definedName name="Oper_Cash_Flow" localSheetId="6">Calculation_hw_pd4!#REF!</definedName>
    <definedName name="Oper_Cash_Flow" localSheetId="7">Calculation_hw_pd6!#REF!</definedName>
    <definedName name="Oper_Cash_Flow" localSheetId="5">Calculation_hw_xsore14!#REF!</definedName>
    <definedName name="Oper_Cash_Flow" localSheetId="4">Calculation_hw_xsore16!#REF!</definedName>
    <definedName name="Oper_Cash_Flow">Calculation!#REF!</definedName>
    <definedName name="oper_cost" localSheetId="2">Calculation_hw_full!$C$25</definedName>
    <definedName name="oper_cost" localSheetId="6">Calculation_hw_pd4!$C$25</definedName>
    <definedName name="oper_cost" localSheetId="7">Calculation_hw_pd6!$C$25</definedName>
    <definedName name="oper_cost" localSheetId="5">Calculation_hw_xsore14!$C$25</definedName>
    <definedName name="oper_cost" localSheetId="4">Calculation_hw_xsore16!$C$25</definedName>
    <definedName name="oper_cost">Calculation!$C$25</definedName>
    <definedName name="Oper_Risk_Bal" localSheetId="2">Calculation_hw_full!#REF!</definedName>
    <definedName name="Oper_Risk_Bal" localSheetId="6">Calculation_hw_pd4!#REF!</definedName>
    <definedName name="Oper_Risk_Bal" localSheetId="7">Calculation_hw_pd6!#REF!</definedName>
    <definedName name="Oper_Risk_Bal" localSheetId="5">Calculation_hw_xsore14!#REF!</definedName>
    <definedName name="Oper_Risk_Bal" localSheetId="4">Calculation_hw_xsore16!#REF!</definedName>
    <definedName name="Oper_Risk_Bal">Calculation!#REF!</definedName>
    <definedName name="oper_risk_loss" localSheetId="2">Calculation_hw_full!#REF!</definedName>
    <definedName name="oper_risk_loss" localSheetId="6">Calculation_hw_pd4!#REF!</definedName>
    <definedName name="oper_risk_loss" localSheetId="7">Calculation_hw_pd6!#REF!</definedName>
    <definedName name="oper_risk_loss" localSheetId="5">Calculation_hw_xsore14!#REF!</definedName>
    <definedName name="oper_risk_loss" localSheetId="4">Calculation_hw_xsore16!#REF!</definedName>
    <definedName name="oper_risk_loss">Calculation!#REF!</definedName>
    <definedName name="Operation_cost" localSheetId="2">Calculation_hw_full!$C$76:$AA$76</definedName>
    <definedName name="Operation_cost" localSheetId="6">Calculation_hw_pd4!$C$76:$AA$76</definedName>
    <definedName name="Operation_cost" localSheetId="7">Calculation_hw_pd6!$C$76:$AA$76</definedName>
    <definedName name="Operation_cost" localSheetId="5">Calculation_hw_xsore14!$C$76:$AA$76</definedName>
    <definedName name="Operation_cost" localSheetId="4">Calculation_hw_xsore16!$C$76:$AA$76</definedName>
    <definedName name="Operation_cost">Calculation!$C$73:$AA$73</definedName>
    <definedName name="operational_cost" localSheetId="2">Calculation_hw_full!$C$76:$AA$76</definedName>
    <definedName name="operational_cost" localSheetId="6">Calculation_hw_pd4!$C$76:$AA$76</definedName>
    <definedName name="operational_cost" localSheetId="7">Calculation_hw_pd6!$C$76:$AA$76</definedName>
    <definedName name="operational_cost" localSheetId="5">Calculation_hw_xsore14!$C$76:$AA$76</definedName>
    <definedName name="operational_cost" localSheetId="4">Calculation_hw_xsore16!$C$76:$AA$76</definedName>
    <definedName name="operational_cost">Calculation!$C$73:$AA$73</definedName>
    <definedName name="OperRisk_Disc_loss" localSheetId="2">Calculation_hw_full!#REF!</definedName>
    <definedName name="OperRisk_Disc_loss" localSheetId="6">Calculation_hw_pd4!#REF!</definedName>
    <definedName name="OperRisk_Disc_loss" localSheetId="7">Calculation_hw_pd6!#REF!</definedName>
    <definedName name="OperRisk_Disc_loss" localSheetId="5">Calculation_hw_xsore14!#REF!</definedName>
    <definedName name="OperRisk_Disc_loss" localSheetId="4">Calculation_hw_xsore16!#REF!</definedName>
    <definedName name="OperRisk_Disc_loss">Calculation!#REF!</definedName>
    <definedName name="ovd_fee_cnt_curve" localSheetId="2">#REF!</definedName>
    <definedName name="ovd_fee_cnt_curve" localSheetId="6">#REF!</definedName>
    <definedName name="ovd_fee_cnt_curve" localSheetId="7">#REF!</definedName>
    <definedName name="ovd_fee_cnt_curve" localSheetId="5">#REF!</definedName>
    <definedName name="ovd_fee_cnt_curve" localSheetId="4">#REF!</definedName>
    <definedName name="ovd_fee_cnt_curve">#REF!</definedName>
    <definedName name="overdue_fee" localSheetId="2">Calculation_hw_full!$C$70:$AA$70</definedName>
    <definedName name="overdue_fee" localSheetId="6">Calculation_hw_pd4!$C$70:$AA$70</definedName>
    <definedName name="overdue_fee" localSheetId="7">Calculation_hw_pd6!$C$70:$AA$70</definedName>
    <definedName name="overdue_fee" localSheetId="5">Calculation_hw_xsore14!$C$70:$AA$70</definedName>
    <definedName name="overdue_fee" localSheetId="4">Calculation_hw_xsore16!$C$70:$AA$70</definedName>
    <definedName name="overdue_fee">Calculation!$C$67:$AA$67</definedName>
    <definedName name="payment_channel_cost" localSheetId="2">#REF!</definedName>
    <definedName name="payment_channel_cost" localSheetId="6">#REF!</definedName>
    <definedName name="payment_channel_cost" localSheetId="7">#REF!</definedName>
    <definedName name="payment_channel_cost" localSheetId="5">#REF!</definedName>
    <definedName name="payment_channel_cost" localSheetId="4">#REF!</definedName>
    <definedName name="payment_channel_cost">#REF!</definedName>
    <definedName name="PB" localSheetId="2">Calculation_hw_full!$C$52:$AA$52</definedName>
    <definedName name="PB" localSheetId="6">Calculation_hw_pd4!$C$52:$AA$52</definedName>
    <definedName name="PB" localSheetId="7">Calculation_hw_pd6!$C$52:$AA$52</definedName>
    <definedName name="PB" localSheetId="5">Calculation_hw_xsore14!$C$52:$AA$52</definedName>
    <definedName name="PB" localSheetId="4">Calculation_hw_xsore16!$C$52:$AA$52</definedName>
    <definedName name="PB">Calculation!$C$49:$AA$49</definedName>
    <definedName name="PB_act" localSheetId="2">Calculation_hw_full!$C$56:$AA$56</definedName>
    <definedName name="PB_act" localSheetId="6">Calculation_hw_pd4!$C$56:$AA$56</definedName>
    <definedName name="PB_act" localSheetId="7">Calculation_hw_pd6!$C$56:$AA$56</definedName>
    <definedName name="PB_act" localSheetId="5">Calculation_hw_xsore14!$C$56:$AA$56</definedName>
    <definedName name="PB_act" localSheetId="4">Calculation_hw_xsore16!$C$56:$AA$56</definedName>
    <definedName name="PB_act">Calculation!$C$53:$AA$53</definedName>
    <definedName name="PB_cur" localSheetId="2">Calculation_hw_full!$C$57:$AA$57</definedName>
    <definedName name="PB_cur" localSheetId="6">Calculation_hw_pd4!$C$57:$AA$57</definedName>
    <definedName name="PB_cur" localSheetId="7">Calculation_hw_pd6!$C$57:$AA$57</definedName>
    <definedName name="PB_cur" localSheetId="5">Calculation_hw_xsore14!$C$57:$AA$57</definedName>
    <definedName name="PB_cur" localSheetId="4">Calculation_hw_xsore16!$C$57:$AA$57</definedName>
    <definedName name="PB_cur">Calculation!$C$54:$AA$54</definedName>
    <definedName name="PB_def" localSheetId="2">Calculation_hw_full!$C$59:$AA$59</definedName>
    <definedName name="PB_def" localSheetId="6">Calculation_hw_pd4!$C$59:$AA$59</definedName>
    <definedName name="PB_def" localSheetId="7">Calculation_hw_pd6!$C$59:$AA$59</definedName>
    <definedName name="PB_def" localSheetId="5">Calculation_hw_xsore14!$C$59:$AA$59</definedName>
    <definedName name="PB_def" localSheetId="4">Calculation_hw_xsore16!$C$59:$AA$59</definedName>
    <definedName name="PB_def">Calculation!$C$56:$AA$56</definedName>
    <definedName name="PB_dlq" localSheetId="2">Calculation_hw_full!$C$58:$AA$58</definedName>
    <definedName name="PB_dlq" localSheetId="6">Calculation_hw_pd4!$C$58:$AA$58</definedName>
    <definedName name="PB_dlq" localSheetId="7">Calculation_hw_pd6!$C$58:$AA$58</definedName>
    <definedName name="PB_dlq" localSheetId="5">Calculation_hw_xsore14!$C$58:$AA$58</definedName>
    <definedName name="PB_dlq" localSheetId="4">Calculation_hw_xsore16!$C$58:$AA$58</definedName>
    <definedName name="PB_dlq">Calculation!$C$55:$AA$55</definedName>
    <definedName name="PB_model" localSheetId="2">Calculation_hw_full!$C$52:$AA$52</definedName>
    <definedName name="PB_model" localSheetId="6">Calculation_hw_pd4!$C$52:$AA$52</definedName>
    <definedName name="PB_model" localSheetId="7">Calculation_hw_pd6!$C$52:$AA$52</definedName>
    <definedName name="PB_model" localSheetId="5">Calculation_hw_xsore14!$C$52:$AA$52</definedName>
    <definedName name="PB_model" localSheetId="4">Calculation_hw_xsore16!$C$52:$AA$52</definedName>
    <definedName name="PB_model">Calculation!$C$49:$AA$49</definedName>
    <definedName name="pclo" localSheetId="2">Calculation_hw_full!$C$9</definedName>
    <definedName name="pclo" localSheetId="6">Calculation_hw_pd4!$C$9</definedName>
    <definedName name="pclo" localSheetId="7">Calculation_hw_pd6!$C$9</definedName>
    <definedName name="pclo" localSheetId="5">Calculation_hw_xsore14!$C$9</definedName>
    <definedName name="pclo" localSheetId="4">Calculation_hw_xsore16!$C$9</definedName>
    <definedName name="pclo">Calculation!$C$9</definedName>
    <definedName name="pd" localSheetId="2">Calculation_hw_full!$C$8</definedName>
    <definedName name="pd" localSheetId="6">Calculation_hw_pd4!$C$8</definedName>
    <definedName name="pd" localSheetId="7">Calculation_hw_pd6!$C$8</definedName>
    <definedName name="pd" localSheetId="5">Calculation_hw_xsore14!$C$8</definedName>
    <definedName name="pd" localSheetId="4">Calculation_hw_xsore16!$C$8</definedName>
    <definedName name="pd">Calculation!$C$8</definedName>
    <definedName name="pd_bucket_max" localSheetId="2">#REF!</definedName>
    <definedName name="pd_bucket_max" localSheetId="6">#REF!</definedName>
    <definedName name="pd_bucket_max" localSheetId="7">#REF!</definedName>
    <definedName name="pd_bucket_max" localSheetId="5">#REF!</definedName>
    <definedName name="pd_bucket_max" localSheetId="4">#REF!</definedName>
    <definedName name="pd_bucket_max">#REF!</definedName>
    <definedName name="pd_clbr" localSheetId="2">#REF!</definedName>
    <definedName name="pd_clbr" localSheetId="6">#REF!</definedName>
    <definedName name="pd_clbr" localSheetId="7">#REF!</definedName>
    <definedName name="pd_clbr" localSheetId="5">#REF!</definedName>
    <definedName name="pd_clbr" localSheetId="4">#REF!</definedName>
    <definedName name="pd_clbr">#REF!</definedName>
    <definedName name="perp_int_rate" localSheetId="2">#REF!</definedName>
    <definedName name="perp_int_rate" localSheetId="6">#REF!</definedName>
    <definedName name="perp_int_rate" localSheetId="7">#REF!</definedName>
    <definedName name="perp_int_rate" localSheetId="5">#REF!</definedName>
    <definedName name="perp_int_rate" localSheetId="4">#REF!</definedName>
    <definedName name="perp_int_rate">#REF!</definedName>
    <definedName name="Perp_Serv" localSheetId="2">Calculation_hw_full!$C$75:$AA$75</definedName>
    <definedName name="Perp_Serv" localSheetId="6">Calculation_hw_pd4!$C$75:$AA$75</definedName>
    <definedName name="Perp_Serv" localSheetId="7">Calculation_hw_pd6!$C$75:$AA$75</definedName>
    <definedName name="Perp_Serv" localSheetId="5">Calculation_hw_xsore14!$C$75:$AA$75</definedName>
    <definedName name="Perp_Serv" localSheetId="4">Calculation_hw_xsore16!$C$75:$AA$75</definedName>
    <definedName name="Perp_Serv">Calculation!$C$72:$AA$72</definedName>
    <definedName name="pmnt_fee" localSheetId="2">Calculation_hw_full!#REF!</definedName>
    <definedName name="pmnt_fee" localSheetId="6">Calculation_hw_pd4!#REF!</definedName>
    <definedName name="pmnt_fee" localSheetId="7">Calculation_hw_pd6!#REF!</definedName>
    <definedName name="pmnt_fee" localSheetId="5">Calculation_hw_xsore14!#REF!</definedName>
    <definedName name="pmnt_fee" localSheetId="4">Calculation_hw_xsore16!#REF!</definedName>
    <definedName name="pmnt_fee">Calculation!#REF!</definedName>
    <definedName name="prev" localSheetId="2">Calculation_hw_full!XFD:XFD</definedName>
    <definedName name="prev" localSheetId="6">Calculation_hw_pd4!XFD:XFD</definedName>
    <definedName name="prev" localSheetId="7">Calculation_hw_pd6!XFD:XFD</definedName>
    <definedName name="prev" localSheetId="5">Calculation_hw_xsore14!XFD:XFD</definedName>
    <definedName name="prev" localSheetId="4">Calculation_hw_xsore16!XFD:XFD</definedName>
    <definedName name="prev">Calculation!XFD:XFD</definedName>
    <definedName name="prev_" localSheetId="2">Calculation_hw_full!XFA:XFA</definedName>
    <definedName name="prev_" localSheetId="6">Calculation_hw_pd4!XFA:XFA</definedName>
    <definedName name="prev_" localSheetId="7">Calculation_hw_pd6!XFA:XFA</definedName>
    <definedName name="prev_" localSheetId="5">Calculation_hw_xsore14!XFA:XFA</definedName>
    <definedName name="prev_" localSheetId="4">Calculation_hw_xsore16!XFA:XFA</definedName>
    <definedName name="prev_">Calculation!XFA:XFA</definedName>
    <definedName name="prrr" localSheetId="2">#REF!</definedName>
    <definedName name="prrr" localSheetId="6">#REF!</definedName>
    <definedName name="prrr" localSheetId="7">#REF!</definedName>
    <definedName name="prrr" localSheetId="5">#REF!</definedName>
    <definedName name="prrr" localSheetId="4">#REF!</definedName>
    <definedName name="prrr">#REF!</definedName>
    <definedName name="PV" localSheetId="2">Calculation_hw_full!$B$104</definedName>
    <definedName name="PV" localSheetId="6">Calculation_hw_pd4!$B$104</definedName>
    <definedName name="PV" localSheetId="7">Calculation_hw_pd6!$B$104</definedName>
    <definedName name="PV" localSheetId="5">Calculation_hw_xsore14!$B$104</definedName>
    <definedName name="PV" localSheetId="4">Calculation_hw_xsore16!$B$104</definedName>
    <definedName name="PV">Calculation!$B$101</definedName>
    <definedName name="px" localSheetId="2">Calculation_hw_full!$C$9</definedName>
    <definedName name="px" localSheetId="6">Calculation_hw_pd4!$C$9</definedName>
    <definedName name="px" localSheetId="7">Calculation_hw_pd6!$C$9</definedName>
    <definedName name="px" localSheetId="5">Calculation_hw_xsore14!$C$9</definedName>
    <definedName name="px" localSheetId="4">Calculation_hw_xsore16!$C$9</definedName>
    <definedName name="px">Calculation!$C$9</definedName>
    <definedName name="recov" localSheetId="2">Calculation_hw_full!$C$70:$AA$70</definedName>
    <definedName name="recov" localSheetId="6">Calculation_hw_pd4!$C$70:$AA$70</definedName>
    <definedName name="recov" localSheetId="7">Calculation_hw_pd6!$C$70:$AA$70</definedName>
    <definedName name="recov" localSheetId="5">Calculation_hw_xsore14!$C$70:$AA$70</definedName>
    <definedName name="recov" localSheetId="4">Calculation_hw_xsore16!$C$70:$AA$70</definedName>
    <definedName name="recov">Calculation!$C$67:$AA$67</definedName>
    <definedName name="recovery" localSheetId="2">Calculation_hw_full!$C$27</definedName>
    <definedName name="recovery" localSheetId="6">Calculation_hw_pd4!$C$27</definedName>
    <definedName name="recovery" localSheetId="7">Calculation_hw_pd6!$C$27</definedName>
    <definedName name="recovery" localSheetId="5">Calculation_hw_xsore14!$C$27</definedName>
    <definedName name="recovery" localSheetId="4">Calculation_hw_xsore16!$C$27</definedName>
    <definedName name="recovery">Calculation!$C$27</definedName>
    <definedName name="Recovery_disc" localSheetId="2">#REF!</definedName>
    <definedName name="Recovery_disc" localSheetId="6">#REF!</definedName>
    <definedName name="Recovery_disc" localSheetId="7">#REF!</definedName>
    <definedName name="Recovery_disc" localSheetId="5">#REF!</definedName>
    <definedName name="Recovery_disc" localSheetId="4">#REF!</definedName>
    <definedName name="Recovery_disc">#REF!</definedName>
    <definedName name="recovery_st" localSheetId="0">Calculation!$C$67:$AA$67</definedName>
    <definedName name="recovery_st" localSheetId="2">Calculation_hw_full!$C$70:$AA$70</definedName>
    <definedName name="recovery_st" localSheetId="6">Calculation_hw_pd4!$C$70:$AA$70</definedName>
    <definedName name="recovery_st" localSheetId="7">Calculation_hw_pd6!$C$70:$AA$70</definedName>
    <definedName name="recovery_st" localSheetId="5">Calculation_hw_xsore14!$C$70:$AA$70</definedName>
    <definedName name="recovery_st" localSheetId="4">Calculation_hw_xsore16!$C$70:$AA$70</definedName>
    <definedName name="regaular_repayment" localSheetId="2">#REF!</definedName>
    <definedName name="regaular_repayment" localSheetId="6">#REF!</definedName>
    <definedName name="regaular_repayment" localSheetId="7">#REF!</definedName>
    <definedName name="regaular_repayment" localSheetId="5">#REF!</definedName>
    <definedName name="regaular_repayment" localSheetId="4">#REF!</definedName>
    <definedName name="regaular_repayment">#REF!</definedName>
    <definedName name="regular_payment" localSheetId="2">Calculation_hw_full!$C$12</definedName>
    <definedName name="regular_payment" localSheetId="6">Calculation_hw_pd4!$C$12</definedName>
    <definedName name="regular_payment" localSheetId="7">Calculation_hw_pd6!$C$12</definedName>
    <definedName name="regular_payment" localSheetId="5">Calculation_hw_xsore14!$C$12</definedName>
    <definedName name="regular_payment" localSheetId="4">Calculation_hw_xsore16!$C$12</definedName>
    <definedName name="regular_payment">Calculation!$C$12</definedName>
    <definedName name="repayment" localSheetId="2">Calculation_hw_full!$C$80:$AA$80</definedName>
    <definedName name="repayment" localSheetId="6">Calculation_hw_pd4!$C$80:$AA$80</definedName>
    <definedName name="repayment" localSheetId="7">Calculation_hw_pd6!$C$80:$AA$80</definedName>
    <definedName name="repayment" localSheetId="5">Calculation_hw_xsore14!$C$80:$AA$80</definedName>
    <definedName name="repayment" localSheetId="4">Calculation_hw_xsore16!$C$80:$AA$80</definedName>
    <definedName name="repayment">Calculation!$C$77:$AA$77</definedName>
    <definedName name="rv" localSheetId="2">#REF!</definedName>
    <definedName name="rv" localSheetId="6">#REF!</definedName>
    <definedName name="rv" localSheetId="7">#REF!</definedName>
    <definedName name="rv" localSheetId="5">#REF!</definedName>
    <definedName name="rv" localSheetId="4">#REF!</definedName>
    <definedName name="rv">#REF!</definedName>
    <definedName name="rw" localSheetId="2">#REF!</definedName>
    <definedName name="rw" localSheetId="6">#REF!</definedName>
    <definedName name="rw" localSheetId="7">#REF!</definedName>
    <definedName name="rw" localSheetId="5">#REF!</definedName>
    <definedName name="rw" localSheetId="4">#REF!</definedName>
    <definedName name="rw">#REF!</definedName>
    <definedName name="shareholders" localSheetId="2">Calculation_hw_full!$C$104:$AA$104</definedName>
    <definedName name="shareholders" localSheetId="6">Calculation_hw_pd4!$C$104:$AA$104</definedName>
    <definedName name="shareholders" localSheetId="7">Calculation_hw_pd6!$C$104:$AA$104</definedName>
    <definedName name="shareholders" localSheetId="5">Calculation_hw_xsore14!$C$104:$AA$104</definedName>
    <definedName name="shareholders" localSheetId="4">Calculation_hw_xsore16!$C$104:$AA$104</definedName>
    <definedName name="shareholders">Calculation!$C$101:$AA$101</definedName>
    <definedName name="statement_no" localSheetId="2">Calculation_hw_full!$C$42:$AA$42</definedName>
    <definedName name="statement_no" localSheetId="6">Calculation_hw_pd4!$C$42:$AA$42</definedName>
    <definedName name="statement_no" localSheetId="7">Calculation_hw_pd6!$C$42:$AA$42</definedName>
    <definedName name="statement_no" localSheetId="5">Calculation_hw_xsore14!$C$42:$AA$42</definedName>
    <definedName name="statement_no" localSheetId="4">Calculation_hw_xsore16!$C$42:$AA$42</definedName>
    <definedName name="statement_no">Calculation!$C$39:$AA$39</definedName>
    <definedName name="sum" localSheetId="2">#REF!</definedName>
    <definedName name="sum" localSheetId="6">#REF!</definedName>
    <definedName name="sum" localSheetId="7">#REF!</definedName>
    <definedName name="sum" localSheetId="5">#REF!</definedName>
    <definedName name="sum" localSheetId="4">#REF!</definedName>
    <definedName name="sum">#REF!</definedName>
    <definedName name="Tax" localSheetId="2">Calculation_hw_full!$C$84:$AA$84</definedName>
    <definedName name="Tax" localSheetId="6">Calculation_hw_pd4!$C$84:$AA$84</definedName>
    <definedName name="Tax" localSheetId="7">Calculation_hw_pd6!$C$84:$AA$84</definedName>
    <definedName name="Tax" localSheetId="5">Calculation_hw_xsore14!$C$84:$AA$84</definedName>
    <definedName name="Tax" localSheetId="4">Calculation_hw_xsore16!$C$84:$AA$84</definedName>
    <definedName name="Tax">Calculation!$C$81:$AA$81</definedName>
    <definedName name="tax_rate" localSheetId="2">Calculation_hw_full!$C$20</definedName>
    <definedName name="tax_rate" localSheetId="6">Calculation_hw_pd4!$C$20</definedName>
    <definedName name="tax_rate" localSheetId="7">Calculation_hw_pd6!$C$20</definedName>
    <definedName name="tax_rate" localSheetId="5">Calculation_hw_xsore14!$C$20</definedName>
    <definedName name="tax_rate" localSheetId="4">Calculation_hw_xsore16!$C$20</definedName>
    <definedName name="tax_rate">Calculation!$C$20</definedName>
    <definedName name="term" localSheetId="2">#REF!</definedName>
    <definedName name="term" localSheetId="6">#REF!</definedName>
    <definedName name="term" localSheetId="7">#REF!</definedName>
    <definedName name="term" localSheetId="5">#REF!</definedName>
    <definedName name="term" localSheetId="4">#REF!</definedName>
    <definedName name="term">#REF!</definedName>
    <definedName name="to_bondholders" localSheetId="2">Calculation_hw_full!$C$102:$AA$102</definedName>
    <definedName name="to_bondholders" localSheetId="6">Calculation_hw_pd4!$C$102:$AA$102</definedName>
    <definedName name="to_bondholders" localSheetId="7">Calculation_hw_pd6!$C$102:$AA$102</definedName>
    <definedName name="to_bondholders" localSheetId="5">Calculation_hw_xsore14!$C$102:$AA$102</definedName>
    <definedName name="to_bondholders" localSheetId="4">Calculation_hw_xsore16!$C$102:$AA$102</definedName>
    <definedName name="to_bondholders">Calculation!$C$99:$AA$99</definedName>
    <definedName name="wro_rate_curve" localSheetId="2">#REF!</definedName>
    <definedName name="wro_rate_curve" localSheetId="6">#REF!</definedName>
    <definedName name="wro_rate_curve" localSheetId="7">#REF!</definedName>
    <definedName name="wro_rate_curve" localSheetId="5">#REF!</definedName>
    <definedName name="wro_rate_curve" localSheetId="4">#REF!</definedName>
    <definedName name="wro_rate_curve">#REF!</definedName>
    <definedName name="ВПОДК" localSheetId="2">#REF!</definedName>
    <definedName name="ВПОДК" localSheetId="6">#REF!</definedName>
    <definedName name="ВПОДК" localSheetId="7">#REF!</definedName>
    <definedName name="ВПОДК" localSheetId="5">#REF!</definedName>
    <definedName name="ВПОДК" localSheetId="4">#REF!</definedName>
    <definedName name="ВПОДК">#REF!</definedName>
  </definedNames>
  <calcPr calcId="145621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1" i="21" l="1"/>
  <c r="B100" i="21"/>
  <c r="U99" i="21" s="1"/>
  <c r="V99" i="21"/>
  <c r="T99" i="21"/>
  <c r="N99" i="21"/>
  <c r="L99" i="21"/>
  <c r="F99" i="21"/>
  <c r="D99" i="21"/>
  <c r="C80" i="21"/>
  <c r="D77" i="21"/>
  <c r="C76" i="21"/>
  <c r="C75" i="21"/>
  <c r="C74" i="21" s="1"/>
  <c r="C73" i="21" s="1"/>
  <c r="F74" i="21"/>
  <c r="E74" i="21"/>
  <c r="D74" i="21"/>
  <c r="F70" i="21"/>
  <c r="E70" i="21"/>
  <c r="D70" i="21"/>
  <c r="C69" i="21"/>
  <c r="C68" i="21"/>
  <c r="C64" i="21"/>
  <c r="C58" i="21"/>
  <c r="D53" i="21"/>
  <c r="D52" i="21" s="1"/>
  <c r="C52" i="21"/>
  <c r="C53" i="21" s="1"/>
  <c r="D46" i="21"/>
  <c r="C43" i="21"/>
  <c r="D47" i="21" s="1"/>
  <c r="C12" i="21"/>
  <c r="B100" i="20"/>
  <c r="AA99" i="20" s="1"/>
  <c r="U99" i="20"/>
  <c r="G99" i="20"/>
  <c r="E99" i="20"/>
  <c r="D77" i="20"/>
  <c r="C76" i="20"/>
  <c r="C75" i="20"/>
  <c r="F74" i="20"/>
  <c r="E74" i="20"/>
  <c r="D74" i="20"/>
  <c r="F70" i="20"/>
  <c r="E70" i="20"/>
  <c r="D70" i="20"/>
  <c r="C69" i="20"/>
  <c r="C68" i="20"/>
  <c r="C80" i="20" s="1"/>
  <c r="C101" i="20" s="1"/>
  <c r="C64" i="20"/>
  <c r="C63" i="20"/>
  <c r="C62" i="20" s="1"/>
  <c r="C58" i="20"/>
  <c r="C57" i="20"/>
  <c r="C56" i="20" s="1"/>
  <c r="C52" i="20"/>
  <c r="D53" i="20" s="1"/>
  <c r="D52" i="20" s="1"/>
  <c r="C43" i="20"/>
  <c r="D47" i="20" s="1"/>
  <c r="C12" i="20"/>
  <c r="B100" i="19"/>
  <c r="U99" i="19" s="1"/>
  <c r="K99" i="19"/>
  <c r="D77" i="19"/>
  <c r="C76" i="19"/>
  <c r="C75" i="19"/>
  <c r="F74" i="19"/>
  <c r="E74" i="19"/>
  <c r="D74" i="19"/>
  <c r="F70" i="19"/>
  <c r="E70" i="19"/>
  <c r="D70" i="19"/>
  <c r="C69" i="19"/>
  <c r="C68" i="19" s="1"/>
  <c r="C80" i="19" s="1"/>
  <c r="C101" i="19" s="1"/>
  <c r="C64" i="19"/>
  <c r="C58" i="19"/>
  <c r="C57" i="19"/>
  <c r="D53" i="19"/>
  <c r="C52" i="19"/>
  <c r="C53" i="19" s="1"/>
  <c r="C43" i="19"/>
  <c r="C12" i="19"/>
  <c r="B100" i="18"/>
  <c r="AA99" i="18" s="1"/>
  <c r="L99" i="18"/>
  <c r="D77" i="18"/>
  <c r="C76" i="18"/>
  <c r="C75" i="18"/>
  <c r="F74" i="18"/>
  <c r="E74" i="18"/>
  <c r="D74" i="18"/>
  <c r="F70" i="18"/>
  <c r="E70" i="18"/>
  <c r="D70" i="18"/>
  <c r="C69" i="18"/>
  <c r="C68" i="18" s="1"/>
  <c r="C64" i="18"/>
  <c r="C58" i="18"/>
  <c r="C52" i="18"/>
  <c r="D53" i="18" s="1"/>
  <c r="D52" i="18" s="1"/>
  <c r="C43" i="18"/>
  <c r="D76" i="18" s="1"/>
  <c r="C12" i="18"/>
  <c r="E53" i="21" l="1"/>
  <c r="E52" i="21" s="1"/>
  <c r="D49" i="21"/>
  <c r="D43" i="21"/>
  <c r="D46" i="18"/>
  <c r="C63" i="19"/>
  <c r="C62" i="19" s="1"/>
  <c r="C91" i="19" s="1"/>
  <c r="C96" i="19" s="1"/>
  <c r="C102" i="19" s="1"/>
  <c r="AA99" i="19"/>
  <c r="F99" i="20"/>
  <c r="V99" i="20"/>
  <c r="C57" i="21"/>
  <c r="C56" i="21" s="1"/>
  <c r="C63" i="21"/>
  <c r="C62" i="21" s="1"/>
  <c r="C74" i="19"/>
  <c r="C73" i="19" s="1"/>
  <c r="L99" i="20"/>
  <c r="D76" i="21"/>
  <c r="D47" i="18"/>
  <c r="D49" i="18" s="1"/>
  <c r="D76" i="20"/>
  <c r="M99" i="20"/>
  <c r="C83" i="21"/>
  <c r="N99" i="20"/>
  <c r="D99" i="19"/>
  <c r="O99" i="20"/>
  <c r="F99" i="19"/>
  <c r="D99" i="20"/>
  <c r="T99" i="20"/>
  <c r="G99" i="21"/>
  <c r="O99" i="21"/>
  <c r="W99" i="21"/>
  <c r="H99" i="21"/>
  <c r="P99" i="21"/>
  <c r="X99" i="21"/>
  <c r="I99" i="21"/>
  <c r="Q99" i="21"/>
  <c r="Y99" i="21"/>
  <c r="J99" i="21"/>
  <c r="R99" i="21"/>
  <c r="Z99" i="21"/>
  <c r="C99" i="21"/>
  <c r="K99" i="21"/>
  <c r="S99" i="21"/>
  <c r="AA99" i="21"/>
  <c r="E99" i="21"/>
  <c r="M99" i="21"/>
  <c r="C91" i="20"/>
  <c r="C96" i="20" s="1"/>
  <c r="C102" i="20" s="1"/>
  <c r="C90" i="20"/>
  <c r="C95" i="20" s="1"/>
  <c r="C88" i="20"/>
  <c r="D75" i="20"/>
  <c r="D71" i="20"/>
  <c r="D69" i="20"/>
  <c r="E53" i="20"/>
  <c r="E52" i="20" s="1"/>
  <c r="D49" i="20"/>
  <c r="C74" i="20"/>
  <c r="C73" i="20" s="1"/>
  <c r="L99" i="19"/>
  <c r="N99" i="19"/>
  <c r="D52" i="19"/>
  <c r="E53" i="19" s="1"/>
  <c r="E52" i="19" s="1"/>
  <c r="S99" i="19"/>
  <c r="D46" i="20"/>
  <c r="D43" i="20" s="1"/>
  <c r="T99" i="19"/>
  <c r="C53" i="20"/>
  <c r="E99" i="18"/>
  <c r="C56" i="19"/>
  <c r="D69" i="19" s="1"/>
  <c r="C99" i="19"/>
  <c r="V99" i="19"/>
  <c r="W99" i="20"/>
  <c r="H99" i="20"/>
  <c r="P99" i="20"/>
  <c r="X99" i="20"/>
  <c r="I99" i="20"/>
  <c r="Q99" i="20"/>
  <c r="Y99" i="20"/>
  <c r="J99" i="20"/>
  <c r="R99" i="20"/>
  <c r="Z99" i="20"/>
  <c r="C99" i="20"/>
  <c r="K99" i="20"/>
  <c r="S99" i="20"/>
  <c r="C83" i="19"/>
  <c r="C84" i="19" s="1"/>
  <c r="C85" i="19" s="1"/>
  <c r="D71" i="19"/>
  <c r="D76" i="19"/>
  <c r="D47" i="19"/>
  <c r="D46" i="19"/>
  <c r="U99" i="18"/>
  <c r="D99" i="18"/>
  <c r="Y99" i="18"/>
  <c r="I99" i="18"/>
  <c r="M99" i="18"/>
  <c r="Q99" i="18"/>
  <c r="T99" i="18"/>
  <c r="G99" i="19"/>
  <c r="O99" i="19"/>
  <c r="W99" i="19"/>
  <c r="H99" i="19"/>
  <c r="P99" i="19"/>
  <c r="X99" i="19"/>
  <c r="I99" i="19"/>
  <c r="Q99" i="19"/>
  <c r="Y99" i="19"/>
  <c r="J99" i="19"/>
  <c r="R99" i="19"/>
  <c r="Z99" i="19"/>
  <c r="E99" i="19"/>
  <c r="M99" i="19"/>
  <c r="C74" i="18"/>
  <c r="C73" i="18" s="1"/>
  <c r="E53" i="18"/>
  <c r="E52" i="18" s="1"/>
  <c r="C57" i="18"/>
  <c r="C56" i="18" s="1"/>
  <c r="C63" i="18"/>
  <c r="C62" i="18" s="1"/>
  <c r="C80" i="18"/>
  <c r="C101" i="18" s="1"/>
  <c r="C53" i="18"/>
  <c r="F99" i="18"/>
  <c r="N99" i="18"/>
  <c r="V99" i="18"/>
  <c r="G99" i="18"/>
  <c r="O99" i="18"/>
  <c r="W99" i="18"/>
  <c r="H99" i="18"/>
  <c r="P99" i="18"/>
  <c r="X99" i="18"/>
  <c r="J99" i="18"/>
  <c r="R99" i="18"/>
  <c r="Z99" i="18"/>
  <c r="C99" i="18"/>
  <c r="K99" i="18"/>
  <c r="S99" i="18"/>
  <c r="C66" i="2"/>
  <c r="C65" i="2" s="1"/>
  <c r="D67" i="2"/>
  <c r="E67" i="2"/>
  <c r="F67" i="2"/>
  <c r="D73" i="20" l="1"/>
  <c r="D43" i="18"/>
  <c r="E76" i="18" s="1"/>
  <c r="C88" i="19"/>
  <c r="C90" i="19"/>
  <c r="C95" i="19" s="1"/>
  <c r="C104" i="19" s="1"/>
  <c r="C107" i="19" s="1"/>
  <c r="E76" i="21"/>
  <c r="E47" i="21"/>
  <c r="E46" i="21"/>
  <c r="D45" i="21"/>
  <c r="D44" i="21" s="1"/>
  <c r="C84" i="21"/>
  <c r="C103" i="21" s="1"/>
  <c r="D75" i="21"/>
  <c r="C91" i="21"/>
  <c r="C96" i="21" s="1"/>
  <c r="C102" i="21" s="1"/>
  <c r="C90" i="21"/>
  <c r="C95" i="21" s="1"/>
  <c r="C88" i="21"/>
  <c r="D75" i="19"/>
  <c r="D73" i="19" s="1"/>
  <c r="D71" i="21"/>
  <c r="D69" i="21"/>
  <c r="F53" i="21"/>
  <c r="F52" i="21" s="1"/>
  <c r="C83" i="20"/>
  <c r="F53" i="20"/>
  <c r="F52" i="20" s="1"/>
  <c r="E76" i="20"/>
  <c r="E47" i="20"/>
  <c r="E46" i="20"/>
  <c r="D45" i="20"/>
  <c r="D44" i="20" s="1"/>
  <c r="D68" i="20"/>
  <c r="D68" i="19"/>
  <c r="C83" i="18"/>
  <c r="C84" i="18" s="1"/>
  <c r="C103" i="18" s="1"/>
  <c r="C103" i="19"/>
  <c r="F53" i="19"/>
  <c r="F52" i="19" s="1"/>
  <c r="D49" i="19"/>
  <c r="D43" i="19"/>
  <c r="C91" i="18"/>
  <c r="C96" i="18" s="1"/>
  <c r="C102" i="18" s="1"/>
  <c r="C90" i="18"/>
  <c r="C95" i="18" s="1"/>
  <c r="C88" i="18"/>
  <c r="D75" i="18"/>
  <c r="D71" i="18"/>
  <c r="D69" i="18"/>
  <c r="F53" i="18"/>
  <c r="F52" i="18" s="1"/>
  <c r="D68" i="21" l="1"/>
  <c r="D83" i="20"/>
  <c r="D84" i="20" s="1"/>
  <c r="D103" i="20" s="1"/>
  <c r="D83" i="19"/>
  <c r="D84" i="19" s="1"/>
  <c r="D103" i="19" s="1"/>
  <c r="E47" i="18"/>
  <c r="E49" i="18" s="1"/>
  <c r="D45" i="18"/>
  <c r="D44" i="18" s="1"/>
  <c r="D63" i="18" s="1"/>
  <c r="E46" i="18"/>
  <c r="D63" i="21"/>
  <c r="D57" i="21"/>
  <c r="E77" i="21"/>
  <c r="D58" i="21"/>
  <c r="D64" i="21"/>
  <c r="E49" i="21"/>
  <c r="E43" i="21"/>
  <c r="G53" i="21"/>
  <c r="G52" i="21" s="1"/>
  <c r="D73" i="21"/>
  <c r="C85" i="21"/>
  <c r="C104" i="21" s="1"/>
  <c r="D63" i="20"/>
  <c r="D57" i="20"/>
  <c r="G53" i="20"/>
  <c r="G52" i="20" s="1"/>
  <c r="E77" i="20"/>
  <c r="D58" i="20"/>
  <c r="D64" i="20"/>
  <c r="C84" i="20"/>
  <c r="C103" i="20" s="1"/>
  <c r="E49" i="20"/>
  <c r="E43" i="20"/>
  <c r="E76" i="19"/>
  <c r="E47" i="19"/>
  <c r="E46" i="19"/>
  <c r="D45" i="19"/>
  <c r="D44" i="19" s="1"/>
  <c r="D68" i="18"/>
  <c r="G53" i="19"/>
  <c r="G52" i="19" s="1"/>
  <c r="C85" i="18"/>
  <c r="C104" i="18" s="1"/>
  <c r="C107" i="18" s="1"/>
  <c r="G53" i="18"/>
  <c r="G52" i="18" s="1"/>
  <c r="D73" i="18"/>
  <c r="B100" i="13"/>
  <c r="U99" i="13" s="1"/>
  <c r="D77" i="13"/>
  <c r="C76" i="13"/>
  <c r="C75" i="13"/>
  <c r="F74" i="13"/>
  <c r="E74" i="13"/>
  <c r="D74" i="13"/>
  <c r="F70" i="13"/>
  <c r="E70" i="13"/>
  <c r="D70" i="13"/>
  <c r="C69" i="13"/>
  <c r="C64" i="13"/>
  <c r="C58" i="13"/>
  <c r="C52" i="13"/>
  <c r="D53" i="13" s="1"/>
  <c r="C43" i="13"/>
  <c r="D76" i="13" s="1"/>
  <c r="C12" i="13"/>
  <c r="D83" i="21" l="1"/>
  <c r="D84" i="21" s="1"/>
  <c r="D103" i="21" s="1"/>
  <c r="E43" i="18"/>
  <c r="E45" i="18" s="1"/>
  <c r="E44" i="18" s="1"/>
  <c r="E57" i="18" s="1"/>
  <c r="D64" i="18"/>
  <c r="D62" i="18" s="1"/>
  <c r="D57" i="18"/>
  <c r="E77" i="18"/>
  <c r="D58" i="18"/>
  <c r="F46" i="18"/>
  <c r="F47" i="18"/>
  <c r="F49" i="18" s="1"/>
  <c r="F76" i="18"/>
  <c r="D62" i="21"/>
  <c r="D90" i="21" s="1"/>
  <c r="D95" i="21" s="1"/>
  <c r="F76" i="21"/>
  <c r="E45" i="21"/>
  <c r="E44" i="21" s="1"/>
  <c r="F46" i="21"/>
  <c r="F47" i="21"/>
  <c r="H53" i="21"/>
  <c r="H52" i="21" s="1"/>
  <c r="C107" i="21"/>
  <c r="D56" i="21"/>
  <c r="F76" i="20"/>
  <c r="F47" i="20"/>
  <c r="F46" i="20"/>
  <c r="E45" i="20"/>
  <c r="E44" i="20" s="1"/>
  <c r="D85" i="20"/>
  <c r="H53" i="20"/>
  <c r="H52" i="20" s="1"/>
  <c r="C85" i="20"/>
  <c r="C104" i="20" s="1"/>
  <c r="D56" i="20"/>
  <c r="D62" i="20"/>
  <c r="D85" i="19"/>
  <c r="D63" i="19"/>
  <c r="D57" i="19"/>
  <c r="E77" i="19"/>
  <c r="D58" i="19"/>
  <c r="D64" i="19"/>
  <c r="H53" i="19"/>
  <c r="H52" i="19" s="1"/>
  <c r="D83" i="18"/>
  <c r="D84" i="18" s="1"/>
  <c r="D103" i="18" s="1"/>
  <c r="E49" i="19"/>
  <c r="E43" i="19"/>
  <c r="H53" i="18"/>
  <c r="H52" i="18" s="1"/>
  <c r="C68" i="13"/>
  <c r="C80" i="13" s="1"/>
  <c r="C101" i="13" s="1"/>
  <c r="AA99" i="13"/>
  <c r="C99" i="13"/>
  <c r="W99" i="13"/>
  <c r="D99" i="13"/>
  <c r="D52" i="13"/>
  <c r="G99" i="13"/>
  <c r="L99" i="13"/>
  <c r="O99" i="13"/>
  <c r="T99" i="13"/>
  <c r="C57" i="13"/>
  <c r="C56" i="13" s="1"/>
  <c r="D46" i="13"/>
  <c r="C63" i="13"/>
  <c r="C62" i="13" s="1"/>
  <c r="C90" i="13" s="1"/>
  <c r="C95" i="13" s="1"/>
  <c r="D47" i="13"/>
  <c r="D49" i="13" s="1"/>
  <c r="K99" i="13"/>
  <c r="C53" i="13"/>
  <c r="S99" i="13"/>
  <c r="C74" i="13"/>
  <c r="F99" i="13"/>
  <c r="N99" i="13"/>
  <c r="V99" i="13"/>
  <c r="H99" i="13"/>
  <c r="P99" i="13"/>
  <c r="X99" i="13"/>
  <c r="I99" i="13"/>
  <c r="Q99" i="13"/>
  <c r="Y99" i="13"/>
  <c r="J99" i="13"/>
  <c r="R99" i="13"/>
  <c r="Z99" i="13"/>
  <c r="E99" i="13"/>
  <c r="M99" i="13"/>
  <c r="C40" i="2"/>
  <c r="E75" i="21" l="1"/>
  <c r="E73" i="21" s="1"/>
  <c r="D91" i="21"/>
  <c r="D96" i="21" s="1"/>
  <c r="D102" i="21" s="1"/>
  <c r="D88" i="21"/>
  <c r="D93" i="21" s="1"/>
  <c r="D80" i="21"/>
  <c r="D101" i="21" s="1"/>
  <c r="D56" i="18"/>
  <c r="E71" i="18" s="1"/>
  <c r="E64" i="18"/>
  <c r="F43" i="18"/>
  <c r="G47" i="18" s="1"/>
  <c r="E58" i="18"/>
  <c r="E56" i="18" s="1"/>
  <c r="F77" i="18"/>
  <c r="E63" i="18"/>
  <c r="E71" i="21"/>
  <c r="E69" i="21"/>
  <c r="F43" i="21"/>
  <c r="F49" i="21"/>
  <c r="E63" i="21"/>
  <c r="E57" i="21"/>
  <c r="F77" i="21"/>
  <c r="E58" i="21"/>
  <c r="E64" i="21"/>
  <c r="I53" i="21"/>
  <c r="I52" i="21" s="1"/>
  <c r="D85" i="21"/>
  <c r="D104" i="21" s="1"/>
  <c r="D90" i="20"/>
  <c r="D95" i="20" s="1"/>
  <c r="D104" i="20" s="1"/>
  <c r="D88" i="20"/>
  <c r="D93" i="20" s="1"/>
  <c r="D80" i="20"/>
  <c r="D101" i="20" s="1"/>
  <c r="D91" i="20"/>
  <c r="D96" i="20" s="1"/>
  <c r="D102" i="20" s="1"/>
  <c r="E75" i="20"/>
  <c r="E71" i="20"/>
  <c r="E69" i="20"/>
  <c r="I53" i="20"/>
  <c r="I52" i="20" s="1"/>
  <c r="F77" i="20"/>
  <c r="E58" i="20"/>
  <c r="E64" i="20"/>
  <c r="E63" i="20"/>
  <c r="E57" i="20"/>
  <c r="C107" i="20"/>
  <c r="F49" i="20"/>
  <c r="F43" i="20"/>
  <c r="E69" i="18"/>
  <c r="E68" i="18" s="1"/>
  <c r="D88" i="18"/>
  <c r="D93" i="18" s="1"/>
  <c r="D90" i="18"/>
  <c r="D95" i="18" s="1"/>
  <c r="E75" i="18"/>
  <c r="E73" i="18" s="1"/>
  <c r="D91" i="18"/>
  <c r="D96" i="18" s="1"/>
  <c r="D102" i="18" s="1"/>
  <c r="F76" i="19"/>
  <c r="F47" i="19"/>
  <c r="F46" i="19"/>
  <c r="E45" i="19"/>
  <c r="E44" i="19" s="1"/>
  <c r="D80" i="18"/>
  <c r="D101" i="18" s="1"/>
  <c r="D56" i="19"/>
  <c r="I53" i="19"/>
  <c r="I52" i="19" s="1"/>
  <c r="D62" i="19"/>
  <c r="F45" i="18"/>
  <c r="F44" i="18" s="1"/>
  <c r="D85" i="18"/>
  <c r="I53" i="18"/>
  <c r="I52" i="18" s="1"/>
  <c r="D69" i="13"/>
  <c r="D71" i="13"/>
  <c r="E53" i="13"/>
  <c r="E52" i="13" s="1"/>
  <c r="F53" i="13" s="1"/>
  <c r="F52" i="13" s="1"/>
  <c r="G53" i="13" s="1"/>
  <c r="C88" i="13"/>
  <c r="C91" i="13"/>
  <c r="C96" i="13" s="1"/>
  <c r="C102" i="13" s="1"/>
  <c r="D75" i="13"/>
  <c r="D73" i="13" s="1"/>
  <c r="D43" i="13"/>
  <c r="D45" i="13" s="1"/>
  <c r="C73" i="13"/>
  <c r="C83" i="13"/>
  <c r="E13" i="10"/>
  <c r="F13" i="10"/>
  <c r="F12" i="10"/>
  <c r="E12" i="10"/>
  <c r="E62" i="21" l="1"/>
  <c r="E91" i="21" s="1"/>
  <c r="E96" i="21" s="1"/>
  <c r="E102" i="21" s="1"/>
  <c r="E62" i="18"/>
  <c r="E91" i="18" s="1"/>
  <c r="E96" i="18" s="1"/>
  <c r="E102" i="18" s="1"/>
  <c r="G76" i="18"/>
  <c r="G46" i="18"/>
  <c r="G43" i="18" s="1"/>
  <c r="D104" i="18"/>
  <c r="D107" i="18" s="1"/>
  <c r="E68" i="21"/>
  <c r="E56" i="21"/>
  <c r="D107" i="21"/>
  <c r="G76" i="21"/>
  <c r="G47" i="21"/>
  <c r="G46" i="21"/>
  <c r="F45" i="21"/>
  <c r="F44" i="21" s="1"/>
  <c r="J53" i="21"/>
  <c r="J52" i="21" s="1"/>
  <c r="E62" i="20"/>
  <c r="E88" i="20" s="1"/>
  <c r="E93" i="20" s="1"/>
  <c r="D107" i="20"/>
  <c r="G76" i="20"/>
  <c r="F45" i="20"/>
  <c r="F44" i="20" s="1"/>
  <c r="G47" i="20"/>
  <c r="G46" i="20"/>
  <c r="E68" i="20"/>
  <c r="E73" i="20"/>
  <c r="J53" i="20"/>
  <c r="J52" i="20" s="1"/>
  <c r="E56" i="20"/>
  <c r="E83" i="18"/>
  <c r="E84" i="18" s="1"/>
  <c r="E103" i="18" s="1"/>
  <c r="F49" i="19"/>
  <c r="F43" i="19"/>
  <c r="D91" i="19"/>
  <c r="D96" i="19" s="1"/>
  <c r="D102" i="19" s="1"/>
  <c r="D90" i="19"/>
  <c r="D95" i="19" s="1"/>
  <c r="D104" i="19" s="1"/>
  <c r="D88" i="19"/>
  <c r="D93" i="19" s="1"/>
  <c r="D80" i="19"/>
  <c r="D101" i="19" s="1"/>
  <c r="E75" i="19"/>
  <c r="J53" i="19"/>
  <c r="J52" i="19" s="1"/>
  <c r="E71" i="19"/>
  <c r="E69" i="19"/>
  <c r="E63" i="19"/>
  <c r="E57" i="19"/>
  <c r="D68" i="13"/>
  <c r="D83" i="13" s="1"/>
  <c r="D84" i="13" s="1"/>
  <c r="D103" i="13" s="1"/>
  <c r="F77" i="19"/>
  <c r="E58" i="19"/>
  <c r="E64" i="19"/>
  <c r="F71" i="18"/>
  <c r="F69" i="18"/>
  <c r="G49" i="18"/>
  <c r="J53" i="18"/>
  <c r="J52" i="18" s="1"/>
  <c r="F63" i="18"/>
  <c r="F57" i="18"/>
  <c r="G77" i="18"/>
  <c r="F58" i="18"/>
  <c r="F64" i="18"/>
  <c r="E47" i="13"/>
  <c r="E49" i="13" s="1"/>
  <c r="E46" i="13"/>
  <c r="D44" i="13"/>
  <c r="D57" i="13" s="1"/>
  <c r="E76" i="13"/>
  <c r="C84" i="13"/>
  <c r="C103" i="13" s="1"/>
  <c r="E77" i="13"/>
  <c r="D58" i="13"/>
  <c r="D64" i="13"/>
  <c r="E71" i="2"/>
  <c r="F71" i="2"/>
  <c r="D71" i="2"/>
  <c r="F75" i="18" l="1"/>
  <c r="F73" i="18" s="1"/>
  <c r="F75" i="21"/>
  <c r="F73" i="21" s="1"/>
  <c r="E90" i="21"/>
  <c r="E95" i="21" s="1"/>
  <c r="E80" i="21"/>
  <c r="E101" i="21" s="1"/>
  <c r="E88" i="21"/>
  <c r="E93" i="21" s="1"/>
  <c r="E83" i="20"/>
  <c r="E84" i="20" s="1"/>
  <c r="E103" i="20" s="1"/>
  <c r="E80" i="18"/>
  <c r="E101" i="18" s="1"/>
  <c r="E88" i="18"/>
  <c r="E93" i="18" s="1"/>
  <c r="E90" i="18"/>
  <c r="E95" i="18" s="1"/>
  <c r="E83" i="21"/>
  <c r="E84" i="21" s="1"/>
  <c r="E103" i="21" s="1"/>
  <c r="E91" i="20"/>
  <c r="E96" i="20" s="1"/>
  <c r="E102" i="20" s="1"/>
  <c r="E90" i="20"/>
  <c r="E95" i="20" s="1"/>
  <c r="F75" i="20"/>
  <c r="F73" i="20" s="1"/>
  <c r="F71" i="21"/>
  <c r="F69" i="21"/>
  <c r="F63" i="21"/>
  <c r="F57" i="21"/>
  <c r="G77" i="21"/>
  <c r="F58" i="21"/>
  <c r="F64" i="21"/>
  <c r="G49" i="21"/>
  <c r="G43" i="21"/>
  <c r="K53" i="21"/>
  <c r="K52" i="21" s="1"/>
  <c r="K53" i="20"/>
  <c r="K52" i="20" s="1"/>
  <c r="G49" i="20"/>
  <c r="G43" i="20"/>
  <c r="E80" i="20"/>
  <c r="E101" i="20" s="1"/>
  <c r="G77" i="20"/>
  <c r="F58" i="20"/>
  <c r="F64" i="20"/>
  <c r="F71" i="20"/>
  <c r="F69" i="20"/>
  <c r="F63" i="20"/>
  <c r="F57" i="20"/>
  <c r="E85" i="18"/>
  <c r="E68" i="19"/>
  <c r="E62" i="19"/>
  <c r="E90" i="19" s="1"/>
  <c r="E95" i="19" s="1"/>
  <c r="F68" i="18"/>
  <c r="D107" i="19"/>
  <c r="E73" i="19"/>
  <c r="K53" i="19"/>
  <c r="K52" i="19" s="1"/>
  <c r="G76" i="19"/>
  <c r="F45" i="19"/>
  <c r="F44" i="19" s="1"/>
  <c r="G47" i="19"/>
  <c r="G46" i="19"/>
  <c r="E56" i="19"/>
  <c r="F56" i="18"/>
  <c r="G71" i="18" s="1"/>
  <c r="G59" i="18"/>
  <c r="G65" i="18"/>
  <c r="F62" i="18"/>
  <c r="K53" i="18"/>
  <c r="K52" i="18" s="1"/>
  <c r="H76" i="18"/>
  <c r="H47" i="18"/>
  <c r="H46" i="18"/>
  <c r="G45" i="18"/>
  <c r="G44" i="18" s="1"/>
  <c r="E43" i="13"/>
  <c r="F46" i="13" s="1"/>
  <c r="D85" i="13"/>
  <c r="D63" i="13"/>
  <c r="D62" i="13" s="1"/>
  <c r="C85" i="13"/>
  <c r="C104" i="13" s="1"/>
  <c r="C61" i="2"/>
  <c r="C55" i="2"/>
  <c r="D74" i="2"/>
  <c r="C73" i="2"/>
  <c r="C12" i="2"/>
  <c r="C49" i="2"/>
  <c r="F68" i="21" l="1"/>
  <c r="F83" i="21" s="1"/>
  <c r="E104" i="18"/>
  <c r="E107" i="18" s="1"/>
  <c r="E85" i="20"/>
  <c r="E104" i="20" s="1"/>
  <c r="E107" i="20" s="1"/>
  <c r="G59" i="21"/>
  <c r="G65" i="21"/>
  <c r="F56" i="21"/>
  <c r="L53" i="21"/>
  <c r="L52" i="21" s="1"/>
  <c r="E85" i="21"/>
  <c r="E104" i="21" s="1"/>
  <c r="F62" i="21"/>
  <c r="H76" i="21"/>
  <c r="H47" i="21"/>
  <c r="H46" i="21"/>
  <c r="G45" i="21"/>
  <c r="E83" i="19"/>
  <c r="E84" i="19" s="1"/>
  <c r="E103" i="19" s="1"/>
  <c r="L53" i="20"/>
  <c r="L52" i="20" s="1"/>
  <c r="E91" i="19"/>
  <c r="E96" i="19" s="1"/>
  <c r="E102" i="19" s="1"/>
  <c r="F56" i="20"/>
  <c r="F75" i="19"/>
  <c r="F73" i="19" s="1"/>
  <c r="F62" i="20"/>
  <c r="E80" i="19"/>
  <c r="E101" i="19" s="1"/>
  <c r="F68" i="20"/>
  <c r="F83" i="20" s="1"/>
  <c r="E88" i="19"/>
  <c r="E93" i="19" s="1"/>
  <c r="H76" i="20"/>
  <c r="H47" i="20"/>
  <c r="H46" i="20"/>
  <c r="G45" i="20"/>
  <c r="G44" i="20" s="1"/>
  <c r="G59" i="20"/>
  <c r="G65" i="20"/>
  <c r="G69" i="18"/>
  <c r="F83" i="18"/>
  <c r="F84" i="18" s="1"/>
  <c r="F103" i="18" s="1"/>
  <c r="F63" i="19"/>
  <c r="F57" i="19"/>
  <c r="G77" i="19"/>
  <c r="F58" i="19"/>
  <c r="F64" i="19"/>
  <c r="G49" i="19"/>
  <c r="G43" i="19"/>
  <c r="L53" i="19"/>
  <c r="L52" i="19" s="1"/>
  <c r="F71" i="19"/>
  <c r="F69" i="19"/>
  <c r="G57" i="18"/>
  <c r="G63" i="18"/>
  <c r="F88" i="18"/>
  <c r="F93" i="18" s="1"/>
  <c r="F80" i="18"/>
  <c r="F101" i="18" s="1"/>
  <c r="G75" i="18"/>
  <c r="F91" i="18"/>
  <c r="F96" i="18" s="1"/>
  <c r="F102" i="18" s="1"/>
  <c r="F90" i="18"/>
  <c r="F95" i="18" s="1"/>
  <c r="H77" i="18"/>
  <c r="G58" i="18"/>
  <c r="G64" i="18"/>
  <c r="H49" i="18"/>
  <c r="H43" i="18"/>
  <c r="L53" i="18"/>
  <c r="L52" i="18" s="1"/>
  <c r="G74" i="18"/>
  <c r="G70" i="18"/>
  <c r="D56" i="13"/>
  <c r="E71" i="13" s="1"/>
  <c r="F76" i="13"/>
  <c r="F47" i="13"/>
  <c r="F49" i="13" s="1"/>
  <c r="E45" i="13"/>
  <c r="E44" i="13" s="1"/>
  <c r="E57" i="13" s="1"/>
  <c r="D91" i="13"/>
  <c r="D96" i="13" s="1"/>
  <c r="D102" i="13" s="1"/>
  <c r="E75" i="13"/>
  <c r="D90" i="13"/>
  <c r="D95" i="13" s="1"/>
  <c r="D104" i="13" s="1"/>
  <c r="D88" i="13"/>
  <c r="D93" i="13" s="1"/>
  <c r="D80" i="13"/>
  <c r="D101" i="13" s="1"/>
  <c r="C107" i="13"/>
  <c r="D50" i="2"/>
  <c r="D49" i="2" s="1"/>
  <c r="C60" i="2"/>
  <c r="C59" i="2" s="1"/>
  <c r="D72" i="2" s="1"/>
  <c r="C54" i="2"/>
  <c r="C53" i="2" s="1"/>
  <c r="F85" i="18" l="1"/>
  <c r="H77" i="21"/>
  <c r="G58" i="21"/>
  <c r="G64" i="21"/>
  <c r="H49" i="21"/>
  <c r="H43" i="21"/>
  <c r="G71" i="21"/>
  <c r="G69" i="21"/>
  <c r="F88" i="21"/>
  <c r="F93" i="21" s="1"/>
  <c r="F80" i="21"/>
  <c r="F101" i="21" s="1"/>
  <c r="G75" i="21"/>
  <c r="F91" i="21"/>
  <c r="F96" i="21" s="1"/>
  <c r="F102" i="21" s="1"/>
  <c r="F90" i="21"/>
  <c r="F95" i="21" s="1"/>
  <c r="E107" i="21"/>
  <c r="G70" i="21"/>
  <c r="G74" i="21"/>
  <c r="G68" i="18"/>
  <c r="F84" i="21"/>
  <c r="F103" i="21" s="1"/>
  <c r="M53" i="21"/>
  <c r="M52" i="21" s="1"/>
  <c r="G44" i="21"/>
  <c r="G74" i="20"/>
  <c r="G70" i="20"/>
  <c r="G63" i="20"/>
  <c r="G57" i="20"/>
  <c r="M53" i="20"/>
  <c r="M52" i="20" s="1"/>
  <c r="H77" i="20"/>
  <c r="G58" i="20"/>
  <c r="G64" i="20"/>
  <c r="F80" i="20"/>
  <c r="F101" i="20" s="1"/>
  <c r="G75" i="20"/>
  <c r="F91" i="20"/>
  <c r="F96" i="20" s="1"/>
  <c r="F102" i="20" s="1"/>
  <c r="F88" i="20"/>
  <c r="F93" i="20" s="1"/>
  <c r="F90" i="20"/>
  <c r="F95" i="20" s="1"/>
  <c r="F84" i="20"/>
  <c r="F103" i="20" s="1"/>
  <c r="H49" i="20"/>
  <c r="H43" i="20"/>
  <c r="G69" i="20"/>
  <c r="G71" i="20"/>
  <c r="F56" i="19"/>
  <c r="G71" i="19" s="1"/>
  <c r="F62" i="19"/>
  <c r="F91" i="19" s="1"/>
  <c r="F96" i="19" s="1"/>
  <c r="F102" i="19" s="1"/>
  <c r="F104" i="18"/>
  <c r="F107" i="18" s="1"/>
  <c r="M53" i="19"/>
  <c r="M52" i="19" s="1"/>
  <c r="F68" i="19"/>
  <c r="F83" i="19" s="1"/>
  <c r="H76" i="19"/>
  <c r="H47" i="19"/>
  <c r="H46" i="19"/>
  <c r="G45" i="19"/>
  <c r="G44" i="19" s="1"/>
  <c r="G59" i="19"/>
  <c r="G65" i="19"/>
  <c r="E85" i="19"/>
  <c r="E104" i="19" s="1"/>
  <c r="M53" i="18"/>
  <c r="M52" i="18" s="1"/>
  <c r="I76" i="18"/>
  <c r="I47" i="18"/>
  <c r="I46" i="18"/>
  <c r="H45" i="18"/>
  <c r="H44" i="18" s="1"/>
  <c r="H59" i="18"/>
  <c r="H65" i="18"/>
  <c r="G73" i="18"/>
  <c r="G62" i="18"/>
  <c r="G56" i="18"/>
  <c r="D68" i="2"/>
  <c r="D66" i="2"/>
  <c r="D65" i="2" s="1"/>
  <c r="E69" i="13"/>
  <c r="E68" i="13" s="1"/>
  <c r="F77" i="13"/>
  <c r="E64" i="13"/>
  <c r="E58" i="13"/>
  <c r="E56" i="13" s="1"/>
  <c r="E63" i="13"/>
  <c r="F43" i="13"/>
  <c r="F45" i="13" s="1"/>
  <c r="F44" i="13" s="1"/>
  <c r="D107" i="13"/>
  <c r="E73" i="13"/>
  <c r="E50" i="2"/>
  <c r="C85" i="2"/>
  <c r="C87" i="2"/>
  <c r="C92" i="2" s="1"/>
  <c r="C88" i="2"/>
  <c r="C93" i="2" s="1"/>
  <c r="G56" i="20" l="1"/>
  <c r="H71" i="20" s="1"/>
  <c r="G69" i="19"/>
  <c r="G75" i="19"/>
  <c r="G83" i="18"/>
  <c r="G84" i="18" s="1"/>
  <c r="G103" i="18" s="1"/>
  <c r="I76" i="21"/>
  <c r="I47" i="21"/>
  <c r="I46" i="21"/>
  <c r="H45" i="21"/>
  <c r="H44" i="21" s="1"/>
  <c r="G68" i="21"/>
  <c r="F85" i="21"/>
  <c r="F104" i="21" s="1"/>
  <c r="F88" i="19"/>
  <c r="F93" i="19" s="1"/>
  <c r="G57" i="21"/>
  <c r="G56" i="21" s="1"/>
  <c r="G63" i="21"/>
  <c r="G62" i="21" s="1"/>
  <c r="H59" i="21"/>
  <c r="H65" i="21"/>
  <c r="N53" i="21"/>
  <c r="N52" i="21" s="1"/>
  <c r="G73" i="21"/>
  <c r="F80" i="19"/>
  <c r="F101" i="19" s="1"/>
  <c r="G68" i="20"/>
  <c r="G62" i="20"/>
  <c r="F85" i="20"/>
  <c r="F104" i="20" s="1"/>
  <c r="H59" i="20"/>
  <c r="H65" i="20"/>
  <c r="I76" i="20"/>
  <c r="I47" i="20"/>
  <c r="I46" i="20"/>
  <c r="H45" i="20"/>
  <c r="H44" i="20" s="1"/>
  <c r="N53" i="20"/>
  <c r="N52" i="20" s="1"/>
  <c r="G73" i="20"/>
  <c r="F90" i="19"/>
  <c r="F95" i="19" s="1"/>
  <c r="E107" i="19"/>
  <c r="F84" i="19"/>
  <c r="F103" i="19" s="1"/>
  <c r="N53" i="19"/>
  <c r="N52" i="19" s="1"/>
  <c r="G70" i="19"/>
  <c r="G74" i="19"/>
  <c r="G57" i="19"/>
  <c r="G63" i="19"/>
  <c r="H77" i="19"/>
  <c r="G58" i="19"/>
  <c r="G64" i="19"/>
  <c r="H49" i="19"/>
  <c r="H43" i="19"/>
  <c r="H63" i="18"/>
  <c r="H57" i="18"/>
  <c r="H74" i="18"/>
  <c r="H70" i="18"/>
  <c r="N53" i="18"/>
  <c r="N52" i="18" s="1"/>
  <c r="H71" i="18"/>
  <c r="H69" i="18"/>
  <c r="G80" i="18"/>
  <c r="G101" i="18" s="1"/>
  <c r="G91" i="18"/>
  <c r="G96" i="18" s="1"/>
  <c r="G102" i="18" s="1"/>
  <c r="G90" i="18"/>
  <c r="G95" i="18" s="1"/>
  <c r="G88" i="18"/>
  <c r="G93" i="18" s="1"/>
  <c r="H75" i="18"/>
  <c r="I77" i="18"/>
  <c r="H58" i="18"/>
  <c r="H64" i="18"/>
  <c r="I49" i="18"/>
  <c r="I43" i="18"/>
  <c r="G47" i="13"/>
  <c r="G49" i="13" s="1"/>
  <c r="G76" i="13"/>
  <c r="E83" i="13"/>
  <c r="E84" i="13" s="1"/>
  <c r="E103" i="13" s="1"/>
  <c r="F69" i="13"/>
  <c r="F71" i="13"/>
  <c r="E62" i="13"/>
  <c r="E90" i="13" s="1"/>
  <c r="E95" i="13" s="1"/>
  <c r="G46" i="13"/>
  <c r="F63" i="13"/>
  <c r="F57" i="13"/>
  <c r="G77" i="13"/>
  <c r="F58" i="13"/>
  <c r="F64" i="13"/>
  <c r="B97" i="2"/>
  <c r="H69" i="20" l="1"/>
  <c r="G73" i="19"/>
  <c r="G68" i="19"/>
  <c r="G83" i="21"/>
  <c r="G84" i="21" s="1"/>
  <c r="G103" i="21" s="1"/>
  <c r="F107" i="21"/>
  <c r="H74" i="21"/>
  <c r="H70" i="21"/>
  <c r="H63" i="21"/>
  <c r="H57" i="21"/>
  <c r="I77" i="21"/>
  <c r="H58" i="21"/>
  <c r="H64" i="21"/>
  <c r="G80" i="21"/>
  <c r="G101" i="21" s="1"/>
  <c r="H75" i="21"/>
  <c r="G91" i="21"/>
  <c r="G96" i="21" s="1"/>
  <c r="G102" i="21" s="1"/>
  <c r="G90" i="21"/>
  <c r="G95" i="21" s="1"/>
  <c r="G88" i="21"/>
  <c r="G93" i="21" s="1"/>
  <c r="G62" i="19"/>
  <c r="H71" i="21"/>
  <c r="H69" i="21"/>
  <c r="I49" i="21"/>
  <c r="I43" i="21"/>
  <c r="O53" i="21"/>
  <c r="O52" i="21" s="1"/>
  <c r="H63" i="20"/>
  <c r="H57" i="20"/>
  <c r="I77" i="20"/>
  <c r="H58" i="20"/>
  <c r="H64" i="20"/>
  <c r="G80" i="20"/>
  <c r="G101" i="20" s="1"/>
  <c r="H75" i="20"/>
  <c r="G91" i="20"/>
  <c r="G96" i="20" s="1"/>
  <c r="G102" i="20" s="1"/>
  <c r="G90" i="20"/>
  <c r="G95" i="20" s="1"/>
  <c r="G88" i="20"/>
  <c r="G93" i="20" s="1"/>
  <c r="G56" i="19"/>
  <c r="H71" i="19" s="1"/>
  <c r="O53" i="20"/>
  <c r="O52" i="20" s="1"/>
  <c r="I49" i="20"/>
  <c r="I43" i="20"/>
  <c r="H74" i="20"/>
  <c r="H70" i="20"/>
  <c r="G83" i="20"/>
  <c r="F107" i="20"/>
  <c r="F85" i="19"/>
  <c r="F104" i="19" s="1"/>
  <c r="F107" i="19" s="1"/>
  <c r="I76" i="19"/>
  <c r="I47" i="19"/>
  <c r="I46" i="19"/>
  <c r="H45" i="19"/>
  <c r="H44" i="19" s="1"/>
  <c r="H59" i="19"/>
  <c r="H65" i="19"/>
  <c r="O53" i="19"/>
  <c r="O52" i="19" s="1"/>
  <c r="I59" i="18"/>
  <c r="I65" i="18"/>
  <c r="H68" i="18"/>
  <c r="H73" i="18"/>
  <c r="O53" i="18"/>
  <c r="O52" i="18" s="1"/>
  <c r="H56" i="18"/>
  <c r="H62" i="18"/>
  <c r="J76" i="18"/>
  <c r="J47" i="18"/>
  <c r="J46" i="18"/>
  <c r="I45" i="18"/>
  <c r="I44" i="18" s="1"/>
  <c r="G85" i="18"/>
  <c r="G104" i="18" s="1"/>
  <c r="F68" i="13"/>
  <c r="F75" i="13"/>
  <c r="F73" i="13" s="1"/>
  <c r="E91" i="13"/>
  <c r="E96" i="13" s="1"/>
  <c r="E102" i="13" s="1"/>
  <c r="E80" i="13"/>
  <c r="E101" i="13" s="1"/>
  <c r="E88" i="13"/>
  <c r="E93" i="13" s="1"/>
  <c r="G59" i="13"/>
  <c r="E85" i="13"/>
  <c r="E104" i="13" s="1"/>
  <c r="F56" i="13"/>
  <c r="F62" i="13"/>
  <c r="C72" i="2"/>
  <c r="G80" i="19" l="1"/>
  <c r="G101" i="19" s="1"/>
  <c r="H56" i="21"/>
  <c r="I71" i="21" s="1"/>
  <c r="H62" i="21"/>
  <c r="H88" i="21" s="1"/>
  <c r="H93" i="21" s="1"/>
  <c r="H68" i="21"/>
  <c r="H68" i="20"/>
  <c r="G83" i="19"/>
  <c r="G84" i="19" s="1"/>
  <c r="G103" i="19" s="1"/>
  <c r="G90" i="19"/>
  <c r="G95" i="19" s="1"/>
  <c r="G88" i="19"/>
  <c r="G93" i="19" s="1"/>
  <c r="G91" i="19"/>
  <c r="G96" i="19" s="1"/>
  <c r="G102" i="19" s="1"/>
  <c r="H75" i="19"/>
  <c r="G85" i="21"/>
  <c r="G104" i="21" s="1"/>
  <c r="J76" i="21"/>
  <c r="J47" i="21"/>
  <c r="J46" i="21"/>
  <c r="I45" i="21"/>
  <c r="I44" i="21" s="1"/>
  <c r="I59" i="21"/>
  <c r="I65" i="21"/>
  <c r="H73" i="21"/>
  <c r="H69" i="19"/>
  <c r="P53" i="21"/>
  <c r="P52" i="21" s="1"/>
  <c r="H73" i="20"/>
  <c r="P53" i="20"/>
  <c r="P52" i="20" s="1"/>
  <c r="J76" i="20"/>
  <c r="I45" i="20"/>
  <c r="I44" i="20" s="1"/>
  <c r="J47" i="20"/>
  <c r="J46" i="20"/>
  <c r="I59" i="20"/>
  <c r="I65" i="20"/>
  <c r="H56" i="20"/>
  <c r="G84" i="20"/>
  <c r="G103" i="20" s="1"/>
  <c r="H62" i="20"/>
  <c r="H63" i="19"/>
  <c r="H57" i="19"/>
  <c r="P53" i="19"/>
  <c r="P52" i="19" s="1"/>
  <c r="I77" i="19"/>
  <c r="H58" i="19"/>
  <c r="H64" i="19"/>
  <c r="I49" i="19"/>
  <c r="I43" i="19"/>
  <c r="H74" i="19"/>
  <c r="H70" i="19"/>
  <c r="G85" i="19"/>
  <c r="J49" i="18"/>
  <c r="J43" i="18"/>
  <c r="H80" i="18"/>
  <c r="H101" i="18" s="1"/>
  <c r="I75" i="18"/>
  <c r="H91" i="18"/>
  <c r="H96" i="18" s="1"/>
  <c r="H102" i="18" s="1"/>
  <c r="H90" i="18"/>
  <c r="H95" i="18" s="1"/>
  <c r="H88" i="18"/>
  <c r="H93" i="18" s="1"/>
  <c r="H83" i="18"/>
  <c r="G107" i="18"/>
  <c r="I71" i="18"/>
  <c r="I69" i="18"/>
  <c r="I70" i="18"/>
  <c r="I74" i="18"/>
  <c r="I73" i="18" s="1"/>
  <c r="I63" i="18"/>
  <c r="I57" i="18"/>
  <c r="P53" i="18"/>
  <c r="P52" i="18" s="1"/>
  <c r="J77" i="18"/>
  <c r="I58" i="18"/>
  <c r="I64" i="18"/>
  <c r="F83" i="13"/>
  <c r="F84" i="13" s="1"/>
  <c r="F103" i="13" s="1"/>
  <c r="G69" i="13"/>
  <c r="G71" i="13"/>
  <c r="E107" i="13"/>
  <c r="F88" i="13"/>
  <c r="F93" i="13" s="1"/>
  <c r="F80" i="13"/>
  <c r="F101" i="13" s="1"/>
  <c r="F90" i="13"/>
  <c r="F95" i="13" s="1"/>
  <c r="F91" i="13"/>
  <c r="F96" i="13" s="1"/>
  <c r="F102" i="13" s="1"/>
  <c r="G75" i="13"/>
  <c r="C99" i="2"/>
  <c r="C71" i="2"/>
  <c r="C70" i="2" s="1"/>
  <c r="C50" i="2"/>
  <c r="I69" i="21" l="1"/>
  <c r="H83" i="21"/>
  <c r="H84" i="21" s="1"/>
  <c r="H103" i="21" s="1"/>
  <c r="H90" i="21"/>
  <c r="H95" i="21" s="1"/>
  <c r="H91" i="21"/>
  <c r="H96" i="21" s="1"/>
  <c r="H102" i="21" s="1"/>
  <c r="I75" i="21"/>
  <c r="H80" i="21"/>
  <c r="H101" i="21" s="1"/>
  <c r="H83" i="20"/>
  <c r="H84" i="20" s="1"/>
  <c r="H103" i="20" s="1"/>
  <c r="H73" i="19"/>
  <c r="G104" i="19"/>
  <c r="G107" i="19" s="1"/>
  <c r="H68" i="19"/>
  <c r="J77" i="21"/>
  <c r="I58" i="21"/>
  <c r="I64" i="21"/>
  <c r="Q53" i="21"/>
  <c r="Q52" i="21" s="1"/>
  <c r="J49" i="21"/>
  <c r="J43" i="21"/>
  <c r="I63" i="21"/>
  <c r="I57" i="21"/>
  <c r="I74" i="21"/>
  <c r="I70" i="21"/>
  <c r="G107" i="21"/>
  <c r="I63" i="20"/>
  <c r="I57" i="20"/>
  <c r="I74" i="20"/>
  <c r="I70" i="20"/>
  <c r="Q53" i="20"/>
  <c r="Q52" i="20" s="1"/>
  <c r="I71" i="20"/>
  <c r="I69" i="20"/>
  <c r="H80" i="20"/>
  <c r="H101" i="20" s="1"/>
  <c r="I75" i="20"/>
  <c r="H91" i="20"/>
  <c r="H96" i="20" s="1"/>
  <c r="H102" i="20" s="1"/>
  <c r="H90" i="20"/>
  <c r="H95" i="20" s="1"/>
  <c r="H88" i="20"/>
  <c r="H93" i="20" s="1"/>
  <c r="J49" i="20"/>
  <c r="J43" i="20"/>
  <c r="G85" i="20"/>
  <c r="G104" i="20" s="1"/>
  <c r="J77" i="20"/>
  <c r="I58" i="20"/>
  <c r="I64" i="20"/>
  <c r="I62" i="18"/>
  <c r="I88" i="18" s="1"/>
  <c r="I93" i="18" s="1"/>
  <c r="J76" i="19"/>
  <c r="J47" i="19"/>
  <c r="J46" i="19"/>
  <c r="I45" i="19"/>
  <c r="Q53" i="19"/>
  <c r="Q52" i="19" s="1"/>
  <c r="I59" i="19"/>
  <c r="I65" i="19"/>
  <c r="H56" i="19"/>
  <c r="H62" i="19"/>
  <c r="Q53" i="18"/>
  <c r="Q52" i="18" s="1"/>
  <c r="I68" i="18"/>
  <c r="I83" i="18" s="1"/>
  <c r="K76" i="18"/>
  <c r="K47" i="18"/>
  <c r="K46" i="18"/>
  <c r="J45" i="18"/>
  <c r="I56" i="18"/>
  <c r="H84" i="18"/>
  <c r="H103" i="18" s="1"/>
  <c r="J59" i="18"/>
  <c r="J65" i="18"/>
  <c r="F85" i="13"/>
  <c r="F104" i="13" s="1"/>
  <c r="C96" i="2"/>
  <c r="I73" i="21" l="1"/>
  <c r="I68" i="21"/>
  <c r="I62" i="21"/>
  <c r="H83" i="19"/>
  <c r="H84" i="19" s="1"/>
  <c r="H103" i="19" s="1"/>
  <c r="I90" i="18"/>
  <c r="I95" i="18" s="1"/>
  <c r="J75" i="18"/>
  <c r="I91" i="18"/>
  <c r="I96" i="18" s="1"/>
  <c r="I102" i="18" s="1"/>
  <c r="I56" i="21"/>
  <c r="J69" i="21" s="1"/>
  <c r="R53" i="21"/>
  <c r="R52" i="21" s="1"/>
  <c r="H85" i="21"/>
  <c r="H104" i="21" s="1"/>
  <c r="H107" i="21" s="1"/>
  <c r="K76" i="21"/>
  <c r="K47" i="21"/>
  <c r="K46" i="21"/>
  <c r="J45" i="21"/>
  <c r="J44" i="21" s="1"/>
  <c r="H85" i="20"/>
  <c r="H104" i="20" s="1"/>
  <c r="J59" i="21"/>
  <c r="J65" i="21"/>
  <c r="G107" i="20"/>
  <c r="K47" i="20"/>
  <c r="K46" i="20"/>
  <c r="K76" i="20"/>
  <c r="J45" i="20"/>
  <c r="J44" i="20" s="1"/>
  <c r="I68" i="20"/>
  <c r="I73" i="20"/>
  <c r="J59" i="20"/>
  <c r="J65" i="20"/>
  <c r="R53" i="20"/>
  <c r="R52" i="20" s="1"/>
  <c r="I56" i="20"/>
  <c r="I62" i="20"/>
  <c r="I74" i="19"/>
  <c r="I70" i="19"/>
  <c r="J77" i="19"/>
  <c r="I58" i="19"/>
  <c r="I64" i="19"/>
  <c r="J49" i="19"/>
  <c r="J43" i="19"/>
  <c r="H80" i="19"/>
  <c r="H101" i="19" s="1"/>
  <c r="I75" i="19"/>
  <c r="H91" i="19"/>
  <c r="H96" i="19" s="1"/>
  <c r="H102" i="19" s="1"/>
  <c r="H90" i="19"/>
  <c r="H95" i="19" s="1"/>
  <c r="H88" i="19"/>
  <c r="H93" i="19" s="1"/>
  <c r="R53" i="19"/>
  <c r="R52" i="19" s="1"/>
  <c r="I71" i="19"/>
  <c r="I69" i="19"/>
  <c r="I44" i="19"/>
  <c r="K77" i="18"/>
  <c r="J58" i="18"/>
  <c r="J64" i="18"/>
  <c r="J74" i="18"/>
  <c r="J70" i="18"/>
  <c r="K49" i="18"/>
  <c r="K43" i="18"/>
  <c r="H85" i="18"/>
  <c r="H104" i="18" s="1"/>
  <c r="H107" i="18" s="1"/>
  <c r="I84" i="18"/>
  <c r="I103" i="18" s="1"/>
  <c r="J71" i="18"/>
  <c r="J69" i="18"/>
  <c r="R53" i="18"/>
  <c r="R52" i="18" s="1"/>
  <c r="J44" i="18"/>
  <c r="I80" i="18"/>
  <c r="I101" i="18" s="1"/>
  <c r="F107" i="13"/>
  <c r="S96" i="2"/>
  <c r="AA96" i="2"/>
  <c r="Q96" i="2"/>
  <c r="Z96" i="2"/>
  <c r="T96" i="2"/>
  <c r="V96" i="2"/>
  <c r="U96" i="2"/>
  <c r="Y96" i="2"/>
  <c r="R96" i="2"/>
  <c r="W96" i="2"/>
  <c r="P96" i="2"/>
  <c r="X96" i="2"/>
  <c r="D96" i="2"/>
  <c r="O96" i="2"/>
  <c r="J96" i="2"/>
  <c r="K96" i="2"/>
  <c r="L96" i="2"/>
  <c r="M96" i="2"/>
  <c r="N96" i="2"/>
  <c r="I83" i="21" l="1"/>
  <c r="I84" i="21" s="1"/>
  <c r="I103" i="21" s="1"/>
  <c r="I80" i="21"/>
  <c r="I101" i="21" s="1"/>
  <c r="I90" i="21"/>
  <c r="I95" i="21" s="1"/>
  <c r="I88" i="21"/>
  <c r="I93" i="21" s="1"/>
  <c r="J71" i="21"/>
  <c r="I91" i="21"/>
  <c r="I96" i="21" s="1"/>
  <c r="I102" i="21" s="1"/>
  <c r="J75" i="21"/>
  <c r="H85" i="19"/>
  <c r="J73" i="18"/>
  <c r="S53" i="21"/>
  <c r="S52" i="21" s="1"/>
  <c r="J74" i="21"/>
  <c r="J70" i="21"/>
  <c r="J63" i="21"/>
  <c r="J57" i="21"/>
  <c r="K77" i="21"/>
  <c r="J58" i="21"/>
  <c r="J64" i="21"/>
  <c r="H107" i="20"/>
  <c r="K49" i="21"/>
  <c r="K43" i="21"/>
  <c r="J63" i="20"/>
  <c r="J57" i="20"/>
  <c r="K77" i="20"/>
  <c r="J58" i="20"/>
  <c r="J64" i="20"/>
  <c r="J74" i="20"/>
  <c r="J70" i="20"/>
  <c r="J71" i="20"/>
  <c r="J69" i="20"/>
  <c r="K49" i="20"/>
  <c r="K43" i="20"/>
  <c r="I80" i="20"/>
  <c r="I101" i="20" s="1"/>
  <c r="J75" i="20"/>
  <c r="I91" i="20"/>
  <c r="I96" i="20" s="1"/>
  <c r="I102" i="20" s="1"/>
  <c r="I90" i="20"/>
  <c r="I95" i="20" s="1"/>
  <c r="I88" i="20"/>
  <c r="I93" i="20" s="1"/>
  <c r="S53" i="20"/>
  <c r="S52" i="20" s="1"/>
  <c r="I83" i="20"/>
  <c r="H104" i="19"/>
  <c r="H107" i="19" s="1"/>
  <c r="J68" i="18"/>
  <c r="I68" i="19"/>
  <c r="K76" i="19"/>
  <c r="J45" i="19"/>
  <c r="J44" i="19" s="1"/>
  <c r="K46" i="19"/>
  <c r="K47" i="19"/>
  <c r="I63" i="19"/>
  <c r="I62" i="19" s="1"/>
  <c r="I57" i="19"/>
  <c r="I56" i="19" s="1"/>
  <c r="J59" i="19"/>
  <c r="J65" i="19"/>
  <c r="S53" i="19"/>
  <c r="S52" i="19" s="1"/>
  <c r="I73" i="19"/>
  <c r="I85" i="18"/>
  <c r="I104" i="18" s="1"/>
  <c r="I107" i="18" s="1"/>
  <c r="L76" i="18"/>
  <c r="L47" i="18"/>
  <c r="L46" i="18"/>
  <c r="K45" i="18"/>
  <c r="K44" i="18" s="1"/>
  <c r="K59" i="18"/>
  <c r="K65" i="18"/>
  <c r="J63" i="18"/>
  <c r="J62" i="18" s="1"/>
  <c r="J57" i="18"/>
  <c r="J56" i="18" s="1"/>
  <c r="S53" i="18"/>
  <c r="S52" i="18" s="1"/>
  <c r="D44" i="2"/>
  <c r="D73" i="2"/>
  <c r="D70" i="2" s="1"/>
  <c r="D43" i="2"/>
  <c r="I96" i="2"/>
  <c r="G96" i="2"/>
  <c r="E96" i="2"/>
  <c r="H96" i="2"/>
  <c r="F96" i="2"/>
  <c r="J83" i="18" l="1"/>
  <c r="J84" i="18" s="1"/>
  <c r="J103" i="18" s="1"/>
  <c r="I85" i="21"/>
  <c r="I104" i="21" s="1"/>
  <c r="I107" i="21" s="1"/>
  <c r="J68" i="21"/>
  <c r="J73" i="21"/>
  <c r="J68" i="20"/>
  <c r="J56" i="20"/>
  <c r="K71" i="20" s="1"/>
  <c r="J62" i="20"/>
  <c r="J90" i="20" s="1"/>
  <c r="J95" i="20" s="1"/>
  <c r="T53" i="21"/>
  <c r="T52" i="21" s="1"/>
  <c r="L47" i="21"/>
  <c r="L46" i="21"/>
  <c r="K45" i="21"/>
  <c r="K44" i="21" s="1"/>
  <c r="L76" i="21"/>
  <c r="J56" i="21"/>
  <c r="J73" i="20"/>
  <c r="K59" i="21"/>
  <c r="K65" i="21"/>
  <c r="J62" i="21"/>
  <c r="I84" i="20"/>
  <c r="I103" i="20" s="1"/>
  <c r="I83" i="19"/>
  <c r="I84" i="19" s="1"/>
  <c r="I103" i="19" s="1"/>
  <c r="T53" i="20"/>
  <c r="T52" i="20" s="1"/>
  <c r="L47" i="20"/>
  <c r="L46" i="20"/>
  <c r="K45" i="20"/>
  <c r="K44" i="20" s="1"/>
  <c r="L76" i="20"/>
  <c r="K59" i="20"/>
  <c r="K65" i="20"/>
  <c r="J71" i="19"/>
  <c r="J69" i="19"/>
  <c r="T53" i="19"/>
  <c r="T52" i="19" s="1"/>
  <c r="I80" i="19"/>
  <c r="I101" i="19" s="1"/>
  <c r="I91" i="19"/>
  <c r="I96" i="19" s="1"/>
  <c r="I102" i="19" s="1"/>
  <c r="I90" i="19"/>
  <c r="I95" i="19" s="1"/>
  <c r="I88" i="19"/>
  <c r="I93" i="19" s="1"/>
  <c r="J75" i="19"/>
  <c r="K43" i="19"/>
  <c r="K49" i="19"/>
  <c r="J57" i="19"/>
  <c r="J63" i="19"/>
  <c r="K77" i="19"/>
  <c r="J58" i="19"/>
  <c r="J64" i="19"/>
  <c r="J74" i="19"/>
  <c r="J70" i="19"/>
  <c r="T53" i="18"/>
  <c r="T52" i="18" s="1"/>
  <c r="K63" i="18"/>
  <c r="K57" i="18"/>
  <c r="L77" i="18"/>
  <c r="K58" i="18"/>
  <c r="K64" i="18"/>
  <c r="K69" i="18"/>
  <c r="K71" i="18"/>
  <c r="J80" i="18"/>
  <c r="J101" i="18" s="1"/>
  <c r="K75" i="18"/>
  <c r="J91" i="18"/>
  <c r="J96" i="18" s="1"/>
  <c r="J102" i="18" s="1"/>
  <c r="J90" i="18"/>
  <c r="J95" i="18" s="1"/>
  <c r="J88" i="18"/>
  <c r="J93" i="18" s="1"/>
  <c r="L49" i="18"/>
  <c r="L43" i="18"/>
  <c r="K74" i="18"/>
  <c r="K70" i="18"/>
  <c r="D40" i="2"/>
  <c r="D42" i="2" s="1"/>
  <c r="D61" i="2" s="1"/>
  <c r="D46" i="2"/>
  <c r="J85" i="18" l="1"/>
  <c r="J104" i="18" s="1"/>
  <c r="J107" i="18" s="1"/>
  <c r="J83" i="21"/>
  <c r="J84" i="21" s="1"/>
  <c r="J103" i="21" s="1"/>
  <c r="J91" i="20"/>
  <c r="J96" i="20" s="1"/>
  <c r="J102" i="20" s="1"/>
  <c r="K69" i="20"/>
  <c r="K75" i="20"/>
  <c r="J83" i="20"/>
  <c r="J84" i="20" s="1"/>
  <c r="J103" i="20" s="1"/>
  <c r="J80" i="20"/>
  <c r="J101" i="20" s="1"/>
  <c r="J88" i="20"/>
  <c r="J93" i="20" s="1"/>
  <c r="J73" i="19"/>
  <c r="K57" i="21"/>
  <c r="K63" i="21"/>
  <c r="I85" i="20"/>
  <c r="I104" i="20" s="1"/>
  <c r="I107" i="20" s="1"/>
  <c r="L77" i="21"/>
  <c r="K58" i="21"/>
  <c r="K64" i="21"/>
  <c r="J80" i="21"/>
  <c r="J101" i="21" s="1"/>
  <c r="K75" i="21"/>
  <c r="J91" i="21"/>
  <c r="J96" i="21" s="1"/>
  <c r="J102" i="21" s="1"/>
  <c r="J90" i="21"/>
  <c r="J95" i="21" s="1"/>
  <c r="J88" i="21"/>
  <c r="J93" i="21" s="1"/>
  <c r="K74" i="21"/>
  <c r="K70" i="21"/>
  <c r="L49" i="21"/>
  <c r="L43" i="21"/>
  <c r="K71" i="21"/>
  <c r="K69" i="21"/>
  <c r="U53" i="21"/>
  <c r="U52" i="21" s="1"/>
  <c r="K57" i="20"/>
  <c r="K63" i="20"/>
  <c r="L77" i="20"/>
  <c r="K58" i="20"/>
  <c r="K64" i="20"/>
  <c r="L49" i="20"/>
  <c r="L43" i="20"/>
  <c r="K74" i="20"/>
  <c r="K70" i="20"/>
  <c r="U53" i="20"/>
  <c r="U52" i="20" s="1"/>
  <c r="J62" i="19"/>
  <c r="J90" i="19" s="1"/>
  <c r="J95" i="19" s="1"/>
  <c r="K59" i="19"/>
  <c r="K65" i="19"/>
  <c r="U53" i="19"/>
  <c r="U52" i="19" s="1"/>
  <c r="L76" i="19"/>
  <c r="L47" i="19"/>
  <c r="L46" i="19"/>
  <c r="K45" i="19"/>
  <c r="K44" i="19" s="1"/>
  <c r="J68" i="19"/>
  <c r="J56" i="19"/>
  <c r="I85" i="19"/>
  <c r="I104" i="19" s="1"/>
  <c r="I107" i="19" s="1"/>
  <c r="K56" i="18"/>
  <c r="L71" i="18" s="1"/>
  <c r="K62" i="18"/>
  <c r="K88" i="18" s="1"/>
  <c r="K93" i="18" s="1"/>
  <c r="K73" i="18"/>
  <c r="M76" i="18"/>
  <c r="M47" i="18"/>
  <c r="M46" i="18"/>
  <c r="L45" i="18"/>
  <c r="L44" i="18" s="1"/>
  <c r="K68" i="18"/>
  <c r="L59" i="18"/>
  <c r="L65" i="18"/>
  <c r="U53" i="18"/>
  <c r="U52" i="18" s="1"/>
  <c r="E44" i="2"/>
  <c r="E46" i="2" s="1"/>
  <c r="D55" i="2"/>
  <c r="E73" i="2"/>
  <c r="E43" i="2"/>
  <c r="J83" i="19" l="1"/>
  <c r="J84" i="19" s="1"/>
  <c r="J103" i="19" s="1"/>
  <c r="J85" i="21"/>
  <c r="J104" i="21" s="1"/>
  <c r="J107" i="21" s="1"/>
  <c r="K73" i="21"/>
  <c r="K68" i="20"/>
  <c r="K73" i="20"/>
  <c r="J91" i="19"/>
  <c r="J96" i="19" s="1"/>
  <c r="J102" i="19" s="1"/>
  <c r="J80" i="19"/>
  <c r="J101" i="19" s="1"/>
  <c r="K68" i="21"/>
  <c r="K62" i="21"/>
  <c r="K75" i="19"/>
  <c r="K56" i="21"/>
  <c r="J88" i="19"/>
  <c r="J93" i="19" s="1"/>
  <c r="L59" i="21"/>
  <c r="L65" i="21"/>
  <c r="V53" i="21"/>
  <c r="V52" i="21" s="1"/>
  <c r="M76" i="21"/>
  <c r="M47" i="21"/>
  <c r="M46" i="21"/>
  <c r="L45" i="21"/>
  <c r="L44" i="21" s="1"/>
  <c r="J85" i="20"/>
  <c r="J104" i="20" s="1"/>
  <c r="J107" i="20" s="1"/>
  <c r="K62" i="20"/>
  <c r="K56" i="20"/>
  <c r="V53" i="20"/>
  <c r="V52" i="20" s="1"/>
  <c r="M76" i="20"/>
  <c r="M47" i="20"/>
  <c r="M46" i="20"/>
  <c r="L45" i="20"/>
  <c r="L44" i="20" s="1"/>
  <c r="L59" i="20"/>
  <c r="L65" i="20"/>
  <c r="V53" i="19"/>
  <c r="V52" i="19" s="1"/>
  <c r="K90" i="18"/>
  <c r="K95" i="18" s="1"/>
  <c r="K83" i="18"/>
  <c r="K91" i="18"/>
  <c r="K96" i="18" s="1"/>
  <c r="K102" i="18" s="1"/>
  <c r="K71" i="19"/>
  <c r="K69" i="19"/>
  <c r="K57" i="19"/>
  <c r="K63" i="19"/>
  <c r="L75" i="18"/>
  <c r="L77" i="19"/>
  <c r="K58" i="19"/>
  <c r="K64" i="19"/>
  <c r="L69" i="18"/>
  <c r="K70" i="19"/>
  <c r="K74" i="19"/>
  <c r="L49" i="19"/>
  <c r="L43" i="19"/>
  <c r="K80" i="18"/>
  <c r="K101" i="18" s="1"/>
  <c r="K84" i="18"/>
  <c r="K103" i="18" s="1"/>
  <c r="V53" i="18"/>
  <c r="V52" i="18" s="1"/>
  <c r="L63" i="18"/>
  <c r="L57" i="18"/>
  <c r="M77" i="18"/>
  <c r="L58" i="18"/>
  <c r="L64" i="18"/>
  <c r="M49" i="18"/>
  <c r="M43" i="18"/>
  <c r="L74" i="18"/>
  <c r="L73" i="18" s="1"/>
  <c r="L70" i="18"/>
  <c r="E74" i="2"/>
  <c r="D41" i="2"/>
  <c r="K83" i="21" l="1"/>
  <c r="K84" i="21" s="1"/>
  <c r="K103" i="21" s="1"/>
  <c r="K83" i="20"/>
  <c r="K84" i="20" s="1"/>
  <c r="K103" i="20" s="1"/>
  <c r="L68" i="18"/>
  <c r="L83" i="18" s="1"/>
  <c r="L84" i="18" s="1"/>
  <c r="L103" i="18" s="1"/>
  <c r="W53" i="21"/>
  <c r="W52" i="21" s="1"/>
  <c r="L71" i="21"/>
  <c r="L69" i="21"/>
  <c r="L63" i="21"/>
  <c r="L57" i="21"/>
  <c r="M77" i="21"/>
  <c r="L58" i="21"/>
  <c r="L64" i="21"/>
  <c r="L75" i="21"/>
  <c r="K91" i="21"/>
  <c r="K96" i="21" s="1"/>
  <c r="K102" i="21" s="1"/>
  <c r="K90" i="21"/>
  <c r="K95" i="21" s="1"/>
  <c r="K88" i="21"/>
  <c r="K93" i="21" s="1"/>
  <c r="K80" i="21"/>
  <c r="K101" i="21" s="1"/>
  <c r="L74" i="21"/>
  <c r="L70" i="21"/>
  <c r="M49" i="21"/>
  <c r="M43" i="21"/>
  <c r="K73" i="19"/>
  <c r="L74" i="20"/>
  <c r="L70" i="20"/>
  <c r="L63" i="20"/>
  <c r="L57" i="20"/>
  <c r="M77" i="20"/>
  <c r="L58" i="20"/>
  <c r="L64" i="20"/>
  <c r="M49" i="20"/>
  <c r="M43" i="20"/>
  <c r="K91" i="20"/>
  <c r="K96" i="20" s="1"/>
  <c r="K102" i="20" s="1"/>
  <c r="K90" i="20"/>
  <c r="K95" i="20" s="1"/>
  <c r="K88" i="20"/>
  <c r="K93" i="20" s="1"/>
  <c r="K80" i="20"/>
  <c r="K101" i="20" s="1"/>
  <c r="L75" i="20"/>
  <c r="L71" i="20"/>
  <c r="L69" i="20"/>
  <c r="W53" i="20"/>
  <c r="W52" i="20" s="1"/>
  <c r="K62" i="19"/>
  <c r="L75" i="19" s="1"/>
  <c r="J85" i="19"/>
  <c r="J104" i="19" s="1"/>
  <c r="J107" i="19" s="1"/>
  <c r="K56" i="19"/>
  <c r="L71" i="19" s="1"/>
  <c r="L59" i="19"/>
  <c r="L65" i="19"/>
  <c r="W53" i="19"/>
  <c r="W52" i="19" s="1"/>
  <c r="K68" i="19"/>
  <c r="M76" i="19"/>
  <c r="M47" i="19"/>
  <c r="M46" i="19"/>
  <c r="L45" i="19"/>
  <c r="L44" i="19" s="1"/>
  <c r="M59" i="18"/>
  <c r="M65" i="18"/>
  <c r="L56" i="18"/>
  <c r="K85" i="18"/>
  <c r="K104" i="18" s="1"/>
  <c r="K107" i="18" s="1"/>
  <c r="L62" i="18"/>
  <c r="N76" i="18"/>
  <c r="N47" i="18"/>
  <c r="N46" i="18"/>
  <c r="M45" i="18"/>
  <c r="M44" i="18" s="1"/>
  <c r="W53" i="18"/>
  <c r="W52" i="18" s="1"/>
  <c r="D60" i="2"/>
  <c r="D54" i="2"/>
  <c r="D53" i="2" s="1"/>
  <c r="E68" i="2" s="1"/>
  <c r="E40" i="2"/>
  <c r="K85" i="20" l="1"/>
  <c r="K104" i="20" s="1"/>
  <c r="K107" i="20" s="1"/>
  <c r="L62" i="21"/>
  <c r="L91" i="21" s="1"/>
  <c r="L96" i="21" s="1"/>
  <c r="L102" i="21" s="1"/>
  <c r="N76" i="21"/>
  <c r="M45" i="21"/>
  <c r="M44" i="21" s="1"/>
  <c r="N46" i="21"/>
  <c r="N47" i="21"/>
  <c r="L68" i="21"/>
  <c r="M59" i="21"/>
  <c r="M65" i="21"/>
  <c r="X53" i="21"/>
  <c r="X52" i="21" s="1"/>
  <c r="K85" i="21"/>
  <c r="K104" i="21" s="1"/>
  <c r="K107" i="21" s="1"/>
  <c r="K83" i="19"/>
  <c r="K84" i="19" s="1"/>
  <c r="K103" i="19" s="1"/>
  <c r="L73" i="21"/>
  <c r="L69" i="19"/>
  <c r="L68" i="20"/>
  <c r="L56" i="21"/>
  <c r="K91" i="19"/>
  <c r="K96" i="19" s="1"/>
  <c r="K102" i="19" s="1"/>
  <c r="K88" i="19"/>
  <c r="K93" i="19" s="1"/>
  <c r="K90" i="19"/>
  <c r="K95" i="19" s="1"/>
  <c r="X53" i="20"/>
  <c r="X52" i="20" s="1"/>
  <c r="L56" i="20"/>
  <c r="L62" i="20"/>
  <c r="M59" i="20"/>
  <c r="M65" i="20"/>
  <c r="N76" i="20"/>
  <c r="N47" i="20"/>
  <c r="N46" i="20"/>
  <c r="M45" i="20"/>
  <c r="M44" i="20" s="1"/>
  <c r="L73" i="20"/>
  <c r="K80" i="19"/>
  <c r="K101" i="19" s="1"/>
  <c r="X53" i="19"/>
  <c r="X52" i="19" s="1"/>
  <c r="L63" i="19"/>
  <c r="L57" i="19"/>
  <c r="M77" i="19"/>
  <c r="L58" i="19"/>
  <c r="L64" i="19"/>
  <c r="L70" i="19"/>
  <c r="L74" i="19"/>
  <c r="L73" i="19" s="1"/>
  <c r="M49" i="19"/>
  <c r="M43" i="19"/>
  <c r="L91" i="18"/>
  <c r="L96" i="18" s="1"/>
  <c r="L102" i="18" s="1"/>
  <c r="L90" i="18"/>
  <c r="L95" i="18" s="1"/>
  <c r="L88" i="18"/>
  <c r="L93" i="18" s="1"/>
  <c r="L80" i="18"/>
  <c r="L101" i="18" s="1"/>
  <c r="M75" i="18"/>
  <c r="M71" i="18"/>
  <c r="M69" i="18"/>
  <c r="M63" i="18"/>
  <c r="M57" i="18"/>
  <c r="M70" i="18"/>
  <c r="M74" i="18"/>
  <c r="N77" i="18"/>
  <c r="M58" i="18"/>
  <c r="M64" i="18"/>
  <c r="X53" i="18"/>
  <c r="X52" i="18" s="1"/>
  <c r="N49" i="18"/>
  <c r="N43" i="18"/>
  <c r="L85" i="18"/>
  <c r="E66" i="2"/>
  <c r="E65" i="2" s="1"/>
  <c r="F73" i="2"/>
  <c r="F44" i="2"/>
  <c r="F46" i="2" s="1"/>
  <c r="E42" i="2"/>
  <c r="F43" i="2"/>
  <c r="M75" i="21" l="1"/>
  <c r="L88" i="21"/>
  <c r="L93" i="21" s="1"/>
  <c r="L90" i="21"/>
  <c r="L95" i="21" s="1"/>
  <c r="L80" i="21"/>
  <c r="L101" i="21" s="1"/>
  <c r="L68" i="19"/>
  <c r="L83" i="19" s="1"/>
  <c r="L84" i="19" s="1"/>
  <c r="L103" i="19" s="1"/>
  <c r="L104" i="18"/>
  <c r="L107" i="18" s="1"/>
  <c r="L83" i="20"/>
  <c r="L84" i="20" s="1"/>
  <c r="L103" i="20" s="1"/>
  <c r="N77" i="21"/>
  <c r="M58" i="21"/>
  <c r="M64" i="21"/>
  <c r="M74" i="21"/>
  <c r="M70" i="21"/>
  <c r="Y53" i="21"/>
  <c r="Y52" i="21" s="1"/>
  <c r="L83" i="21"/>
  <c r="N49" i="21"/>
  <c r="N43" i="21"/>
  <c r="M63" i="21"/>
  <c r="M57" i="21"/>
  <c r="M71" i="21"/>
  <c r="M69" i="21"/>
  <c r="M70" i="20"/>
  <c r="M74" i="20"/>
  <c r="M57" i="20"/>
  <c r="M63" i="20"/>
  <c r="N49" i="20"/>
  <c r="N43" i="20"/>
  <c r="N77" i="20"/>
  <c r="M58" i="20"/>
  <c r="M64" i="20"/>
  <c r="M71" i="20"/>
  <c r="M69" i="20"/>
  <c r="Y53" i="20"/>
  <c r="Y52" i="20" s="1"/>
  <c r="L90" i="20"/>
  <c r="L95" i="20" s="1"/>
  <c r="L88" i="20"/>
  <c r="L93" i="20" s="1"/>
  <c r="L80" i="20"/>
  <c r="L101" i="20" s="1"/>
  <c r="M75" i="20"/>
  <c r="L91" i="20"/>
  <c r="L96" i="20" s="1"/>
  <c r="L102" i="20" s="1"/>
  <c r="M68" i="18"/>
  <c r="Y53" i="19"/>
  <c r="Y52" i="19" s="1"/>
  <c r="N76" i="19"/>
  <c r="N47" i="19"/>
  <c r="N46" i="19"/>
  <c r="M45" i="19"/>
  <c r="M44" i="19" s="1"/>
  <c r="L56" i="19"/>
  <c r="M59" i="19"/>
  <c r="M65" i="19"/>
  <c r="L62" i="19"/>
  <c r="K85" i="19"/>
  <c r="K104" i="19" s="1"/>
  <c r="K107" i="19" s="1"/>
  <c r="M62" i="18"/>
  <c r="O76" i="18"/>
  <c r="N45" i="18"/>
  <c r="N44" i="18" s="1"/>
  <c r="O47" i="18"/>
  <c r="O46" i="18"/>
  <c r="N59" i="18"/>
  <c r="N65" i="18"/>
  <c r="Y53" i="18"/>
  <c r="Y52" i="18" s="1"/>
  <c r="M73" i="18"/>
  <c r="M56" i="18"/>
  <c r="E55" i="2"/>
  <c r="F74" i="2"/>
  <c r="E41" i="2"/>
  <c r="M73" i="21" l="1"/>
  <c r="M56" i="21"/>
  <c r="N71" i="21" s="1"/>
  <c r="M73" i="20"/>
  <c r="M83" i="18"/>
  <c r="M84" i="18" s="1"/>
  <c r="M103" i="18" s="1"/>
  <c r="M68" i="20"/>
  <c r="O76" i="21"/>
  <c r="N45" i="21"/>
  <c r="N44" i="21" s="1"/>
  <c r="O47" i="21"/>
  <c r="O46" i="21"/>
  <c r="N59" i="21"/>
  <c r="N65" i="21"/>
  <c r="L84" i="21"/>
  <c r="L103" i="21" s="1"/>
  <c r="M68" i="21"/>
  <c r="Z53" i="21"/>
  <c r="Z52" i="21" s="1"/>
  <c r="N69" i="21"/>
  <c r="M62" i="20"/>
  <c r="M90" i="20" s="1"/>
  <c r="M95" i="20" s="1"/>
  <c r="M62" i="21"/>
  <c r="O76" i="20"/>
  <c r="N45" i="20"/>
  <c r="N44" i="20" s="1"/>
  <c r="O47" i="20"/>
  <c r="O46" i="20"/>
  <c r="N59" i="20"/>
  <c r="N65" i="20"/>
  <c r="M56" i="20"/>
  <c r="Z53" i="20"/>
  <c r="Z52" i="20" s="1"/>
  <c r="L85" i="20"/>
  <c r="L104" i="20" s="1"/>
  <c r="L107" i="20" s="1"/>
  <c r="M74" i="19"/>
  <c r="M70" i="19"/>
  <c r="Z53" i="19"/>
  <c r="Z52" i="19" s="1"/>
  <c r="M69" i="19"/>
  <c r="M71" i="19"/>
  <c r="M63" i="19"/>
  <c r="M57" i="19"/>
  <c r="N77" i="19"/>
  <c r="M58" i="19"/>
  <c r="M64" i="19"/>
  <c r="N49" i="19"/>
  <c r="N43" i="19"/>
  <c r="L85" i="19"/>
  <c r="L91" i="19"/>
  <c r="L96" i="19" s="1"/>
  <c r="L102" i="19" s="1"/>
  <c r="L90" i="19"/>
  <c r="L95" i="19" s="1"/>
  <c r="L88" i="19"/>
  <c r="L93" i="19" s="1"/>
  <c r="L80" i="19"/>
  <c r="L101" i="19" s="1"/>
  <c r="M75" i="19"/>
  <c r="O49" i="18"/>
  <c r="O43" i="18"/>
  <c r="N57" i="18"/>
  <c r="N63" i="18"/>
  <c r="O77" i="18"/>
  <c r="N58" i="18"/>
  <c r="N64" i="18"/>
  <c r="Z53" i="18"/>
  <c r="Z52" i="18" s="1"/>
  <c r="N70" i="18"/>
  <c r="N74" i="18"/>
  <c r="N71" i="18"/>
  <c r="N69" i="18"/>
  <c r="M90" i="18"/>
  <c r="M95" i="18" s="1"/>
  <c r="M88" i="18"/>
  <c r="M93" i="18" s="1"/>
  <c r="M80" i="18"/>
  <c r="M101" i="18" s="1"/>
  <c r="N75" i="18"/>
  <c r="M91" i="18"/>
  <c r="M96" i="18" s="1"/>
  <c r="M102" i="18" s="1"/>
  <c r="F40" i="2"/>
  <c r="M83" i="21" l="1"/>
  <c r="M84" i="21" s="1"/>
  <c r="M103" i="21" s="1"/>
  <c r="M88" i="20"/>
  <c r="M93" i="20" s="1"/>
  <c r="M83" i="20"/>
  <c r="M84" i="20" s="1"/>
  <c r="M103" i="20" s="1"/>
  <c r="M80" i="20"/>
  <c r="M101" i="20" s="1"/>
  <c r="M91" i="20"/>
  <c r="M96" i="20" s="1"/>
  <c r="M102" i="20" s="1"/>
  <c r="N75" i="20"/>
  <c r="N57" i="21"/>
  <c r="N63" i="21"/>
  <c r="N70" i="21"/>
  <c r="N68" i="21" s="1"/>
  <c r="N74" i="21"/>
  <c r="AA53" i="21"/>
  <c r="AA52" i="21" s="1"/>
  <c r="O49" i="21"/>
  <c r="O43" i="21"/>
  <c r="M90" i="21"/>
  <c r="M95" i="21" s="1"/>
  <c r="M88" i="21"/>
  <c r="M93" i="21" s="1"/>
  <c r="M80" i="21"/>
  <c r="M101" i="21" s="1"/>
  <c r="N75" i="21"/>
  <c r="M91" i="21"/>
  <c r="M96" i="21" s="1"/>
  <c r="M102" i="21" s="1"/>
  <c r="O77" i="21"/>
  <c r="N58" i="21"/>
  <c r="N64" i="21"/>
  <c r="L85" i="21"/>
  <c r="L104" i="21" s="1"/>
  <c r="L107" i="21" s="1"/>
  <c r="AA53" i="20"/>
  <c r="AA52" i="20" s="1"/>
  <c r="O43" i="20"/>
  <c r="O49" i="20"/>
  <c r="N63" i="20"/>
  <c r="N57" i="20"/>
  <c r="O77" i="20"/>
  <c r="N58" i="20"/>
  <c r="N64" i="20"/>
  <c r="N71" i="20"/>
  <c r="N69" i="20"/>
  <c r="N70" i="20"/>
  <c r="N74" i="20"/>
  <c r="M68" i="19"/>
  <c r="O76" i="19"/>
  <c r="N45" i="19"/>
  <c r="N44" i="19" s="1"/>
  <c r="O47" i="19"/>
  <c r="O46" i="19"/>
  <c r="N59" i="19"/>
  <c r="N65" i="19"/>
  <c r="AA53" i="19"/>
  <c r="AA52" i="19" s="1"/>
  <c r="M56" i="19"/>
  <c r="M62" i="19"/>
  <c r="L104" i="19"/>
  <c r="L107" i="19" s="1"/>
  <c r="M73" i="19"/>
  <c r="N62" i="18"/>
  <c r="O75" i="18" s="1"/>
  <c r="AA53" i="18"/>
  <c r="AA52" i="18" s="1"/>
  <c r="N56" i="18"/>
  <c r="P76" i="18"/>
  <c r="P47" i="18"/>
  <c r="P46" i="18"/>
  <c r="O45" i="18"/>
  <c r="N68" i="18"/>
  <c r="O59" i="18"/>
  <c r="O65" i="18"/>
  <c r="N73" i="18"/>
  <c r="M85" i="18"/>
  <c r="M104" i="18" s="1"/>
  <c r="M107" i="18" s="1"/>
  <c r="G73" i="2"/>
  <c r="G44" i="2"/>
  <c r="G46" i="2" s="1"/>
  <c r="G56" i="2" s="1"/>
  <c r="F42" i="2"/>
  <c r="G43" i="2"/>
  <c r="N73" i="20" l="1"/>
  <c r="M85" i="20"/>
  <c r="M104" i="20" s="1"/>
  <c r="M107" i="20" s="1"/>
  <c r="N56" i="20"/>
  <c r="O69" i="20" s="1"/>
  <c r="N73" i="21"/>
  <c r="N83" i="21" s="1"/>
  <c r="M83" i="19"/>
  <c r="M84" i="19" s="1"/>
  <c r="M103" i="19" s="1"/>
  <c r="P76" i="21"/>
  <c r="P47" i="21"/>
  <c r="P46" i="21"/>
  <c r="O45" i="21"/>
  <c r="O44" i="21" s="1"/>
  <c r="M85" i="21"/>
  <c r="M104" i="21" s="1"/>
  <c r="M107" i="21" s="1"/>
  <c r="O59" i="21"/>
  <c r="O65" i="21"/>
  <c r="N62" i="21"/>
  <c r="N56" i="21"/>
  <c r="O59" i="20"/>
  <c r="O65" i="20"/>
  <c r="P76" i="20"/>
  <c r="P47" i="20"/>
  <c r="P46" i="20"/>
  <c r="O45" i="20"/>
  <c r="O44" i="20" s="1"/>
  <c r="N88" i="18"/>
  <c r="N93" i="18" s="1"/>
  <c r="N68" i="20"/>
  <c r="N62" i="20"/>
  <c r="N90" i="18"/>
  <c r="N95" i="18" s="1"/>
  <c r="N91" i="18"/>
  <c r="N96" i="18" s="1"/>
  <c r="N102" i="18" s="1"/>
  <c r="N80" i="18"/>
  <c r="N101" i="18" s="1"/>
  <c r="M90" i="19"/>
  <c r="M95" i="19" s="1"/>
  <c r="M88" i="19"/>
  <c r="M93" i="19" s="1"/>
  <c r="M80" i="19"/>
  <c r="M101" i="19" s="1"/>
  <c r="N75" i="19"/>
  <c r="M91" i="19"/>
  <c r="M96" i="19" s="1"/>
  <c r="M102" i="19" s="1"/>
  <c r="N74" i="19"/>
  <c r="N70" i="19"/>
  <c r="N69" i="19"/>
  <c r="N71" i="19"/>
  <c r="O49" i="19"/>
  <c r="O43" i="19"/>
  <c r="N63" i="19"/>
  <c r="N57" i="19"/>
  <c r="O77" i="19"/>
  <c r="N58" i="19"/>
  <c r="N64" i="19"/>
  <c r="P77" i="18"/>
  <c r="O58" i="18"/>
  <c r="O64" i="18"/>
  <c r="P49" i="18"/>
  <c r="P43" i="18"/>
  <c r="O74" i="18"/>
  <c r="O73" i="18" s="1"/>
  <c r="O70" i="18"/>
  <c r="O71" i="18"/>
  <c r="O69" i="18"/>
  <c r="N83" i="18"/>
  <c r="O44" i="18"/>
  <c r="G74" i="2"/>
  <c r="F41" i="2"/>
  <c r="N83" i="20" l="1"/>
  <c r="N84" i="20" s="1"/>
  <c r="N103" i="20" s="1"/>
  <c r="O71" i="20"/>
  <c r="O68" i="18"/>
  <c r="O83" i="18" s="1"/>
  <c r="O84" i="18" s="1"/>
  <c r="O103" i="18" s="1"/>
  <c r="N84" i="21"/>
  <c r="N103" i="21" s="1"/>
  <c r="O70" i="21"/>
  <c r="O74" i="21"/>
  <c r="O63" i="21"/>
  <c r="O57" i="21"/>
  <c r="P77" i="21"/>
  <c r="O58" i="21"/>
  <c r="O64" i="21"/>
  <c r="O71" i="21"/>
  <c r="O69" i="21"/>
  <c r="P49" i="21"/>
  <c r="P43" i="21"/>
  <c r="N88" i="21"/>
  <c r="N93" i="21" s="1"/>
  <c r="N80" i="21"/>
  <c r="N101" i="21" s="1"/>
  <c r="O75" i="21"/>
  <c r="N91" i="21"/>
  <c r="N96" i="21" s="1"/>
  <c r="N102" i="21" s="1"/>
  <c r="N90" i="21"/>
  <c r="N95" i="21" s="1"/>
  <c r="N80" i="20"/>
  <c r="N101" i="20" s="1"/>
  <c r="O75" i="20"/>
  <c r="N91" i="20"/>
  <c r="N96" i="20" s="1"/>
  <c r="N102" i="20" s="1"/>
  <c r="N90" i="20"/>
  <c r="N95" i="20" s="1"/>
  <c r="N88" i="20"/>
  <c r="N93" i="20" s="1"/>
  <c r="O74" i="20"/>
  <c r="O70" i="20"/>
  <c r="O57" i="20"/>
  <c r="O63" i="20"/>
  <c r="P77" i="20"/>
  <c r="O58" i="20"/>
  <c r="O64" i="20"/>
  <c r="P49" i="20"/>
  <c r="P43" i="20"/>
  <c r="N73" i="19"/>
  <c r="O59" i="19"/>
  <c r="O65" i="19"/>
  <c r="N68" i="19"/>
  <c r="N56" i="19"/>
  <c r="N62" i="19"/>
  <c r="M85" i="19"/>
  <c r="M104" i="19" s="1"/>
  <c r="M107" i="19" s="1"/>
  <c r="P76" i="19"/>
  <c r="P47" i="19"/>
  <c r="P46" i="19"/>
  <c r="O45" i="19"/>
  <c r="O44" i="19" s="1"/>
  <c r="O63" i="18"/>
  <c r="O62" i="18" s="1"/>
  <c r="O57" i="18"/>
  <c r="O56" i="18" s="1"/>
  <c r="N84" i="18"/>
  <c r="N103" i="18" s="1"/>
  <c r="Q76" i="18"/>
  <c r="Q47" i="18"/>
  <c r="Q46" i="18"/>
  <c r="P45" i="18"/>
  <c r="P44" i="18" s="1"/>
  <c r="P59" i="18"/>
  <c r="P65" i="18"/>
  <c r="G40" i="2"/>
  <c r="O68" i="21" l="1"/>
  <c r="O68" i="20"/>
  <c r="N83" i="19"/>
  <c r="N84" i="19" s="1"/>
  <c r="N103" i="19" s="1"/>
  <c r="O62" i="21"/>
  <c r="P75" i="21" s="1"/>
  <c r="O73" i="21"/>
  <c r="Q76" i="21"/>
  <c r="Q47" i="21"/>
  <c r="Q46" i="21"/>
  <c r="P45" i="21"/>
  <c r="P44" i="21" s="1"/>
  <c r="O56" i="21"/>
  <c r="P59" i="21"/>
  <c r="P65" i="21"/>
  <c r="O73" i="20"/>
  <c r="N85" i="21"/>
  <c r="N104" i="21" s="1"/>
  <c r="N107" i="21" s="1"/>
  <c r="N85" i="20"/>
  <c r="N104" i="20" s="1"/>
  <c r="N107" i="20" s="1"/>
  <c r="O62" i="20"/>
  <c r="O56" i="20"/>
  <c r="Q76" i="20"/>
  <c r="Q46" i="20"/>
  <c r="Q47" i="20"/>
  <c r="P45" i="20"/>
  <c r="P59" i="20"/>
  <c r="P65" i="20"/>
  <c r="N88" i="19"/>
  <c r="N93" i="19" s="1"/>
  <c r="N80" i="19"/>
  <c r="N101" i="19" s="1"/>
  <c r="O75" i="19"/>
  <c r="N91" i="19"/>
  <c r="N96" i="19" s="1"/>
  <c r="N102" i="19" s="1"/>
  <c r="N90" i="19"/>
  <c r="N95" i="19" s="1"/>
  <c r="O71" i="19"/>
  <c r="O69" i="19"/>
  <c r="O63" i="19"/>
  <c r="O57" i="19"/>
  <c r="P77" i="19"/>
  <c r="O58" i="19"/>
  <c r="O64" i="19"/>
  <c r="P49" i="19"/>
  <c r="P43" i="19"/>
  <c r="O70" i="19"/>
  <c r="O74" i="19"/>
  <c r="P57" i="18"/>
  <c r="P63" i="18"/>
  <c r="Q49" i="18"/>
  <c r="Q43" i="18"/>
  <c r="P74" i="18"/>
  <c r="P70" i="18"/>
  <c r="O85" i="18"/>
  <c r="N85" i="18"/>
  <c r="N104" i="18" s="1"/>
  <c r="N107" i="18" s="1"/>
  <c r="Q77" i="18"/>
  <c r="P58" i="18"/>
  <c r="P64" i="18"/>
  <c r="P71" i="18"/>
  <c r="P69" i="18"/>
  <c r="O80" i="18"/>
  <c r="O101" i="18" s="1"/>
  <c r="P75" i="18"/>
  <c r="O91" i="18"/>
  <c r="O96" i="18" s="1"/>
  <c r="O102" i="18" s="1"/>
  <c r="O90" i="18"/>
  <c r="O95" i="18" s="1"/>
  <c r="O88" i="18"/>
  <c r="O93" i="18" s="1"/>
  <c r="H73" i="2"/>
  <c r="H44" i="2"/>
  <c r="G42" i="2"/>
  <c r="H43" i="2"/>
  <c r="O88" i="21" l="1"/>
  <c r="O93" i="21" s="1"/>
  <c r="O90" i="21"/>
  <c r="O95" i="21" s="1"/>
  <c r="O83" i="21"/>
  <c r="O84" i="21" s="1"/>
  <c r="O103" i="21" s="1"/>
  <c r="O83" i="20"/>
  <c r="O84" i="20" s="1"/>
  <c r="O103" i="20" s="1"/>
  <c r="O80" i="21"/>
  <c r="O101" i="21" s="1"/>
  <c r="O91" i="21"/>
  <c r="O96" i="21" s="1"/>
  <c r="O102" i="21" s="1"/>
  <c r="P71" i="21"/>
  <c r="P69" i="21"/>
  <c r="P57" i="21"/>
  <c r="P63" i="21"/>
  <c r="Q77" i="21"/>
  <c r="P58" i="21"/>
  <c r="P64" i="21"/>
  <c r="Q49" i="21"/>
  <c r="Q43" i="21"/>
  <c r="P74" i="21"/>
  <c r="P73" i="21" s="1"/>
  <c r="P70" i="21"/>
  <c r="Q49" i="20"/>
  <c r="Q43" i="20"/>
  <c r="O62" i="19"/>
  <c r="O90" i="19" s="1"/>
  <c r="O95" i="19" s="1"/>
  <c r="P74" i="20"/>
  <c r="P70" i="20"/>
  <c r="Q77" i="20"/>
  <c r="P58" i="20"/>
  <c r="P64" i="20"/>
  <c r="P69" i="20"/>
  <c r="P71" i="20"/>
  <c r="O80" i="20"/>
  <c r="O101" i="20" s="1"/>
  <c r="P75" i="20"/>
  <c r="O91" i="20"/>
  <c r="O96" i="20" s="1"/>
  <c r="O102" i="20" s="1"/>
  <c r="O90" i="20"/>
  <c r="O95" i="20" s="1"/>
  <c r="O88" i="20"/>
  <c r="O93" i="20" s="1"/>
  <c r="P44" i="20"/>
  <c r="O68" i="19"/>
  <c r="O73" i="19"/>
  <c r="Q76" i="19"/>
  <c r="Q47" i="19"/>
  <c r="Q46" i="19"/>
  <c r="P45" i="19"/>
  <c r="P44" i="19" s="1"/>
  <c r="P59" i="19"/>
  <c r="P65" i="19"/>
  <c r="N85" i="19"/>
  <c r="N104" i="19" s="1"/>
  <c r="N107" i="19" s="1"/>
  <c r="O56" i="19"/>
  <c r="P73" i="18"/>
  <c r="P68" i="18"/>
  <c r="O104" i="18"/>
  <c r="O107" i="18" s="1"/>
  <c r="R76" i="18"/>
  <c r="R47" i="18"/>
  <c r="R46" i="18"/>
  <c r="Q45" i="18"/>
  <c r="Q44" i="18" s="1"/>
  <c r="Q59" i="18"/>
  <c r="Q65" i="18"/>
  <c r="P62" i="18"/>
  <c r="P56" i="18"/>
  <c r="H74" i="2"/>
  <c r="H46" i="2"/>
  <c r="G41" i="2"/>
  <c r="H40" i="2"/>
  <c r="O85" i="21" l="1"/>
  <c r="O104" i="21" s="1"/>
  <c r="O107" i="21" s="1"/>
  <c r="O85" i="20"/>
  <c r="O104" i="20" s="1"/>
  <c r="O107" i="20" s="1"/>
  <c r="P75" i="19"/>
  <c r="O91" i="19"/>
  <c r="O96" i="19" s="1"/>
  <c r="O102" i="19" s="1"/>
  <c r="O80" i="19"/>
  <c r="O101" i="19" s="1"/>
  <c r="O88" i="19"/>
  <c r="O93" i="19" s="1"/>
  <c r="P62" i="21"/>
  <c r="P56" i="21"/>
  <c r="R76" i="21"/>
  <c r="R47" i="21"/>
  <c r="R46" i="21"/>
  <c r="Q45" i="21"/>
  <c r="P68" i="21"/>
  <c r="P83" i="21" s="1"/>
  <c r="Q59" i="21"/>
  <c r="Q65" i="21"/>
  <c r="P73" i="20"/>
  <c r="P68" i="20"/>
  <c r="P57" i="20"/>
  <c r="P56" i="20" s="1"/>
  <c r="P63" i="20"/>
  <c r="P62" i="20" s="1"/>
  <c r="R76" i="20"/>
  <c r="Q45" i="20"/>
  <c r="R47" i="20"/>
  <c r="R46" i="20"/>
  <c r="Q59" i="20"/>
  <c r="Q65" i="20"/>
  <c r="P83" i="18"/>
  <c r="P84" i="18" s="1"/>
  <c r="P103" i="18" s="1"/>
  <c r="O83" i="19"/>
  <c r="O84" i="19" s="1"/>
  <c r="O103" i="19" s="1"/>
  <c r="P63" i="19"/>
  <c r="P57" i="19"/>
  <c r="P74" i="19"/>
  <c r="P70" i="19"/>
  <c r="Q77" i="19"/>
  <c r="P58" i="19"/>
  <c r="P64" i="19"/>
  <c r="Q49" i="19"/>
  <c r="Q43" i="19"/>
  <c r="P71" i="19"/>
  <c r="P69" i="19"/>
  <c r="Q63" i="18"/>
  <c r="Q57" i="18"/>
  <c r="R77" i="18"/>
  <c r="Q58" i="18"/>
  <c r="Q64" i="18"/>
  <c r="Q71" i="18"/>
  <c r="Q69" i="18"/>
  <c r="R49" i="18"/>
  <c r="R43" i="18"/>
  <c r="P80" i="18"/>
  <c r="P101" i="18" s="1"/>
  <c r="Q75" i="18"/>
  <c r="P91" i="18"/>
  <c r="P96" i="18" s="1"/>
  <c r="P102" i="18" s="1"/>
  <c r="P90" i="18"/>
  <c r="P95" i="18" s="1"/>
  <c r="P88" i="18"/>
  <c r="P93" i="18" s="1"/>
  <c r="Q70" i="18"/>
  <c r="Q74" i="18"/>
  <c r="I73" i="2"/>
  <c r="I44" i="2"/>
  <c r="I46" i="2" s="1"/>
  <c r="H56" i="2"/>
  <c r="H42" i="2"/>
  <c r="I43" i="2"/>
  <c r="P73" i="19" l="1"/>
  <c r="R77" i="21"/>
  <c r="Q58" i="21"/>
  <c r="Q64" i="21"/>
  <c r="R49" i="21"/>
  <c r="R43" i="21"/>
  <c r="Q74" i="21"/>
  <c r="Q73" i="21" s="1"/>
  <c r="Q70" i="21"/>
  <c r="Q71" i="21"/>
  <c r="Q69" i="21"/>
  <c r="P80" i="21"/>
  <c r="P101" i="21" s="1"/>
  <c r="Q75" i="21"/>
  <c r="P91" i="21"/>
  <c r="P96" i="21" s="1"/>
  <c r="P102" i="21" s="1"/>
  <c r="P90" i="21"/>
  <c r="P95" i="21" s="1"/>
  <c r="P88" i="21"/>
  <c r="P93" i="21" s="1"/>
  <c r="P84" i="21"/>
  <c r="P103" i="21" s="1"/>
  <c r="Q44" i="21"/>
  <c r="R77" i="20"/>
  <c r="Q58" i="20"/>
  <c r="Q64" i="20"/>
  <c r="P80" i="20"/>
  <c r="P101" i="20" s="1"/>
  <c r="Q75" i="20"/>
  <c r="P91" i="20"/>
  <c r="P96" i="20" s="1"/>
  <c r="P102" i="20" s="1"/>
  <c r="P90" i="20"/>
  <c r="P95" i="20" s="1"/>
  <c r="P88" i="20"/>
  <c r="P93" i="20" s="1"/>
  <c r="Q74" i="20"/>
  <c r="Q70" i="20"/>
  <c r="Q71" i="20"/>
  <c r="Q69" i="20"/>
  <c r="P56" i="19"/>
  <c r="Q71" i="19" s="1"/>
  <c r="P83" i="20"/>
  <c r="P62" i="19"/>
  <c r="O85" i="19"/>
  <c r="O104" i="19" s="1"/>
  <c r="O107" i="19" s="1"/>
  <c r="R49" i="20"/>
  <c r="R43" i="20"/>
  <c r="P85" i="18"/>
  <c r="P104" i="18" s="1"/>
  <c r="P107" i="18" s="1"/>
  <c r="Q44" i="20"/>
  <c r="P68" i="19"/>
  <c r="Q68" i="18"/>
  <c r="R76" i="19"/>
  <c r="R47" i="19"/>
  <c r="R46" i="19"/>
  <c r="Q45" i="19"/>
  <c r="Q44" i="19" s="1"/>
  <c r="Q59" i="19"/>
  <c r="Q65" i="19"/>
  <c r="R59" i="18"/>
  <c r="R65" i="18"/>
  <c r="Q73" i="18"/>
  <c r="Q56" i="18"/>
  <c r="S76" i="18"/>
  <c r="S47" i="18"/>
  <c r="S46" i="18"/>
  <c r="R45" i="18"/>
  <c r="R44" i="18" s="1"/>
  <c r="Q62" i="18"/>
  <c r="I74" i="2"/>
  <c r="H41" i="2"/>
  <c r="Q68" i="20" l="1"/>
  <c r="P83" i="19"/>
  <c r="P84" i="19" s="1"/>
  <c r="P103" i="19" s="1"/>
  <c r="S76" i="21"/>
  <c r="S47" i="21"/>
  <c r="S46" i="21"/>
  <c r="R45" i="21"/>
  <c r="R44" i="21" s="1"/>
  <c r="R59" i="21"/>
  <c r="R65" i="21"/>
  <c r="Q57" i="21"/>
  <c r="Q56" i="21" s="1"/>
  <c r="Q63" i="21"/>
  <c r="Q62" i="21" s="1"/>
  <c r="Q68" i="21"/>
  <c r="Q83" i="21" s="1"/>
  <c r="P80" i="19"/>
  <c r="P101" i="19" s="1"/>
  <c r="P85" i="21"/>
  <c r="P104" i="21" s="1"/>
  <c r="P107" i="21" s="1"/>
  <c r="P84" i="20"/>
  <c r="P103" i="20" s="1"/>
  <c r="P85" i="20"/>
  <c r="P104" i="20" s="1"/>
  <c r="P107" i="20" s="1"/>
  <c r="Q63" i="20"/>
  <c r="Q62" i="20" s="1"/>
  <c r="Q57" i="20"/>
  <c r="Q56" i="20" s="1"/>
  <c r="P88" i="19"/>
  <c r="P93" i="19" s="1"/>
  <c r="P90" i="19"/>
  <c r="P95" i="19" s="1"/>
  <c r="S76" i="20"/>
  <c r="S47" i="20"/>
  <c r="S46" i="20"/>
  <c r="R45" i="20"/>
  <c r="R44" i="20" s="1"/>
  <c r="P91" i="19"/>
  <c r="P96" i="19" s="1"/>
  <c r="P102" i="19" s="1"/>
  <c r="Q69" i="19"/>
  <c r="R59" i="20"/>
  <c r="R65" i="20"/>
  <c r="Q83" i="18"/>
  <c r="Q84" i="18" s="1"/>
  <c r="Q103" i="18" s="1"/>
  <c r="Q75" i="19"/>
  <c r="Q73" i="20"/>
  <c r="R49" i="19"/>
  <c r="R43" i="19"/>
  <c r="Q63" i="19"/>
  <c r="Q57" i="19"/>
  <c r="Q74" i="19"/>
  <c r="Q70" i="19"/>
  <c r="R77" i="19"/>
  <c r="Q58" i="19"/>
  <c r="Q64" i="19"/>
  <c r="R57" i="18"/>
  <c r="R63" i="18"/>
  <c r="R71" i="18"/>
  <c r="R69" i="18"/>
  <c r="Q80" i="18"/>
  <c r="Q101" i="18" s="1"/>
  <c r="R75" i="18"/>
  <c r="Q91" i="18"/>
  <c r="Q96" i="18" s="1"/>
  <c r="Q102" i="18" s="1"/>
  <c r="Q90" i="18"/>
  <c r="Q95" i="18" s="1"/>
  <c r="Q88" i="18"/>
  <c r="Q93" i="18" s="1"/>
  <c r="S77" i="18"/>
  <c r="R58" i="18"/>
  <c r="R64" i="18"/>
  <c r="R74" i="18"/>
  <c r="R70" i="18"/>
  <c r="S49" i="18"/>
  <c r="S43" i="18"/>
  <c r="I40" i="2"/>
  <c r="Q83" i="20" l="1"/>
  <c r="Q84" i="20" s="1"/>
  <c r="Q103" i="20" s="1"/>
  <c r="P85" i="19"/>
  <c r="Q73" i="19"/>
  <c r="R74" i="21"/>
  <c r="R70" i="21"/>
  <c r="R63" i="21"/>
  <c r="R57" i="21"/>
  <c r="P104" i="19"/>
  <c r="P107" i="19" s="1"/>
  <c r="S77" i="21"/>
  <c r="R58" i="21"/>
  <c r="R64" i="21"/>
  <c r="Q84" i="21"/>
  <c r="Q103" i="21" s="1"/>
  <c r="Q80" i="21"/>
  <c r="Q101" i="21" s="1"/>
  <c r="R75" i="21"/>
  <c r="Q91" i="21"/>
  <c r="Q96" i="21" s="1"/>
  <c r="Q102" i="21" s="1"/>
  <c r="Q90" i="21"/>
  <c r="Q95" i="21" s="1"/>
  <c r="Q88" i="21"/>
  <c r="Q93" i="21" s="1"/>
  <c r="S49" i="21"/>
  <c r="S43" i="21"/>
  <c r="R71" i="21"/>
  <c r="R69" i="21"/>
  <c r="R57" i="20"/>
  <c r="R63" i="20"/>
  <c r="Q68" i="19"/>
  <c r="S77" i="20"/>
  <c r="R58" i="20"/>
  <c r="R64" i="20"/>
  <c r="R71" i="20"/>
  <c r="R69" i="20"/>
  <c r="Q80" i="20"/>
  <c r="Q101" i="20" s="1"/>
  <c r="R75" i="20"/>
  <c r="Q91" i="20"/>
  <c r="Q96" i="20" s="1"/>
  <c r="Q102" i="20" s="1"/>
  <c r="Q90" i="20"/>
  <c r="Q95" i="20" s="1"/>
  <c r="Q88" i="20"/>
  <c r="Q93" i="20" s="1"/>
  <c r="S49" i="20"/>
  <c r="S43" i="20"/>
  <c r="Q62" i="19"/>
  <c r="Q91" i="19" s="1"/>
  <c r="Q96" i="19" s="1"/>
  <c r="Q102" i="19" s="1"/>
  <c r="R74" i="20"/>
  <c r="R70" i="20"/>
  <c r="Q56" i="19"/>
  <c r="R69" i="19" s="1"/>
  <c r="S76" i="19"/>
  <c r="R45" i="19"/>
  <c r="R44" i="19" s="1"/>
  <c r="S47" i="19"/>
  <c r="S46" i="19"/>
  <c r="R59" i="19"/>
  <c r="R65" i="19"/>
  <c r="R73" i="18"/>
  <c r="R68" i="18"/>
  <c r="T76" i="18"/>
  <c r="T47" i="18"/>
  <c r="T46" i="18"/>
  <c r="S45" i="18"/>
  <c r="S44" i="18" s="1"/>
  <c r="Q85" i="18"/>
  <c r="Q104" i="18" s="1"/>
  <c r="Q107" i="18" s="1"/>
  <c r="S59" i="18"/>
  <c r="S65" i="18"/>
  <c r="R62" i="18"/>
  <c r="R56" i="18"/>
  <c r="J73" i="2"/>
  <c r="J44" i="2"/>
  <c r="J46" i="2" s="1"/>
  <c r="I42" i="2"/>
  <c r="J43" i="2"/>
  <c r="R68" i="21" l="1"/>
  <c r="R73" i="20"/>
  <c r="R71" i="19"/>
  <c r="Q80" i="19"/>
  <c r="Q101" i="19" s="1"/>
  <c r="Q83" i="19"/>
  <c r="Q84" i="19" s="1"/>
  <c r="Q103" i="19" s="1"/>
  <c r="R75" i="19"/>
  <c r="Q88" i="19"/>
  <c r="Q93" i="19" s="1"/>
  <c r="Q90" i="19"/>
  <c r="Q95" i="19" s="1"/>
  <c r="S59" i="21"/>
  <c r="S65" i="21"/>
  <c r="R56" i="21"/>
  <c r="R62" i="21"/>
  <c r="T47" i="21"/>
  <c r="T46" i="21"/>
  <c r="T76" i="21"/>
  <c r="S45" i="21"/>
  <c r="S44" i="21" s="1"/>
  <c r="Q85" i="21"/>
  <c r="Q104" i="21" s="1"/>
  <c r="Q107" i="21" s="1"/>
  <c r="R73" i="21"/>
  <c r="S59" i="20"/>
  <c r="S65" i="20"/>
  <c r="R83" i="18"/>
  <c r="R84" i="18" s="1"/>
  <c r="R103" i="18" s="1"/>
  <c r="Q85" i="20"/>
  <c r="Q104" i="20" s="1"/>
  <c r="Q107" i="20" s="1"/>
  <c r="R68" i="20"/>
  <c r="R62" i="20"/>
  <c r="T76" i="20"/>
  <c r="T47" i="20"/>
  <c r="T46" i="20"/>
  <c r="S45" i="20"/>
  <c r="S44" i="20" s="1"/>
  <c r="R56" i="20"/>
  <c r="S43" i="19"/>
  <c r="S49" i="19"/>
  <c r="R57" i="19"/>
  <c r="R63" i="19"/>
  <c r="S77" i="19"/>
  <c r="R58" i="19"/>
  <c r="R64" i="19"/>
  <c r="Q85" i="19"/>
  <c r="R74" i="19"/>
  <c r="R73" i="19" s="1"/>
  <c r="R70" i="19"/>
  <c r="R68" i="19" s="1"/>
  <c r="S63" i="18"/>
  <c r="S57" i="18"/>
  <c r="T77" i="18"/>
  <c r="S58" i="18"/>
  <c r="S64" i="18"/>
  <c r="S69" i="18"/>
  <c r="S71" i="18"/>
  <c r="T49" i="18"/>
  <c r="T43" i="18"/>
  <c r="R80" i="18"/>
  <c r="R101" i="18" s="1"/>
  <c r="S75" i="18"/>
  <c r="R91" i="18"/>
  <c r="R96" i="18" s="1"/>
  <c r="R102" i="18" s="1"/>
  <c r="R90" i="18"/>
  <c r="R95" i="18" s="1"/>
  <c r="R88" i="18"/>
  <c r="R93" i="18" s="1"/>
  <c r="S74" i="18"/>
  <c r="S70" i="18"/>
  <c r="J74" i="2"/>
  <c r="I41" i="2"/>
  <c r="J40" i="2"/>
  <c r="R83" i="21" l="1"/>
  <c r="R84" i="21" s="1"/>
  <c r="R103" i="21" s="1"/>
  <c r="R83" i="20"/>
  <c r="R84" i="20" s="1"/>
  <c r="R103" i="20" s="1"/>
  <c r="R83" i="19"/>
  <c r="R84" i="19" s="1"/>
  <c r="R103" i="19" s="1"/>
  <c r="Q104" i="19"/>
  <c r="Q107" i="19" s="1"/>
  <c r="S57" i="21"/>
  <c r="S63" i="21"/>
  <c r="T49" i="21"/>
  <c r="T43" i="21"/>
  <c r="R80" i="21"/>
  <c r="R101" i="21" s="1"/>
  <c r="S75" i="21"/>
  <c r="R91" i="21"/>
  <c r="R96" i="21" s="1"/>
  <c r="R102" i="21" s="1"/>
  <c r="R90" i="21"/>
  <c r="R95" i="21" s="1"/>
  <c r="R88" i="21"/>
  <c r="R93" i="21" s="1"/>
  <c r="S71" i="21"/>
  <c r="S69" i="21"/>
  <c r="T77" i="21"/>
  <c r="S58" i="21"/>
  <c r="S64" i="21"/>
  <c r="S74" i="21"/>
  <c r="S70" i="21"/>
  <c r="S75" i="20"/>
  <c r="R91" i="20"/>
  <c r="R96" i="20" s="1"/>
  <c r="R102" i="20" s="1"/>
  <c r="R90" i="20"/>
  <c r="R95" i="20" s="1"/>
  <c r="R88" i="20"/>
  <c r="R93" i="20" s="1"/>
  <c r="R80" i="20"/>
  <c r="R101" i="20" s="1"/>
  <c r="S71" i="20"/>
  <c r="S69" i="20"/>
  <c r="S57" i="20"/>
  <c r="S63" i="20"/>
  <c r="T77" i="20"/>
  <c r="S58" i="20"/>
  <c r="S64" i="20"/>
  <c r="S74" i="20"/>
  <c r="S70" i="20"/>
  <c r="T49" i="20"/>
  <c r="T43" i="20"/>
  <c r="S73" i="18"/>
  <c r="R62" i="19"/>
  <c r="R56" i="19"/>
  <c r="S59" i="19"/>
  <c r="S65" i="19"/>
  <c r="T47" i="19"/>
  <c r="T46" i="19"/>
  <c r="T76" i="19"/>
  <c r="S45" i="19"/>
  <c r="S44" i="19" s="1"/>
  <c r="T59" i="18"/>
  <c r="T65" i="18"/>
  <c r="S68" i="18"/>
  <c r="R85" i="18"/>
  <c r="R104" i="18" s="1"/>
  <c r="R107" i="18" s="1"/>
  <c r="S56" i="18"/>
  <c r="U76" i="18"/>
  <c r="U47" i="18"/>
  <c r="U46" i="18"/>
  <c r="T45" i="18"/>
  <c r="T44" i="18" s="1"/>
  <c r="S62" i="18"/>
  <c r="K73" i="2"/>
  <c r="K44" i="2"/>
  <c r="K46" i="2" s="1"/>
  <c r="J42" i="2"/>
  <c r="K43" i="2"/>
  <c r="S68" i="21" l="1"/>
  <c r="U76" i="21"/>
  <c r="U47" i="21"/>
  <c r="U46" i="21"/>
  <c r="T45" i="21"/>
  <c r="T44" i="21" s="1"/>
  <c r="T59" i="21"/>
  <c r="T65" i="21"/>
  <c r="R85" i="21"/>
  <c r="R104" i="21" s="1"/>
  <c r="R107" i="21" s="1"/>
  <c r="S62" i="21"/>
  <c r="S73" i="20"/>
  <c r="S73" i="21"/>
  <c r="S56" i="21"/>
  <c r="R85" i="20"/>
  <c r="R104" i="20" s="1"/>
  <c r="R107" i="20" s="1"/>
  <c r="U76" i="20"/>
  <c r="U47" i="20"/>
  <c r="U46" i="20"/>
  <c r="T45" i="20"/>
  <c r="T44" i="20" s="1"/>
  <c r="S62" i="20"/>
  <c r="T59" i="20"/>
  <c r="T65" i="20"/>
  <c r="S56" i="20"/>
  <c r="S83" i="18"/>
  <c r="S84" i="18" s="1"/>
  <c r="S103" i="18" s="1"/>
  <c r="S68" i="20"/>
  <c r="T49" i="19"/>
  <c r="T43" i="19"/>
  <c r="S70" i="19"/>
  <c r="S74" i="19"/>
  <c r="S71" i="19"/>
  <c r="S69" i="19"/>
  <c r="S57" i="19"/>
  <c r="S63" i="19"/>
  <c r="R80" i="19"/>
  <c r="R101" i="19" s="1"/>
  <c r="S75" i="19"/>
  <c r="R91" i="19"/>
  <c r="R96" i="19" s="1"/>
  <c r="R102" i="19" s="1"/>
  <c r="R90" i="19"/>
  <c r="R95" i="19" s="1"/>
  <c r="R88" i="19"/>
  <c r="R93" i="19" s="1"/>
  <c r="T77" i="19"/>
  <c r="S58" i="19"/>
  <c r="S64" i="19"/>
  <c r="R85" i="19"/>
  <c r="T57" i="18"/>
  <c r="T63" i="18"/>
  <c r="U49" i="18"/>
  <c r="U43" i="18"/>
  <c r="T71" i="18"/>
  <c r="T69" i="18"/>
  <c r="T75" i="18"/>
  <c r="S91" i="18"/>
  <c r="S96" i="18" s="1"/>
  <c r="S102" i="18" s="1"/>
  <c r="S90" i="18"/>
  <c r="S95" i="18" s="1"/>
  <c r="S88" i="18"/>
  <c r="S93" i="18" s="1"/>
  <c r="S80" i="18"/>
  <c r="S101" i="18" s="1"/>
  <c r="U77" i="18"/>
  <c r="T58" i="18"/>
  <c r="T64" i="18"/>
  <c r="T74" i="18"/>
  <c r="T70" i="18"/>
  <c r="K74" i="2"/>
  <c r="J41" i="2"/>
  <c r="K40" i="2"/>
  <c r="S83" i="21" l="1"/>
  <c r="S84" i="21" s="1"/>
  <c r="S103" i="21" s="1"/>
  <c r="S68" i="19"/>
  <c r="T71" i="21"/>
  <c r="T69" i="21"/>
  <c r="T57" i="21"/>
  <c r="T63" i="21"/>
  <c r="U77" i="21"/>
  <c r="T58" i="21"/>
  <c r="T64" i="21"/>
  <c r="T75" i="21"/>
  <c r="S91" i="21"/>
  <c r="S96" i="21" s="1"/>
  <c r="S102" i="21" s="1"/>
  <c r="S90" i="21"/>
  <c r="S95" i="21" s="1"/>
  <c r="S88" i="21"/>
  <c r="S93" i="21" s="1"/>
  <c r="S80" i="21"/>
  <c r="S101" i="21" s="1"/>
  <c r="U49" i="21"/>
  <c r="U43" i="21"/>
  <c r="S83" i="20"/>
  <c r="S84" i="20" s="1"/>
  <c r="S103" i="20" s="1"/>
  <c r="T74" i="21"/>
  <c r="T70" i="21"/>
  <c r="T57" i="20"/>
  <c r="T63" i="20"/>
  <c r="U77" i="20"/>
  <c r="T58" i="20"/>
  <c r="T64" i="20"/>
  <c r="U49" i="20"/>
  <c r="U43" i="20"/>
  <c r="S91" i="20"/>
  <c r="S96" i="20" s="1"/>
  <c r="S102" i="20" s="1"/>
  <c r="S90" i="20"/>
  <c r="S95" i="20" s="1"/>
  <c r="S88" i="20"/>
  <c r="S93" i="20" s="1"/>
  <c r="T75" i="20"/>
  <c r="S80" i="20"/>
  <c r="S101" i="20" s="1"/>
  <c r="T71" i="20"/>
  <c r="T69" i="20"/>
  <c r="T74" i="20"/>
  <c r="T70" i="20"/>
  <c r="S73" i="19"/>
  <c r="T68" i="18"/>
  <c r="S62" i="19"/>
  <c r="S56" i="19"/>
  <c r="R104" i="19"/>
  <c r="R107" i="19" s="1"/>
  <c r="U76" i="19"/>
  <c r="U47" i="19"/>
  <c r="U46" i="19"/>
  <c r="T45" i="19"/>
  <c r="T44" i="19" s="1"/>
  <c r="T59" i="19"/>
  <c r="T65" i="19"/>
  <c r="T73" i="18"/>
  <c r="S85" i="18"/>
  <c r="S104" i="18" s="1"/>
  <c r="S107" i="18" s="1"/>
  <c r="V76" i="18"/>
  <c r="V47" i="18"/>
  <c r="V46" i="18"/>
  <c r="U45" i="18"/>
  <c r="U59" i="18"/>
  <c r="U65" i="18"/>
  <c r="T62" i="18"/>
  <c r="T56" i="18"/>
  <c r="L73" i="2"/>
  <c r="L44" i="2"/>
  <c r="L46" i="2" s="1"/>
  <c r="K42" i="2"/>
  <c r="L43" i="2"/>
  <c r="T73" i="21" l="1"/>
  <c r="S83" i="19"/>
  <c r="S84" i="19" s="1"/>
  <c r="S103" i="19" s="1"/>
  <c r="T62" i="21"/>
  <c r="T91" i="21" s="1"/>
  <c r="T96" i="21" s="1"/>
  <c r="T102" i="21" s="1"/>
  <c r="T68" i="20"/>
  <c r="V76" i="21"/>
  <c r="U45" i="21"/>
  <c r="U44" i="21" s="1"/>
  <c r="V46" i="21"/>
  <c r="V47" i="21"/>
  <c r="U59" i="21"/>
  <c r="U65" i="21"/>
  <c r="T56" i="21"/>
  <c r="T68" i="21"/>
  <c r="T83" i="18"/>
  <c r="T84" i="18" s="1"/>
  <c r="T103" i="18" s="1"/>
  <c r="S85" i="21"/>
  <c r="S104" i="21" s="1"/>
  <c r="S107" i="21" s="1"/>
  <c r="S85" i="20"/>
  <c r="S104" i="20" s="1"/>
  <c r="S107" i="20" s="1"/>
  <c r="U59" i="20"/>
  <c r="U65" i="20"/>
  <c r="T73" i="20"/>
  <c r="T62" i="20"/>
  <c r="V76" i="20"/>
  <c r="V47" i="20"/>
  <c r="V46" i="20"/>
  <c r="U45" i="20"/>
  <c r="U44" i="20" s="1"/>
  <c r="T56" i="20"/>
  <c r="T70" i="19"/>
  <c r="T74" i="19"/>
  <c r="T57" i="19"/>
  <c r="T63" i="19"/>
  <c r="U77" i="19"/>
  <c r="T58" i="19"/>
  <c r="T64" i="19"/>
  <c r="T71" i="19"/>
  <c r="T69" i="19"/>
  <c r="T75" i="19"/>
  <c r="S91" i="19"/>
  <c r="S96" i="19" s="1"/>
  <c r="S102" i="19" s="1"/>
  <c r="S90" i="19"/>
  <c r="S95" i="19" s="1"/>
  <c r="S88" i="19"/>
  <c r="S93" i="19" s="1"/>
  <c r="S80" i="19"/>
  <c r="S101" i="19" s="1"/>
  <c r="U49" i="19"/>
  <c r="U43" i="19"/>
  <c r="V77" i="18"/>
  <c r="U58" i="18"/>
  <c r="U64" i="18"/>
  <c r="V49" i="18"/>
  <c r="V43" i="18"/>
  <c r="T91" i="18"/>
  <c r="T96" i="18" s="1"/>
  <c r="T102" i="18" s="1"/>
  <c r="T90" i="18"/>
  <c r="T95" i="18" s="1"/>
  <c r="T88" i="18"/>
  <c r="T93" i="18" s="1"/>
  <c r="T80" i="18"/>
  <c r="T101" i="18" s="1"/>
  <c r="U75" i="18"/>
  <c r="U70" i="18"/>
  <c r="U74" i="18"/>
  <c r="U71" i="18"/>
  <c r="U69" i="18"/>
  <c r="U44" i="18"/>
  <c r="L74" i="2"/>
  <c r="K41" i="2"/>
  <c r="L40" i="2"/>
  <c r="T90" i="21" l="1"/>
  <c r="T95" i="21" s="1"/>
  <c r="T83" i="21"/>
  <c r="T84" i="21" s="1"/>
  <c r="T103" i="21" s="1"/>
  <c r="U75" i="21"/>
  <c r="T88" i="21"/>
  <c r="T93" i="21" s="1"/>
  <c r="T83" i="20"/>
  <c r="T84" i="20" s="1"/>
  <c r="T103" i="20" s="1"/>
  <c r="S85" i="19"/>
  <c r="S104" i="19" s="1"/>
  <c r="S107" i="19" s="1"/>
  <c r="T68" i="19"/>
  <c r="T85" i="18"/>
  <c r="T104" i="18" s="1"/>
  <c r="T107" i="18" s="1"/>
  <c r="U74" i="21"/>
  <c r="U70" i="21"/>
  <c r="U71" i="21"/>
  <c r="U69" i="21"/>
  <c r="V43" i="21"/>
  <c r="V49" i="21"/>
  <c r="T80" i="21"/>
  <c r="T101" i="21" s="1"/>
  <c r="U57" i="21"/>
  <c r="U63" i="21"/>
  <c r="V77" i="21"/>
  <c r="U58" i="21"/>
  <c r="U64" i="21"/>
  <c r="U73" i="18"/>
  <c r="U71" i="20"/>
  <c r="U69" i="20"/>
  <c r="U70" i="20"/>
  <c r="U74" i="20"/>
  <c r="U57" i="20"/>
  <c r="U63" i="20"/>
  <c r="V77" i="20"/>
  <c r="U58" i="20"/>
  <c r="U64" i="20"/>
  <c r="V49" i="20"/>
  <c r="V43" i="20"/>
  <c r="T90" i="20"/>
  <c r="T95" i="20" s="1"/>
  <c r="T88" i="20"/>
  <c r="T93" i="20" s="1"/>
  <c r="T80" i="20"/>
  <c r="T101" i="20" s="1"/>
  <c r="U75" i="20"/>
  <c r="T91" i="20"/>
  <c r="T96" i="20" s="1"/>
  <c r="T102" i="20" s="1"/>
  <c r="U59" i="19"/>
  <c r="U65" i="19"/>
  <c r="T62" i="19"/>
  <c r="T56" i="19"/>
  <c r="T73" i="19"/>
  <c r="V76" i="19"/>
  <c r="V47" i="19"/>
  <c r="V46" i="19"/>
  <c r="U45" i="19"/>
  <c r="U44" i="19" s="1"/>
  <c r="U68" i="18"/>
  <c r="W76" i="18"/>
  <c r="V45" i="18"/>
  <c r="V44" i="18" s="1"/>
  <c r="W47" i="18"/>
  <c r="W46" i="18"/>
  <c r="V59" i="18"/>
  <c r="V65" i="18"/>
  <c r="U57" i="18"/>
  <c r="U56" i="18" s="1"/>
  <c r="U63" i="18"/>
  <c r="U62" i="18" s="1"/>
  <c r="M73" i="2"/>
  <c r="M44" i="2"/>
  <c r="M46" i="2" s="1"/>
  <c r="L42" i="2"/>
  <c r="M43" i="2"/>
  <c r="U73" i="21" l="1"/>
  <c r="U68" i="21"/>
  <c r="U83" i="21" s="1"/>
  <c r="U84" i="21" s="1"/>
  <c r="U103" i="21" s="1"/>
  <c r="T83" i="19"/>
  <c r="U83" i="18"/>
  <c r="U84" i="18" s="1"/>
  <c r="U103" i="18" s="1"/>
  <c r="U62" i="20"/>
  <c r="V75" i="20" s="1"/>
  <c r="U56" i="20"/>
  <c r="V69" i="20" s="1"/>
  <c r="U73" i="20"/>
  <c r="V59" i="21"/>
  <c r="V65" i="21"/>
  <c r="W76" i="21"/>
  <c r="W47" i="21"/>
  <c r="W46" i="21"/>
  <c r="V45" i="21"/>
  <c r="U62" i="21"/>
  <c r="U56" i="21"/>
  <c r="T85" i="21"/>
  <c r="T104" i="21" s="1"/>
  <c r="T107" i="21" s="1"/>
  <c r="W76" i="20"/>
  <c r="V45" i="20"/>
  <c r="V44" i="20" s="1"/>
  <c r="W47" i="20"/>
  <c r="W46" i="20"/>
  <c r="V59" i="20"/>
  <c r="V65" i="20"/>
  <c r="U68" i="20"/>
  <c r="U83" i="20" s="1"/>
  <c r="U88" i="20"/>
  <c r="U93" i="20" s="1"/>
  <c r="T85" i="20"/>
  <c r="T104" i="20" s="1"/>
  <c r="T107" i="20" s="1"/>
  <c r="U57" i="19"/>
  <c r="U63" i="19"/>
  <c r="T84" i="19"/>
  <c r="T103" i="19" s="1"/>
  <c r="U71" i="19"/>
  <c r="U69" i="19"/>
  <c r="T91" i="19"/>
  <c r="T96" i="19" s="1"/>
  <c r="T102" i="19" s="1"/>
  <c r="T90" i="19"/>
  <c r="T95" i="19" s="1"/>
  <c r="T88" i="19"/>
  <c r="T93" i="19" s="1"/>
  <c r="T80" i="19"/>
  <c r="T101" i="19" s="1"/>
  <c r="U75" i="19"/>
  <c r="V49" i="19"/>
  <c r="V43" i="19"/>
  <c r="U74" i="19"/>
  <c r="U70" i="19"/>
  <c r="V77" i="19"/>
  <c r="U58" i="19"/>
  <c r="U64" i="19"/>
  <c r="W49" i="18"/>
  <c r="W43" i="18"/>
  <c r="V63" i="18"/>
  <c r="V57" i="18"/>
  <c r="U90" i="18"/>
  <c r="U95" i="18" s="1"/>
  <c r="U88" i="18"/>
  <c r="U93" i="18" s="1"/>
  <c r="U80" i="18"/>
  <c r="U101" i="18" s="1"/>
  <c r="V75" i="18"/>
  <c r="U91" i="18"/>
  <c r="U96" i="18" s="1"/>
  <c r="U102" i="18" s="1"/>
  <c r="W77" i="18"/>
  <c r="V58" i="18"/>
  <c r="V64" i="18"/>
  <c r="V71" i="18"/>
  <c r="V69" i="18"/>
  <c r="V70" i="18"/>
  <c r="V74" i="18"/>
  <c r="M74" i="2"/>
  <c r="L41" i="2"/>
  <c r="M40" i="2"/>
  <c r="V71" i="20" l="1"/>
  <c r="U91" i="20"/>
  <c r="U96" i="20" s="1"/>
  <c r="U102" i="20" s="1"/>
  <c r="U90" i="20"/>
  <c r="U95" i="20" s="1"/>
  <c r="U85" i="21"/>
  <c r="U80" i="20"/>
  <c r="U101" i="20" s="1"/>
  <c r="W77" i="21"/>
  <c r="V58" i="21"/>
  <c r="V64" i="21"/>
  <c r="W49" i="21"/>
  <c r="W43" i="21"/>
  <c r="V44" i="21"/>
  <c r="V71" i="21"/>
  <c r="V69" i="21"/>
  <c r="U73" i="19"/>
  <c r="U90" i="21"/>
  <c r="U95" i="21" s="1"/>
  <c r="U104" i="21" s="1"/>
  <c r="U107" i="21" s="1"/>
  <c r="U88" i="21"/>
  <c r="U93" i="21" s="1"/>
  <c r="U80" i="21"/>
  <c r="U101" i="21" s="1"/>
  <c r="V75" i="21"/>
  <c r="U91" i="21"/>
  <c r="U96" i="21" s="1"/>
  <c r="U102" i="21" s="1"/>
  <c r="V70" i="21"/>
  <c r="V74" i="21"/>
  <c r="W43" i="20"/>
  <c r="W49" i="20"/>
  <c r="V57" i="20"/>
  <c r="V63" i="20"/>
  <c r="W77" i="20"/>
  <c r="V58" i="20"/>
  <c r="V64" i="20"/>
  <c r="U84" i="20"/>
  <c r="U103" i="20" s="1"/>
  <c r="V70" i="20"/>
  <c r="V68" i="20" s="1"/>
  <c r="V74" i="20"/>
  <c r="V73" i="20" s="1"/>
  <c r="U68" i="19"/>
  <c r="W76" i="19"/>
  <c r="V45" i="19"/>
  <c r="V44" i="19" s="1"/>
  <c r="W47" i="19"/>
  <c r="W46" i="19"/>
  <c r="V59" i="19"/>
  <c r="V65" i="19"/>
  <c r="T85" i="19"/>
  <c r="T104" i="19" s="1"/>
  <c r="T107" i="19" s="1"/>
  <c r="U62" i="19"/>
  <c r="U56" i="19"/>
  <c r="V68" i="18"/>
  <c r="V56" i="18"/>
  <c r="U85" i="18"/>
  <c r="U104" i="18" s="1"/>
  <c r="U107" i="18" s="1"/>
  <c r="V62" i="18"/>
  <c r="V73" i="18"/>
  <c r="X76" i="18"/>
  <c r="X47" i="18"/>
  <c r="X46" i="18"/>
  <c r="W45" i="18"/>
  <c r="W44" i="18" s="1"/>
  <c r="W59" i="18"/>
  <c r="W65" i="18"/>
  <c r="N73" i="2"/>
  <c r="N44" i="2"/>
  <c r="N46" i="2" s="1"/>
  <c r="M42" i="2"/>
  <c r="N43" i="2"/>
  <c r="U85" i="20" l="1"/>
  <c r="U104" i="20" s="1"/>
  <c r="U107" i="20" s="1"/>
  <c r="U83" i="19"/>
  <c r="U84" i="19" s="1"/>
  <c r="U103" i="19" s="1"/>
  <c r="V57" i="21"/>
  <c r="V56" i="21" s="1"/>
  <c r="V63" i="21"/>
  <c r="V62" i="21" s="1"/>
  <c r="X76" i="21"/>
  <c r="X47" i="21"/>
  <c r="X46" i="21"/>
  <c r="W45" i="21"/>
  <c r="W44" i="21" s="1"/>
  <c r="W59" i="21"/>
  <c r="W65" i="21"/>
  <c r="V83" i="20"/>
  <c r="V84" i="20" s="1"/>
  <c r="V103" i="20" s="1"/>
  <c r="V73" i="21"/>
  <c r="V68" i="21"/>
  <c r="V62" i="20"/>
  <c r="V56" i="20"/>
  <c r="W59" i="20"/>
  <c r="W65" i="20"/>
  <c r="X76" i="20"/>
  <c r="X47" i="20"/>
  <c r="X46" i="20"/>
  <c r="W45" i="20"/>
  <c r="W49" i="19"/>
  <c r="W43" i="19"/>
  <c r="V71" i="19"/>
  <c r="V69" i="19"/>
  <c r="V57" i="19"/>
  <c r="V63" i="19"/>
  <c r="U90" i="19"/>
  <c r="U95" i="19" s="1"/>
  <c r="U88" i="19"/>
  <c r="U93" i="19" s="1"/>
  <c r="U80" i="19"/>
  <c r="U101" i="19" s="1"/>
  <c r="V75" i="19"/>
  <c r="U91" i="19"/>
  <c r="U96" i="19" s="1"/>
  <c r="U102" i="19" s="1"/>
  <c r="W77" i="19"/>
  <c r="V58" i="19"/>
  <c r="V64" i="19"/>
  <c r="V70" i="19"/>
  <c r="V74" i="19"/>
  <c r="V83" i="18"/>
  <c r="V84" i="18" s="1"/>
  <c r="V103" i="18" s="1"/>
  <c r="X49" i="18"/>
  <c r="X43" i="18"/>
  <c r="W74" i="18"/>
  <c r="W70" i="18"/>
  <c r="V88" i="18"/>
  <c r="V93" i="18" s="1"/>
  <c r="V80" i="18"/>
  <c r="V101" i="18" s="1"/>
  <c r="W75" i="18"/>
  <c r="V91" i="18"/>
  <c r="V96" i="18" s="1"/>
  <c r="V102" i="18" s="1"/>
  <c r="V90" i="18"/>
  <c r="V95" i="18" s="1"/>
  <c r="W57" i="18"/>
  <c r="W63" i="18"/>
  <c r="W69" i="18"/>
  <c r="W71" i="18"/>
  <c r="X77" i="18"/>
  <c r="W58" i="18"/>
  <c r="W64" i="18"/>
  <c r="N74" i="2"/>
  <c r="M41" i="2"/>
  <c r="N40" i="2"/>
  <c r="O44" i="2" s="1"/>
  <c r="V83" i="21" l="1"/>
  <c r="V85" i="20"/>
  <c r="W57" i="21"/>
  <c r="W63" i="21"/>
  <c r="X77" i="21"/>
  <c r="W58" i="21"/>
  <c r="W64" i="21"/>
  <c r="V84" i="21"/>
  <c r="V103" i="21" s="1"/>
  <c r="X49" i="21"/>
  <c r="X43" i="21"/>
  <c r="V88" i="21"/>
  <c r="V93" i="21" s="1"/>
  <c r="V80" i="21"/>
  <c r="V101" i="21" s="1"/>
  <c r="W75" i="21"/>
  <c r="V91" i="21"/>
  <c r="V96" i="21" s="1"/>
  <c r="V102" i="21" s="1"/>
  <c r="V90" i="21"/>
  <c r="V95" i="21" s="1"/>
  <c r="W70" i="21"/>
  <c r="W74" i="21"/>
  <c r="W71" i="21"/>
  <c r="W69" i="21"/>
  <c r="W74" i="20"/>
  <c r="W70" i="20"/>
  <c r="W71" i="20"/>
  <c r="W69" i="20"/>
  <c r="V73" i="19"/>
  <c r="X77" i="20"/>
  <c r="W58" i="20"/>
  <c r="W64" i="20"/>
  <c r="V80" i="20"/>
  <c r="V101" i="20" s="1"/>
  <c r="W75" i="20"/>
  <c r="V91" i="20"/>
  <c r="V96" i="20" s="1"/>
  <c r="V102" i="20" s="1"/>
  <c r="V88" i="20"/>
  <c r="V93" i="20" s="1"/>
  <c r="V90" i="20"/>
  <c r="V95" i="20" s="1"/>
  <c r="V104" i="20" s="1"/>
  <c r="V107" i="20" s="1"/>
  <c r="W44" i="20"/>
  <c r="W62" i="18"/>
  <c r="X49" i="20"/>
  <c r="X43" i="20"/>
  <c r="W68" i="18"/>
  <c r="V62" i="19"/>
  <c r="V56" i="19"/>
  <c r="V68" i="19"/>
  <c r="V83" i="19" s="1"/>
  <c r="U85" i="19"/>
  <c r="U104" i="19" s="1"/>
  <c r="U107" i="19" s="1"/>
  <c r="X76" i="19"/>
  <c r="X47" i="19"/>
  <c r="X46" i="19"/>
  <c r="W45" i="19"/>
  <c r="W44" i="19" s="1"/>
  <c r="W59" i="19"/>
  <c r="W65" i="19"/>
  <c r="W73" i="18"/>
  <c r="W56" i="18"/>
  <c r="X69" i="18" s="1"/>
  <c r="Y76" i="18"/>
  <c r="Y47" i="18"/>
  <c r="Y46" i="18"/>
  <c r="X45" i="18"/>
  <c r="X44" i="18" s="1"/>
  <c r="X59" i="18"/>
  <c r="X65" i="18"/>
  <c r="V85" i="18"/>
  <c r="V104" i="18" s="1"/>
  <c r="V107" i="18" s="1"/>
  <c r="O73" i="2"/>
  <c r="O46" i="2"/>
  <c r="N42" i="2"/>
  <c r="O43" i="2"/>
  <c r="W68" i="20" l="1"/>
  <c r="W83" i="18"/>
  <c r="W84" i="18" s="1"/>
  <c r="W103" i="18" s="1"/>
  <c r="X71" i="18"/>
  <c r="X59" i="21"/>
  <c r="X65" i="21"/>
  <c r="V85" i="21"/>
  <c r="V104" i="21" s="1"/>
  <c r="V107" i="21" s="1"/>
  <c r="W73" i="20"/>
  <c r="W68" i="21"/>
  <c r="W80" i="18"/>
  <c r="W101" i="18" s="1"/>
  <c r="W62" i="21"/>
  <c r="W73" i="21"/>
  <c r="Y76" i="21"/>
  <c r="Y47" i="21"/>
  <c r="Y46" i="21"/>
  <c r="X45" i="21"/>
  <c r="X44" i="21" s="1"/>
  <c r="W56" i="21"/>
  <c r="W88" i="18"/>
  <c r="W93" i="18" s="1"/>
  <c r="W63" i="20"/>
  <c r="W62" i="20" s="1"/>
  <c r="W57" i="20"/>
  <c r="W56" i="20" s="1"/>
  <c r="W90" i="18"/>
  <c r="W95" i="18" s="1"/>
  <c r="W91" i="18"/>
  <c r="W96" i="18" s="1"/>
  <c r="W102" i="18" s="1"/>
  <c r="X75" i="18"/>
  <c r="W83" i="20"/>
  <c r="Y76" i="20"/>
  <c r="Y47" i="20"/>
  <c r="Y46" i="20"/>
  <c r="X45" i="20"/>
  <c r="X44" i="20" s="1"/>
  <c r="X59" i="20"/>
  <c r="X65" i="20"/>
  <c r="X49" i="19"/>
  <c r="X43" i="19"/>
  <c r="W70" i="19"/>
  <c r="W74" i="19"/>
  <c r="V84" i="19"/>
  <c r="V103" i="19" s="1"/>
  <c r="W63" i="19"/>
  <c r="W57" i="19"/>
  <c r="W71" i="19"/>
  <c r="W69" i="19"/>
  <c r="X77" i="19"/>
  <c r="W58" i="19"/>
  <c r="W64" i="19"/>
  <c r="V88" i="19"/>
  <c r="V93" i="19" s="1"/>
  <c r="V80" i="19"/>
  <c r="V101" i="19" s="1"/>
  <c r="W75" i="19"/>
  <c r="V91" i="19"/>
  <c r="V96" i="19" s="1"/>
  <c r="V102" i="19" s="1"/>
  <c r="V90" i="19"/>
  <c r="V95" i="19" s="1"/>
  <c r="X74" i="18"/>
  <c r="X70" i="18"/>
  <c r="X68" i="18" s="1"/>
  <c r="X63" i="18"/>
  <c r="X57" i="18"/>
  <c r="Y77" i="18"/>
  <c r="X58" i="18"/>
  <c r="X64" i="18"/>
  <c r="Y49" i="18"/>
  <c r="Y43" i="18"/>
  <c r="O74" i="2"/>
  <c r="N41" i="2"/>
  <c r="W62" i="19" l="1"/>
  <c r="W91" i="19" s="1"/>
  <c r="W96" i="19" s="1"/>
  <c r="W102" i="19" s="1"/>
  <c r="W85" i="18"/>
  <c r="W104" i="18" s="1"/>
  <c r="W107" i="18" s="1"/>
  <c r="W83" i="21"/>
  <c r="W84" i="21" s="1"/>
  <c r="W103" i="21" s="1"/>
  <c r="X71" i="21"/>
  <c r="X69" i="21"/>
  <c r="X57" i="21"/>
  <c r="X63" i="21"/>
  <c r="Y77" i="21"/>
  <c r="X58" i="21"/>
  <c r="X64" i="21"/>
  <c r="Y49" i="21"/>
  <c r="Y43" i="21"/>
  <c r="X74" i="21"/>
  <c r="X70" i="21"/>
  <c r="W80" i="21"/>
  <c r="W101" i="21" s="1"/>
  <c r="X75" i="21"/>
  <c r="W91" i="21"/>
  <c r="W96" i="21" s="1"/>
  <c r="W102" i="21" s="1"/>
  <c r="W90" i="21"/>
  <c r="W95" i="21" s="1"/>
  <c r="W88" i="21"/>
  <c r="W93" i="21" s="1"/>
  <c r="X74" i="20"/>
  <c r="X70" i="20"/>
  <c r="W84" i="20"/>
  <c r="W103" i="20" s="1"/>
  <c r="X57" i="20"/>
  <c r="X63" i="20"/>
  <c r="Y77" i="20"/>
  <c r="X58" i="20"/>
  <c r="X64" i="20"/>
  <c r="X69" i="20"/>
  <c r="X71" i="20"/>
  <c r="W80" i="20"/>
  <c r="W101" i="20" s="1"/>
  <c r="X75" i="20"/>
  <c r="W91" i="20"/>
  <c r="W96" i="20" s="1"/>
  <c r="W102" i="20" s="1"/>
  <c r="W90" i="20"/>
  <c r="W95" i="20" s="1"/>
  <c r="W88" i="20"/>
  <c r="W93" i="20" s="1"/>
  <c r="X73" i="18"/>
  <c r="X83" i="18" s="1"/>
  <c r="X84" i="18" s="1"/>
  <c r="Y49" i="20"/>
  <c r="Y43" i="20"/>
  <c r="V85" i="19"/>
  <c r="V104" i="19" s="1"/>
  <c r="V107" i="19" s="1"/>
  <c r="W73" i="19"/>
  <c r="X75" i="19"/>
  <c r="W68" i="19"/>
  <c r="Y47" i="19"/>
  <c r="Y46" i="19"/>
  <c r="Y76" i="19"/>
  <c r="X45" i="19"/>
  <c r="X44" i="19" s="1"/>
  <c r="W56" i="19"/>
  <c r="X59" i="19"/>
  <c r="X65" i="19"/>
  <c r="X56" i="18"/>
  <c r="X62" i="18"/>
  <c r="Z76" i="18"/>
  <c r="Z47" i="18"/>
  <c r="Z46" i="18"/>
  <c r="Y45" i="18"/>
  <c r="Y44" i="18" s="1"/>
  <c r="Y59" i="18"/>
  <c r="Y65" i="18"/>
  <c r="O40" i="2"/>
  <c r="X62" i="21" l="1"/>
  <c r="X88" i="21" s="1"/>
  <c r="W88" i="19"/>
  <c r="W93" i="19" s="1"/>
  <c r="W90" i="19"/>
  <c r="W95" i="19" s="1"/>
  <c r="X73" i="21"/>
  <c r="W85" i="20"/>
  <c r="W104" i="20" s="1"/>
  <c r="W107" i="20" s="1"/>
  <c r="X68" i="20"/>
  <c r="W85" i="21"/>
  <c r="W104" i="21" s="1"/>
  <c r="W107" i="21" s="1"/>
  <c r="Y75" i="21"/>
  <c r="X91" i="21"/>
  <c r="X96" i="21" s="1"/>
  <c r="X102" i="21" s="1"/>
  <c r="Z76" i="21"/>
  <c r="Z47" i="21"/>
  <c r="Z46" i="21"/>
  <c r="Y45" i="21"/>
  <c r="Y44" i="21" s="1"/>
  <c r="X56" i="21"/>
  <c r="X62" i="20"/>
  <c r="X88" i="20" s="1"/>
  <c r="Y59" i="21"/>
  <c r="Y65" i="21"/>
  <c r="X68" i="21"/>
  <c r="X56" i="20"/>
  <c r="Z76" i="20"/>
  <c r="Y45" i="20"/>
  <c r="Y44" i="20" s="1"/>
  <c r="Z47" i="20"/>
  <c r="Z46" i="20"/>
  <c r="W83" i="19"/>
  <c r="W84" i="19" s="1"/>
  <c r="W103" i="19" s="1"/>
  <c r="Y59" i="20"/>
  <c r="Y65" i="20"/>
  <c r="X73" i="20"/>
  <c r="X83" i="20" s="1"/>
  <c r="X103" i="18"/>
  <c r="X85" i="18"/>
  <c r="Y49" i="19"/>
  <c r="Y43" i="19"/>
  <c r="X71" i="19"/>
  <c r="X69" i="19"/>
  <c r="X57" i="19"/>
  <c r="X63" i="19"/>
  <c r="Y77" i="19"/>
  <c r="X58" i="19"/>
  <c r="X64" i="19"/>
  <c r="W80" i="19"/>
  <c r="W101" i="19" s="1"/>
  <c r="X74" i="19"/>
  <c r="X73" i="19" s="1"/>
  <c r="X70" i="19"/>
  <c r="Z49" i="18"/>
  <c r="Z43" i="18"/>
  <c r="X80" i="18"/>
  <c r="X101" i="18" s="1"/>
  <c r="Y75" i="18"/>
  <c r="X91" i="18"/>
  <c r="X96" i="18" s="1"/>
  <c r="X102" i="18" s="1"/>
  <c r="X90" i="18"/>
  <c r="X95" i="18" s="1"/>
  <c r="X88" i="18"/>
  <c r="Y70" i="18"/>
  <c r="Y74" i="18"/>
  <c r="Y71" i="18"/>
  <c r="Y69" i="18"/>
  <c r="Y63" i="18"/>
  <c r="Y57" i="18"/>
  <c r="Z77" i="18"/>
  <c r="Y58" i="18"/>
  <c r="Y64" i="18"/>
  <c r="P73" i="2"/>
  <c r="P44" i="2"/>
  <c r="P46" i="2" s="1"/>
  <c r="O42" i="2"/>
  <c r="P43" i="2"/>
  <c r="X83" i="21" l="1"/>
  <c r="X90" i="21"/>
  <c r="X95" i="21" s="1"/>
  <c r="X104" i="18"/>
  <c r="X107" i="18" s="1"/>
  <c r="X90" i="20"/>
  <c r="X95" i="20" s="1"/>
  <c r="X91" i="20"/>
  <c r="X96" i="20" s="1"/>
  <c r="X102" i="20" s="1"/>
  <c r="Y71" i="21"/>
  <c r="Y69" i="21"/>
  <c r="Y75" i="20"/>
  <c r="Y57" i="21"/>
  <c r="Y63" i="21"/>
  <c r="X80" i="20"/>
  <c r="X101" i="20" s="1"/>
  <c r="Z77" i="21"/>
  <c r="Y58" i="21"/>
  <c r="Y64" i="21"/>
  <c r="X80" i="21"/>
  <c r="X101" i="21" s="1"/>
  <c r="X84" i="21"/>
  <c r="X103" i="21" s="1"/>
  <c r="Z49" i="21"/>
  <c r="Z43" i="21"/>
  <c r="Y74" i="21"/>
  <c r="Y73" i="21" s="1"/>
  <c r="Y70" i="21"/>
  <c r="X93" i="21"/>
  <c r="X84" i="20"/>
  <c r="X103" i="20" s="1"/>
  <c r="Y71" i="20"/>
  <c r="Y69" i="20"/>
  <c r="X93" i="20"/>
  <c r="Z49" i="20"/>
  <c r="Z43" i="20"/>
  <c r="X56" i="19"/>
  <c r="Y71" i="19" s="1"/>
  <c r="Z77" i="20"/>
  <c r="Y58" i="20"/>
  <c r="Y64" i="20"/>
  <c r="Y63" i="20"/>
  <c r="Y57" i="20"/>
  <c r="Y74" i="20"/>
  <c r="Y70" i="20"/>
  <c r="X62" i="19"/>
  <c r="Y75" i="19" s="1"/>
  <c r="W85" i="19"/>
  <c r="W104" i="19" s="1"/>
  <c r="W107" i="19" s="1"/>
  <c r="X68" i="19"/>
  <c r="X83" i="19" s="1"/>
  <c r="Z76" i="19"/>
  <c r="Z47" i="19"/>
  <c r="Z46" i="19"/>
  <c r="Y45" i="19"/>
  <c r="Y44" i="19" s="1"/>
  <c r="Y59" i="19"/>
  <c r="Y65" i="19"/>
  <c r="Y62" i="18"/>
  <c r="Y90" i="18" s="1"/>
  <c r="Y95" i="18" s="1"/>
  <c r="Y56" i="18"/>
  <c r="Z69" i="18" s="1"/>
  <c r="Y68" i="18"/>
  <c r="X93" i="18"/>
  <c r="X92" i="18"/>
  <c r="Y73" i="18"/>
  <c r="AA76" i="18"/>
  <c r="AA47" i="18"/>
  <c r="Z45" i="18"/>
  <c r="Z59" i="18"/>
  <c r="Z65" i="18"/>
  <c r="P74" i="2"/>
  <c r="O41" i="2"/>
  <c r="P40" i="2"/>
  <c r="Q44" i="2" s="1"/>
  <c r="Y91" i="18" l="1"/>
  <c r="Y96" i="18" s="1"/>
  <c r="Y102" i="18" s="1"/>
  <c r="Z75" i="18"/>
  <c r="X92" i="21"/>
  <c r="Y62" i="21"/>
  <c r="Z75" i="21" s="1"/>
  <c r="X85" i="21"/>
  <c r="X104" i="21" s="1"/>
  <c r="X107" i="21" s="1"/>
  <c r="Y68" i="20"/>
  <c r="X92" i="20"/>
  <c r="Y73" i="20"/>
  <c r="Y69" i="19"/>
  <c r="X88" i="19"/>
  <c r="X91" i="19"/>
  <c r="X96" i="19" s="1"/>
  <c r="X102" i="19" s="1"/>
  <c r="Y88" i="18"/>
  <c r="Y93" i="18" s="1"/>
  <c r="Y80" i="18"/>
  <c r="Y101" i="18" s="1"/>
  <c r="Y83" i="18"/>
  <c r="Y84" i="18" s="1"/>
  <c r="Y103" i="18" s="1"/>
  <c r="AA76" i="21"/>
  <c r="AA47" i="21"/>
  <c r="Z45" i="21"/>
  <c r="Z44" i="21" s="1"/>
  <c r="X85" i="20"/>
  <c r="X104" i="20" s="1"/>
  <c r="X107" i="20" s="1"/>
  <c r="Z59" i="21"/>
  <c r="Z65" i="21"/>
  <c r="X90" i="19"/>
  <c r="X95" i="19" s="1"/>
  <c r="Y56" i="21"/>
  <c r="X80" i="19"/>
  <c r="X101" i="19" s="1"/>
  <c r="Y56" i="20"/>
  <c r="Z71" i="20" s="1"/>
  <c r="Y68" i="21"/>
  <c r="Y83" i="21" s="1"/>
  <c r="Z71" i="18"/>
  <c r="Y62" i="20"/>
  <c r="Z59" i="20"/>
  <c r="Z65" i="20"/>
  <c r="AA76" i="20"/>
  <c r="AA47" i="20"/>
  <c r="Z45" i="20"/>
  <c r="Z44" i="20" s="1"/>
  <c r="Y63" i="19"/>
  <c r="Y57" i="19"/>
  <c r="Z77" i="19"/>
  <c r="Y58" i="19"/>
  <c r="Y64" i="19"/>
  <c r="X84" i="19"/>
  <c r="X103" i="19" s="1"/>
  <c r="Z49" i="19"/>
  <c r="Z43" i="19"/>
  <c r="Y74" i="19"/>
  <c r="Y73" i="19" s="1"/>
  <c r="Y70" i="19"/>
  <c r="Y68" i="19" s="1"/>
  <c r="X93" i="19"/>
  <c r="AA77" i="18"/>
  <c r="Z58" i="18"/>
  <c r="Z64" i="18"/>
  <c r="AA49" i="18"/>
  <c r="AA46" i="18"/>
  <c r="AA43" i="18" s="1"/>
  <c r="Z74" i="18"/>
  <c r="Z73" i="18" s="1"/>
  <c r="Z70" i="18"/>
  <c r="Z44" i="18"/>
  <c r="Q73" i="2"/>
  <c r="P42" i="2"/>
  <c r="Q43" i="2"/>
  <c r="Q46" i="2"/>
  <c r="Y91" i="21" l="1"/>
  <c r="Y96" i="21" s="1"/>
  <c r="Y102" i="21" s="1"/>
  <c r="Y88" i="21"/>
  <c r="Y93" i="21" s="1"/>
  <c r="Y90" i="21"/>
  <c r="Y95" i="21" s="1"/>
  <c r="Y80" i="20"/>
  <c r="Y101" i="20" s="1"/>
  <c r="Y83" i="20"/>
  <c r="Y84" i="20" s="1"/>
  <c r="Y103" i="20" s="1"/>
  <c r="Y88" i="20"/>
  <c r="Y93" i="20" s="1"/>
  <c r="Z75" i="20"/>
  <c r="Y91" i="20"/>
  <c r="Y96" i="20" s="1"/>
  <c r="Y102" i="20" s="1"/>
  <c r="X92" i="19"/>
  <c r="X85" i="19"/>
  <c r="X104" i="19" s="1"/>
  <c r="X107" i="19" s="1"/>
  <c r="Y92" i="18"/>
  <c r="Z68" i="18"/>
  <c r="Z83" i="18" s="1"/>
  <c r="Z84" i="18" s="1"/>
  <c r="Z103" i="18" s="1"/>
  <c r="Z69" i="20"/>
  <c r="Y90" i="20"/>
  <c r="Y95" i="20" s="1"/>
  <c r="Z74" i="21"/>
  <c r="Z73" i="21" s="1"/>
  <c r="Z70" i="21"/>
  <c r="Z71" i="21"/>
  <c r="Z69" i="21"/>
  <c r="AA77" i="21"/>
  <c r="Z58" i="21"/>
  <c r="Z64" i="21"/>
  <c r="AA49" i="21"/>
  <c r="AA46" i="21"/>
  <c r="AA43" i="21" s="1"/>
  <c r="Y84" i="21"/>
  <c r="Y103" i="21" s="1"/>
  <c r="Z57" i="21"/>
  <c r="Z63" i="21"/>
  <c r="Y80" i="21"/>
  <c r="Y101" i="21" s="1"/>
  <c r="Z63" i="20"/>
  <c r="Z57" i="20"/>
  <c r="AA77" i="20"/>
  <c r="Z58" i="20"/>
  <c r="Z64" i="20"/>
  <c r="AA49" i="20"/>
  <c r="AA46" i="20"/>
  <c r="AA43" i="20" s="1"/>
  <c r="Z74" i="20"/>
  <c r="Z70" i="20"/>
  <c r="Y83" i="19"/>
  <c r="Y84" i="19" s="1"/>
  <c r="Y103" i="19" s="1"/>
  <c r="AA76" i="19"/>
  <c r="Z45" i="19"/>
  <c r="Z44" i="19" s="1"/>
  <c r="AA47" i="19"/>
  <c r="Y56" i="19"/>
  <c r="Z59" i="19"/>
  <c r="Z65" i="19"/>
  <c r="Y62" i="19"/>
  <c r="AA45" i="18"/>
  <c r="AA44" i="18" s="1"/>
  <c r="Z63" i="18"/>
  <c r="Z62" i="18" s="1"/>
  <c r="Z57" i="18"/>
  <c r="Z56" i="18" s="1"/>
  <c r="AA59" i="18"/>
  <c r="AA65" i="18"/>
  <c r="Y85" i="18"/>
  <c r="Y104" i="18" s="1"/>
  <c r="Y107" i="18" s="1"/>
  <c r="Q74" i="2"/>
  <c r="P41" i="2"/>
  <c r="Q40" i="2"/>
  <c r="R44" i="2" s="1"/>
  <c r="Y92" i="21" l="1"/>
  <c r="Z68" i="21"/>
  <c r="Z83" i="21" s="1"/>
  <c r="Z84" i="21" s="1"/>
  <c r="Z103" i="21" s="1"/>
  <c r="Z73" i="20"/>
  <c r="Z68" i="20"/>
  <c r="Y92" i="20"/>
  <c r="Y85" i="21"/>
  <c r="Y104" i="21" s="1"/>
  <c r="Y107" i="21" s="1"/>
  <c r="Z62" i="21"/>
  <c r="Z56" i="21"/>
  <c r="AA59" i="21"/>
  <c r="AA65" i="21"/>
  <c r="AA45" i="21"/>
  <c r="AA44" i="21" s="1"/>
  <c r="AA45" i="20"/>
  <c r="AA44" i="20" s="1"/>
  <c r="AA59" i="20"/>
  <c r="AA65" i="20"/>
  <c r="Y85" i="20"/>
  <c r="Y104" i="20" s="1"/>
  <c r="Y107" i="20" s="1"/>
  <c r="Z56" i="20"/>
  <c r="Z62" i="20"/>
  <c r="AA49" i="19"/>
  <c r="AA46" i="19"/>
  <c r="AA43" i="19" s="1"/>
  <c r="Z57" i="19"/>
  <c r="Z63" i="19"/>
  <c r="Z71" i="19"/>
  <c r="Z69" i="19"/>
  <c r="AA77" i="19"/>
  <c r="Z58" i="19"/>
  <c r="Z64" i="19"/>
  <c r="Y80" i="19"/>
  <c r="Y101" i="19" s="1"/>
  <c r="Y91" i="19"/>
  <c r="Y96" i="19" s="1"/>
  <c r="Y102" i="19" s="1"/>
  <c r="Y90" i="19"/>
  <c r="Y95" i="19" s="1"/>
  <c r="Y88" i="19"/>
  <c r="Z75" i="19"/>
  <c r="Z74" i="19"/>
  <c r="Z70" i="19"/>
  <c r="Y85" i="19"/>
  <c r="AA69" i="18"/>
  <c r="AA71" i="18"/>
  <c r="Z80" i="18"/>
  <c r="Z101" i="18" s="1"/>
  <c r="AA75" i="18"/>
  <c r="Z91" i="18"/>
  <c r="Z96" i="18" s="1"/>
  <c r="Z102" i="18" s="1"/>
  <c r="Z90" i="18"/>
  <c r="Z95" i="18" s="1"/>
  <c r="Z88" i="18"/>
  <c r="AA57" i="18"/>
  <c r="AA63" i="18"/>
  <c r="AA74" i="18"/>
  <c r="AA70" i="18"/>
  <c r="AA58" i="18"/>
  <c r="AA64" i="18"/>
  <c r="Z85" i="18"/>
  <c r="R73" i="2"/>
  <c r="R43" i="2"/>
  <c r="R46" i="2"/>
  <c r="Q42" i="2"/>
  <c r="Z83" i="20" l="1"/>
  <c r="Z84" i="20" s="1"/>
  <c r="Z103" i="20" s="1"/>
  <c r="Z62" i="19"/>
  <c r="AA75" i="19" s="1"/>
  <c r="AA71" i="21"/>
  <c r="AA69" i="21"/>
  <c r="Z80" i="21"/>
  <c r="Z101" i="21" s="1"/>
  <c r="AA75" i="21"/>
  <c r="Z91" i="21"/>
  <c r="Z96" i="21" s="1"/>
  <c r="Z102" i="21" s="1"/>
  <c r="Z90" i="21"/>
  <c r="Z95" i="21" s="1"/>
  <c r="Z88" i="21"/>
  <c r="AA74" i="21"/>
  <c r="AA70" i="21"/>
  <c r="Z85" i="21"/>
  <c r="AA63" i="21"/>
  <c r="AA57" i="21"/>
  <c r="AA58" i="21"/>
  <c r="AA64" i="21"/>
  <c r="AA74" i="20"/>
  <c r="AA70" i="20"/>
  <c r="AA63" i="20"/>
  <c r="AA57" i="20"/>
  <c r="AA71" i="20"/>
  <c r="AA69" i="20"/>
  <c r="AA75" i="20"/>
  <c r="Z91" i="20"/>
  <c r="Z96" i="20" s="1"/>
  <c r="Z102" i="20" s="1"/>
  <c r="Z90" i="20"/>
  <c r="Z95" i="20" s="1"/>
  <c r="Z88" i="20"/>
  <c r="Z80" i="20"/>
  <c r="Z101" i="20" s="1"/>
  <c r="AA58" i="20"/>
  <c r="AA64" i="20"/>
  <c r="Z56" i="19"/>
  <c r="AA69" i="19" s="1"/>
  <c r="AA45" i="19"/>
  <c r="AA44" i="19" s="1"/>
  <c r="Y93" i="19"/>
  <c r="Y92" i="19"/>
  <c r="Z68" i="19"/>
  <c r="AA56" i="18"/>
  <c r="Y104" i="19"/>
  <c r="Y107" i="19" s="1"/>
  <c r="Z73" i="19"/>
  <c r="AA59" i="19"/>
  <c r="AA65" i="19"/>
  <c r="Z104" i="18"/>
  <c r="Z107" i="18" s="1"/>
  <c r="Z93" i="18"/>
  <c r="Z92" i="18"/>
  <c r="AA73" i="18"/>
  <c r="AA62" i="18"/>
  <c r="AA68" i="18"/>
  <c r="R74" i="2"/>
  <c r="Q41" i="2"/>
  <c r="R40" i="2"/>
  <c r="S44" i="2" s="1"/>
  <c r="AA73" i="21" l="1"/>
  <c r="Z85" i="20"/>
  <c r="Z104" i="20" s="1"/>
  <c r="Z107" i="20" s="1"/>
  <c r="AA71" i="19"/>
  <c r="Z88" i="19"/>
  <c r="Z93" i="19" s="1"/>
  <c r="Z90" i="19"/>
  <c r="Z95" i="19" s="1"/>
  <c r="Z91" i="19"/>
  <c r="Z96" i="19" s="1"/>
  <c r="Z102" i="19" s="1"/>
  <c r="AA56" i="21"/>
  <c r="Z93" i="21"/>
  <c r="Z92" i="21"/>
  <c r="AA68" i="20"/>
  <c r="AA62" i="21"/>
  <c r="Z104" i="21"/>
  <c r="Z107" i="21" s="1"/>
  <c r="AA68" i="21"/>
  <c r="AA56" i="20"/>
  <c r="AA62" i="20"/>
  <c r="Z93" i="20"/>
  <c r="Z92" i="20"/>
  <c r="AA73" i="20"/>
  <c r="AA83" i="20" s="1"/>
  <c r="Z83" i="19"/>
  <c r="Z84" i="19" s="1"/>
  <c r="Z103" i="19" s="1"/>
  <c r="AA63" i="19"/>
  <c r="AA57" i="19"/>
  <c r="Z80" i="19"/>
  <c r="Z101" i="19" s="1"/>
  <c r="AA70" i="19"/>
  <c r="AA74" i="19"/>
  <c r="AA73" i="19" s="1"/>
  <c r="AA83" i="18"/>
  <c r="AA84" i="18" s="1"/>
  <c r="AA103" i="18" s="1"/>
  <c r="B103" i="18" s="1"/>
  <c r="AA58" i="19"/>
  <c r="AA64" i="19"/>
  <c r="AA91" i="18"/>
  <c r="AA96" i="18" s="1"/>
  <c r="AA102" i="18" s="1"/>
  <c r="B102" i="18" s="1"/>
  <c r="AA90" i="18"/>
  <c r="AA95" i="18" s="1"/>
  <c r="AA88" i="18"/>
  <c r="AA80" i="18"/>
  <c r="AA101" i="18" s="1"/>
  <c r="B101" i="18" s="1"/>
  <c r="R42" i="2"/>
  <c r="S73" i="2"/>
  <c r="S43" i="2"/>
  <c r="S46" i="2"/>
  <c r="AA83" i="21" l="1"/>
  <c r="AA84" i="21" s="1"/>
  <c r="AA103" i="21" s="1"/>
  <c r="B103" i="21" s="1"/>
  <c r="AA68" i="19"/>
  <c r="AA83" i="19" s="1"/>
  <c r="AA84" i="19" s="1"/>
  <c r="AA103" i="19" s="1"/>
  <c r="B103" i="19" s="1"/>
  <c r="Z92" i="19"/>
  <c r="AA91" i="21"/>
  <c r="AA96" i="21" s="1"/>
  <c r="AA102" i="21" s="1"/>
  <c r="B102" i="21" s="1"/>
  <c r="AA90" i="21"/>
  <c r="AA95" i="21" s="1"/>
  <c r="AA88" i="21"/>
  <c r="AA80" i="21"/>
  <c r="AA101" i="21" s="1"/>
  <c r="B101" i="21" s="1"/>
  <c r="AA84" i="20"/>
  <c r="AA103" i="20" s="1"/>
  <c r="B103" i="20" s="1"/>
  <c r="AA91" i="20"/>
  <c r="AA96" i="20" s="1"/>
  <c r="AA102" i="20" s="1"/>
  <c r="B102" i="20" s="1"/>
  <c r="AA90" i="20"/>
  <c r="AA95" i="20" s="1"/>
  <c r="AA88" i="20"/>
  <c r="AA80" i="20"/>
  <c r="AA101" i="20" s="1"/>
  <c r="B101" i="20" s="1"/>
  <c r="Z85" i="19"/>
  <c r="Z104" i="19" s="1"/>
  <c r="Z107" i="19" s="1"/>
  <c r="AA56" i="19"/>
  <c r="AA62" i="19"/>
  <c r="AA93" i="18"/>
  <c r="AA92" i="18"/>
  <c r="AA85" i="18"/>
  <c r="AA104" i="18" s="1"/>
  <c r="S74" i="2"/>
  <c r="R41" i="2"/>
  <c r="S40" i="2"/>
  <c r="T44" i="2" s="1"/>
  <c r="AA93" i="21" l="1"/>
  <c r="AA92" i="21"/>
  <c r="AA85" i="21"/>
  <c r="AA104" i="21" s="1"/>
  <c r="AA93" i="20"/>
  <c r="AA92" i="20"/>
  <c r="AA85" i="20"/>
  <c r="AA104" i="20" s="1"/>
  <c r="AA91" i="19"/>
  <c r="AA96" i="19" s="1"/>
  <c r="AA102" i="19" s="1"/>
  <c r="B102" i="19" s="1"/>
  <c r="AA90" i="19"/>
  <c r="AA95" i="19" s="1"/>
  <c r="AA88" i="19"/>
  <c r="AA80" i="19"/>
  <c r="AA101" i="19" s="1"/>
  <c r="B101" i="19" s="1"/>
  <c r="AA85" i="19"/>
  <c r="AA107" i="18"/>
  <c r="B104" i="18"/>
  <c r="S42" i="2"/>
  <c r="T73" i="2"/>
  <c r="T46" i="2"/>
  <c r="T43" i="2"/>
  <c r="AA104" i="19" l="1"/>
  <c r="AA107" i="19" s="1"/>
  <c r="AA107" i="21"/>
  <c r="B104" i="21"/>
  <c r="AA107" i="20"/>
  <c r="B104" i="20"/>
  <c r="AA93" i="19"/>
  <c r="AA92" i="19"/>
  <c r="T74" i="2"/>
  <c r="S41" i="2"/>
  <c r="T40" i="2"/>
  <c r="U44" i="2" s="1"/>
  <c r="B104" i="19" l="1"/>
  <c r="U46" i="2"/>
  <c r="U73" i="2"/>
  <c r="T42" i="2"/>
  <c r="U43" i="2"/>
  <c r="U74" i="2" l="1"/>
  <c r="U40" i="2"/>
  <c r="T41" i="2"/>
  <c r="V43" i="2" l="1"/>
  <c r="V44" i="2"/>
  <c r="V46" i="2" s="1"/>
  <c r="U42" i="2"/>
  <c r="V73" i="2"/>
  <c r="V74" i="2" l="1"/>
  <c r="U41" i="2"/>
  <c r="V40" i="2"/>
  <c r="V42" i="2" l="1"/>
  <c r="W44" i="2"/>
  <c r="W46" i="2" s="1"/>
  <c r="W43" i="2"/>
  <c r="W73" i="2"/>
  <c r="W74" i="2" l="1"/>
  <c r="V41" i="2"/>
  <c r="W40" i="2"/>
  <c r="W42" i="2" l="1"/>
  <c r="X44" i="2"/>
  <c r="X46" i="2" s="1"/>
  <c r="X73" i="2"/>
  <c r="X43" i="2"/>
  <c r="W41" i="2" l="1"/>
  <c r="X74" i="2"/>
  <c r="X40" i="2"/>
  <c r="Y73" i="2" l="1"/>
  <c r="Y44" i="2"/>
  <c r="Y46" i="2" s="1"/>
  <c r="Y43" i="2"/>
  <c r="X42" i="2"/>
  <c r="X41" i="2" l="1"/>
  <c r="Y74" i="2"/>
  <c r="Y40" i="2"/>
  <c r="Y42" i="2" l="1"/>
  <c r="Z44" i="2"/>
  <c r="Z46" i="2" s="1"/>
  <c r="Z43" i="2"/>
  <c r="Z73" i="2"/>
  <c r="Z74" i="2" l="1"/>
  <c r="Y41" i="2"/>
  <c r="Z40" i="2"/>
  <c r="Z42" i="2" l="1"/>
  <c r="AA44" i="2"/>
  <c r="AA46" i="2" s="1"/>
  <c r="AA73" i="2"/>
  <c r="Z41" i="2" l="1"/>
  <c r="AA74" i="2"/>
  <c r="AA43" i="2"/>
  <c r="AA40" i="2" s="1"/>
  <c r="AA42" i="2" s="1"/>
  <c r="AA41" i="2" l="1"/>
  <c r="E49" i="2" l="1"/>
  <c r="F50" i="2" l="1"/>
  <c r="F49" i="2" s="1"/>
  <c r="F61" i="2" s="1"/>
  <c r="E61" i="2"/>
  <c r="I56" i="2"/>
  <c r="F55" i="2"/>
  <c r="E60" i="2"/>
  <c r="E54" i="2"/>
  <c r="E53" i="2" s="1"/>
  <c r="F66" i="2" l="1"/>
  <c r="F68" i="2"/>
  <c r="E59" i="2"/>
  <c r="F72" i="2" s="1"/>
  <c r="F60" i="2"/>
  <c r="G55" i="2"/>
  <c r="J56" i="2"/>
  <c r="F54" i="2"/>
  <c r="G50" i="2"/>
  <c r="F65" i="2" l="1"/>
  <c r="E88" i="2"/>
  <c r="F70" i="2"/>
  <c r="E85" i="2"/>
  <c r="E87" i="2"/>
  <c r="F53" i="2"/>
  <c r="F59" i="2"/>
  <c r="G72" i="2" s="1"/>
  <c r="G49" i="2"/>
  <c r="G66" i="2" l="1"/>
  <c r="G68" i="2"/>
  <c r="G62" i="2"/>
  <c r="G61" i="2"/>
  <c r="F88" i="2"/>
  <c r="F93" i="2" s="1"/>
  <c r="F85" i="2"/>
  <c r="F90" i="2" s="1"/>
  <c r="F87" i="2"/>
  <c r="F92" i="2" s="1"/>
  <c r="G60" i="2"/>
  <c r="H55" i="2"/>
  <c r="K56" i="2"/>
  <c r="G54" i="2"/>
  <c r="H50" i="2"/>
  <c r="G71" i="2" l="1"/>
  <c r="G70" i="2" s="1"/>
  <c r="G67" i="2"/>
  <c r="G65" i="2" s="1"/>
  <c r="G53" i="2"/>
  <c r="H68" i="2" s="1"/>
  <c r="G59" i="2"/>
  <c r="H72" i="2" s="1"/>
  <c r="H49" i="2"/>
  <c r="H62" i="2" s="1"/>
  <c r="H66" i="2" l="1"/>
  <c r="H71" i="2"/>
  <c r="H70" i="2" s="1"/>
  <c r="H61" i="2"/>
  <c r="G87" i="2"/>
  <c r="G92" i="2" s="1"/>
  <c r="G88" i="2"/>
  <c r="G93" i="2" s="1"/>
  <c r="G85" i="2"/>
  <c r="G90" i="2" s="1"/>
  <c r="H60" i="2"/>
  <c r="I55" i="2"/>
  <c r="L56" i="2"/>
  <c r="H54" i="2"/>
  <c r="I50" i="2"/>
  <c r="H67" i="2" l="1"/>
  <c r="H65" i="2" s="1"/>
  <c r="H53" i="2"/>
  <c r="H59" i="2"/>
  <c r="I72" i="2" s="1"/>
  <c r="I49" i="2"/>
  <c r="I62" i="2" s="1"/>
  <c r="F99" i="2"/>
  <c r="I66" i="2" l="1"/>
  <c r="I68" i="2"/>
  <c r="I71" i="2"/>
  <c r="I61" i="2"/>
  <c r="H88" i="2"/>
  <c r="H93" i="2" s="1"/>
  <c r="H85" i="2"/>
  <c r="H90" i="2" s="1"/>
  <c r="H87" i="2"/>
  <c r="H92" i="2" s="1"/>
  <c r="I60" i="2"/>
  <c r="J55" i="2"/>
  <c r="M56" i="2"/>
  <c r="I54" i="2"/>
  <c r="G99" i="2"/>
  <c r="J50" i="2"/>
  <c r="I67" i="2" l="1"/>
  <c r="I65" i="2" s="1"/>
  <c r="I70" i="2"/>
  <c r="H77" i="2"/>
  <c r="H98" i="2" s="1"/>
  <c r="H80" i="2"/>
  <c r="J49" i="2"/>
  <c r="J62" i="2" s="1"/>
  <c r="I53" i="2"/>
  <c r="I59" i="2"/>
  <c r="J72" i="2" s="1"/>
  <c r="J66" i="2" l="1"/>
  <c r="J68" i="2"/>
  <c r="J71" i="2"/>
  <c r="J61" i="2"/>
  <c r="I88" i="2"/>
  <c r="I93" i="2" s="1"/>
  <c r="I85" i="2"/>
  <c r="I90" i="2" s="1"/>
  <c r="I87" i="2"/>
  <c r="I92" i="2" s="1"/>
  <c r="J54" i="2"/>
  <c r="J53" i="2" s="1"/>
  <c r="N56" i="2"/>
  <c r="K55" i="2"/>
  <c r="J60" i="2"/>
  <c r="K50" i="2"/>
  <c r="K49" i="2" s="1"/>
  <c r="K62" i="2" s="1"/>
  <c r="H81" i="2"/>
  <c r="H100" i="2" s="1"/>
  <c r="K66" i="2" l="1"/>
  <c r="K68" i="2"/>
  <c r="J67" i="2"/>
  <c r="J65" i="2" s="1"/>
  <c r="J70" i="2"/>
  <c r="K71" i="2"/>
  <c r="K61" i="2"/>
  <c r="I77" i="2"/>
  <c r="I98" i="2" s="1"/>
  <c r="I80" i="2"/>
  <c r="I81" i="2" s="1"/>
  <c r="H82" i="2"/>
  <c r="H101" i="2" s="1"/>
  <c r="J59" i="2"/>
  <c r="K72" i="2" s="1"/>
  <c r="K60" i="2"/>
  <c r="L55" i="2"/>
  <c r="O56" i="2"/>
  <c r="K54" i="2"/>
  <c r="H99" i="2"/>
  <c r="L50" i="2"/>
  <c r="J80" i="2" l="1"/>
  <c r="J81" i="2" s="1"/>
  <c r="J100" i="2" s="1"/>
  <c r="K67" i="2"/>
  <c r="K65" i="2" s="1"/>
  <c r="J88" i="2"/>
  <c r="J93" i="2" s="1"/>
  <c r="K70" i="2"/>
  <c r="J85" i="2"/>
  <c r="J90" i="2" s="1"/>
  <c r="J87" i="2"/>
  <c r="J92" i="2" s="1"/>
  <c r="J77" i="2"/>
  <c r="J98" i="2" s="1"/>
  <c r="K53" i="2"/>
  <c r="K59" i="2"/>
  <c r="L72" i="2" s="1"/>
  <c r="I100" i="2"/>
  <c r="I99" i="2"/>
  <c r="L49" i="2"/>
  <c r="L62" i="2" s="1"/>
  <c r="L66" i="2" l="1"/>
  <c r="L68" i="2"/>
  <c r="L71" i="2"/>
  <c r="L61" i="2"/>
  <c r="K88" i="2"/>
  <c r="K93" i="2" s="1"/>
  <c r="J82" i="2"/>
  <c r="J101" i="2" s="1"/>
  <c r="I82" i="2"/>
  <c r="I101" i="2" s="1"/>
  <c r="K85" i="2"/>
  <c r="K90" i="2" s="1"/>
  <c r="K87" i="2"/>
  <c r="K92" i="2" s="1"/>
  <c r="L60" i="2"/>
  <c r="M55" i="2"/>
  <c r="P56" i="2"/>
  <c r="L54" i="2"/>
  <c r="J99" i="2"/>
  <c r="M50" i="2"/>
  <c r="L67" i="2" l="1"/>
  <c r="L65" i="2" s="1"/>
  <c r="L70" i="2"/>
  <c r="K77" i="2"/>
  <c r="K98" i="2" s="1"/>
  <c r="K80" i="2"/>
  <c r="L53" i="2"/>
  <c r="L59" i="2"/>
  <c r="M72" i="2" s="1"/>
  <c r="M49" i="2"/>
  <c r="M62" i="2" s="1"/>
  <c r="M66" i="2" l="1"/>
  <c r="M68" i="2"/>
  <c r="M71" i="2"/>
  <c r="M61" i="2"/>
  <c r="L88" i="2"/>
  <c r="L93" i="2" s="1"/>
  <c r="L85" i="2"/>
  <c r="L90" i="2" s="1"/>
  <c r="L87" i="2"/>
  <c r="L92" i="2" s="1"/>
  <c r="M60" i="2"/>
  <c r="N55" i="2"/>
  <c r="Q56" i="2"/>
  <c r="M54" i="2"/>
  <c r="K81" i="2"/>
  <c r="K100" i="2" s="1"/>
  <c r="K99" i="2"/>
  <c r="N50" i="2"/>
  <c r="M67" i="2" l="1"/>
  <c r="M65" i="2" s="1"/>
  <c r="M70" i="2"/>
  <c r="L77" i="2"/>
  <c r="L98" i="2" s="1"/>
  <c r="L80" i="2"/>
  <c r="K82" i="2"/>
  <c r="K101" i="2" s="1"/>
  <c r="M53" i="2"/>
  <c r="M59" i="2"/>
  <c r="N72" i="2" s="1"/>
  <c r="N49" i="2"/>
  <c r="N62" i="2" s="1"/>
  <c r="N66" i="2" l="1"/>
  <c r="N68" i="2"/>
  <c r="N71" i="2"/>
  <c r="N61" i="2"/>
  <c r="M88" i="2"/>
  <c r="M93" i="2" s="1"/>
  <c r="M85" i="2"/>
  <c r="M90" i="2" s="1"/>
  <c r="M87" i="2"/>
  <c r="M92" i="2" s="1"/>
  <c r="N60" i="2"/>
  <c r="O55" i="2"/>
  <c r="R56" i="2"/>
  <c r="N54" i="2"/>
  <c r="L81" i="2"/>
  <c r="L100" i="2" s="1"/>
  <c r="O50" i="2"/>
  <c r="N67" i="2" l="1"/>
  <c r="N65" i="2" s="1"/>
  <c r="N70" i="2"/>
  <c r="M77" i="2"/>
  <c r="M98" i="2" s="1"/>
  <c r="M80" i="2"/>
  <c r="L82" i="2"/>
  <c r="L101" i="2" s="1"/>
  <c r="N53" i="2"/>
  <c r="L99" i="2"/>
  <c r="N59" i="2"/>
  <c r="O72" i="2" s="1"/>
  <c r="O49" i="2"/>
  <c r="O62" i="2" s="1"/>
  <c r="O66" i="2" l="1"/>
  <c r="O68" i="2"/>
  <c r="O71" i="2"/>
  <c r="O61" i="2"/>
  <c r="N88" i="2"/>
  <c r="N93" i="2" s="1"/>
  <c r="N85" i="2"/>
  <c r="N90" i="2" s="1"/>
  <c r="N87" i="2"/>
  <c r="N92" i="2" s="1"/>
  <c r="O60" i="2"/>
  <c r="P55" i="2"/>
  <c r="S56" i="2"/>
  <c r="O54" i="2"/>
  <c r="M81" i="2"/>
  <c r="M100" i="2" s="1"/>
  <c r="P50" i="2"/>
  <c r="O67" i="2" l="1"/>
  <c r="O65" i="2" s="1"/>
  <c r="O70" i="2"/>
  <c r="N77" i="2"/>
  <c r="N98" i="2" s="1"/>
  <c r="N80" i="2"/>
  <c r="P49" i="2"/>
  <c r="P62" i="2" s="1"/>
  <c r="O53" i="2"/>
  <c r="M82" i="2"/>
  <c r="M101" i="2" s="1"/>
  <c r="M99" i="2"/>
  <c r="N99" i="2"/>
  <c r="O59" i="2"/>
  <c r="P72" i="2" s="1"/>
  <c r="P66" i="2" l="1"/>
  <c r="P68" i="2"/>
  <c r="P71" i="2"/>
  <c r="P61" i="2"/>
  <c r="O88" i="2"/>
  <c r="O93" i="2" s="1"/>
  <c r="O85" i="2"/>
  <c r="O90" i="2" s="1"/>
  <c r="O87" i="2"/>
  <c r="O92" i="2" s="1"/>
  <c r="Q50" i="2"/>
  <c r="Q49" i="2" s="1"/>
  <c r="Q62" i="2" s="1"/>
  <c r="T56" i="2"/>
  <c r="P60" i="2"/>
  <c r="P54" i="2"/>
  <c r="P53" i="2" s="1"/>
  <c r="Q55" i="2"/>
  <c r="N81" i="2"/>
  <c r="N100" i="2" s="1"/>
  <c r="Q66" i="2" l="1"/>
  <c r="Q68" i="2"/>
  <c r="P67" i="2"/>
  <c r="P65" i="2" s="1"/>
  <c r="P70" i="2"/>
  <c r="Q71" i="2"/>
  <c r="Q61" i="2"/>
  <c r="O77" i="2"/>
  <c r="O98" i="2" s="1"/>
  <c r="O80" i="2"/>
  <c r="P59" i="2"/>
  <c r="Q72" i="2" s="1"/>
  <c r="Q60" i="2"/>
  <c r="R55" i="2"/>
  <c r="U56" i="2"/>
  <c r="Q54" i="2"/>
  <c r="N82" i="2"/>
  <c r="R50" i="2"/>
  <c r="P80" i="2" l="1"/>
  <c r="Q67" i="2"/>
  <c r="Q65" i="2" s="1"/>
  <c r="P88" i="2"/>
  <c r="P93" i="2" s="1"/>
  <c r="Q70" i="2"/>
  <c r="N101" i="2"/>
  <c r="P85" i="2"/>
  <c r="P90" i="2" s="1"/>
  <c r="P87" i="2"/>
  <c r="P92" i="2" s="1"/>
  <c r="P77" i="2"/>
  <c r="P98" i="2" s="1"/>
  <c r="Q53" i="2"/>
  <c r="O81" i="2"/>
  <c r="O100" i="2" s="1"/>
  <c r="O99" i="2"/>
  <c r="R49" i="2"/>
  <c r="R62" i="2" s="1"/>
  <c r="Q59" i="2"/>
  <c r="R72" i="2" s="1"/>
  <c r="R66" i="2" l="1"/>
  <c r="R68" i="2"/>
  <c r="R71" i="2"/>
  <c r="R61" i="2"/>
  <c r="Q88" i="2"/>
  <c r="Q93" i="2" s="1"/>
  <c r="O82" i="2"/>
  <c r="O101" i="2" s="1"/>
  <c r="Q85" i="2"/>
  <c r="Q90" i="2" s="1"/>
  <c r="Q87" i="2"/>
  <c r="Q92" i="2" s="1"/>
  <c r="R60" i="2"/>
  <c r="S55" i="2"/>
  <c r="V56" i="2"/>
  <c r="R54" i="2"/>
  <c r="P81" i="2"/>
  <c r="P100" i="2" s="1"/>
  <c r="S50" i="2"/>
  <c r="R67" i="2" l="1"/>
  <c r="R65" i="2" s="1"/>
  <c r="R70" i="2"/>
  <c r="Q77" i="2"/>
  <c r="Q98" i="2" s="1"/>
  <c r="Q80" i="2"/>
  <c r="P82" i="2"/>
  <c r="P101" i="2" s="1"/>
  <c r="R53" i="2"/>
  <c r="P99" i="2"/>
  <c r="R59" i="2"/>
  <c r="S72" i="2" s="1"/>
  <c r="S49" i="2"/>
  <c r="S62" i="2" s="1"/>
  <c r="S66" i="2" l="1"/>
  <c r="S68" i="2"/>
  <c r="S71" i="2"/>
  <c r="S61" i="2"/>
  <c r="R88" i="2"/>
  <c r="R93" i="2" s="1"/>
  <c r="R85" i="2"/>
  <c r="R90" i="2" s="1"/>
  <c r="R87" i="2"/>
  <c r="R92" i="2" s="1"/>
  <c r="S60" i="2"/>
  <c r="T55" i="2"/>
  <c r="W56" i="2"/>
  <c r="S54" i="2"/>
  <c r="Q81" i="2"/>
  <c r="Q100" i="2" s="1"/>
  <c r="T50" i="2"/>
  <c r="S67" i="2" l="1"/>
  <c r="S65" i="2" s="1"/>
  <c r="S70" i="2"/>
  <c r="R77" i="2"/>
  <c r="R98" i="2" s="1"/>
  <c r="R80" i="2"/>
  <c r="Q82" i="2"/>
  <c r="Q101" i="2" s="1"/>
  <c r="T49" i="2"/>
  <c r="T62" i="2" s="1"/>
  <c r="S53" i="2"/>
  <c r="Q99" i="2"/>
  <c r="S59" i="2"/>
  <c r="T72" i="2" s="1"/>
  <c r="T66" i="2" l="1"/>
  <c r="T68" i="2"/>
  <c r="T71" i="2"/>
  <c r="T61" i="2"/>
  <c r="S88" i="2"/>
  <c r="S93" i="2" s="1"/>
  <c r="S85" i="2"/>
  <c r="S90" i="2" s="1"/>
  <c r="S87" i="2"/>
  <c r="S92" i="2" s="1"/>
  <c r="T54" i="2"/>
  <c r="T53" i="2" s="1"/>
  <c r="X56" i="2"/>
  <c r="U50" i="2"/>
  <c r="U49" i="2" s="1"/>
  <c r="U62" i="2" s="1"/>
  <c r="U55" i="2"/>
  <c r="T60" i="2"/>
  <c r="R81" i="2"/>
  <c r="R100" i="2" s="1"/>
  <c r="U66" i="2" l="1"/>
  <c r="U68" i="2"/>
  <c r="T67" i="2"/>
  <c r="T65" i="2" s="1"/>
  <c r="T70" i="2"/>
  <c r="U71" i="2"/>
  <c r="U61" i="2"/>
  <c r="S77" i="2"/>
  <c r="S98" i="2" s="1"/>
  <c r="S80" i="2"/>
  <c r="R82" i="2"/>
  <c r="R101" i="2" s="1"/>
  <c r="T59" i="2"/>
  <c r="U72" i="2" s="1"/>
  <c r="U60" i="2"/>
  <c r="V55" i="2"/>
  <c r="Y56" i="2"/>
  <c r="U54" i="2"/>
  <c r="R99" i="2"/>
  <c r="V50" i="2"/>
  <c r="T80" i="2" l="1"/>
  <c r="U67" i="2"/>
  <c r="U65" i="2" s="1"/>
  <c r="T88" i="2"/>
  <c r="T93" i="2" s="1"/>
  <c r="U70" i="2"/>
  <c r="T85" i="2"/>
  <c r="T90" i="2" s="1"/>
  <c r="T87" i="2"/>
  <c r="T92" i="2" s="1"/>
  <c r="T77" i="2"/>
  <c r="T98" i="2" s="1"/>
  <c r="U53" i="2"/>
  <c r="U59" i="2"/>
  <c r="V72" i="2" s="1"/>
  <c r="S81" i="2"/>
  <c r="S100" i="2" s="1"/>
  <c r="V49" i="2"/>
  <c r="V62" i="2" s="1"/>
  <c r="V66" i="2" l="1"/>
  <c r="V68" i="2"/>
  <c r="V71" i="2"/>
  <c r="V61" i="2"/>
  <c r="U88" i="2"/>
  <c r="U93" i="2" s="1"/>
  <c r="S82" i="2"/>
  <c r="S101" i="2" s="1"/>
  <c r="U85" i="2"/>
  <c r="U90" i="2" s="1"/>
  <c r="U87" i="2"/>
  <c r="U92" i="2" s="1"/>
  <c r="V60" i="2"/>
  <c r="W55" i="2"/>
  <c r="Z56" i="2"/>
  <c r="V54" i="2"/>
  <c r="T81" i="2"/>
  <c r="T100" i="2" s="1"/>
  <c r="S99" i="2"/>
  <c r="W50" i="2"/>
  <c r="V67" i="2" l="1"/>
  <c r="V65" i="2" s="1"/>
  <c r="V70" i="2"/>
  <c r="U77" i="2"/>
  <c r="U98" i="2" s="1"/>
  <c r="U80" i="2"/>
  <c r="T82" i="2"/>
  <c r="T101" i="2" s="1"/>
  <c r="V53" i="2"/>
  <c r="T99" i="2"/>
  <c r="V59" i="2"/>
  <c r="W72" i="2" s="1"/>
  <c r="W49" i="2"/>
  <c r="W62" i="2" s="1"/>
  <c r="W66" i="2" l="1"/>
  <c r="W68" i="2"/>
  <c r="W71" i="2"/>
  <c r="W61" i="2"/>
  <c r="V88" i="2"/>
  <c r="V93" i="2" s="1"/>
  <c r="V85" i="2"/>
  <c r="V90" i="2" s="1"/>
  <c r="V87" i="2"/>
  <c r="V92" i="2" s="1"/>
  <c r="W60" i="2"/>
  <c r="X55" i="2"/>
  <c r="AA56" i="2"/>
  <c r="W54" i="2"/>
  <c r="U81" i="2"/>
  <c r="U100" i="2" s="1"/>
  <c r="V80" i="2"/>
  <c r="X50" i="2"/>
  <c r="W67" i="2" l="1"/>
  <c r="W65" i="2" s="1"/>
  <c r="W70" i="2"/>
  <c r="U82" i="2"/>
  <c r="U101" i="2" s="1"/>
  <c r="V77" i="2"/>
  <c r="V98" i="2" s="1"/>
  <c r="W53" i="2"/>
  <c r="V81" i="2"/>
  <c r="V100" i="2" s="1"/>
  <c r="U99" i="2"/>
  <c r="W59" i="2"/>
  <c r="X72" i="2" s="1"/>
  <c r="X49" i="2"/>
  <c r="X66" i="2" l="1"/>
  <c r="X68" i="2"/>
  <c r="X61" i="2"/>
  <c r="X62" i="2"/>
  <c r="X71" i="2" s="1"/>
  <c r="W88" i="2"/>
  <c r="W93" i="2" s="1"/>
  <c r="V82" i="2"/>
  <c r="V101" i="2" s="1"/>
  <c r="W85" i="2"/>
  <c r="W90" i="2" s="1"/>
  <c r="W87" i="2"/>
  <c r="W92" i="2" s="1"/>
  <c r="Y55" i="2"/>
  <c r="X60" i="2"/>
  <c r="X54" i="2"/>
  <c r="Y50" i="2"/>
  <c r="X70" i="2" l="1"/>
  <c r="W77" i="2"/>
  <c r="W98" i="2" s="1"/>
  <c r="W80" i="2"/>
  <c r="X67" i="2"/>
  <c r="X65" i="2" s="1"/>
  <c r="X53" i="2"/>
  <c r="V99" i="2"/>
  <c r="Y49" i="2"/>
  <c r="X59" i="2"/>
  <c r="Y72" i="2" s="1"/>
  <c r="Y66" i="2" l="1"/>
  <c r="Y68" i="2"/>
  <c r="Y61" i="2"/>
  <c r="Y62" i="2"/>
  <c r="Y71" i="2" s="1"/>
  <c r="X88" i="2"/>
  <c r="X93" i="2" s="1"/>
  <c r="X85" i="2"/>
  <c r="X90" i="2" s="1"/>
  <c r="X87" i="2"/>
  <c r="X92" i="2" s="1"/>
  <c r="Z55" i="2"/>
  <c r="Y60" i="2"/>
  <c r="Y54" i="2"/>
  <c r="W81" i="2"/>
  <c r="W100" i="2" s="1"/>
  <c r="Z50" i="2"/>
  <c r="Y70" i="2" l="1"/>
  <c r="X77" i="2"/>
  <c r="X98" i="2" s="1"/>
  <c r="X80" i="2"/>
  <c r="Y67" i="2"/>
  <c r="Y65" i="2" s="1"/>
  <c r="W82" i="2"/>
  <c r="W101" i="2" s="1"/>
  <c r="Y53" i="2"/>
  <c r="W99" i="2"/>
  <c r="Y59" i="2"/>
  <c r="Z72" i="2" s="1"/>
  <c r="Z49" i="2"/>
  <c r="Z66" i="2" l="1"/>
  <c r="Z68" i="2"/>
  <c r="Z61" i="2"/>
  <c r="Z62" i="2"/>
  <c r="Z71" i="2" s="1"/>
  <c r="Y88" i="2"/>
  <c r="Y93" i="2" s="1"/>
  <c r="Y85" i="2"/>
  <c r="Y90" i="2" s="1"/>
  <c r="Y87" i="2"/>
  <c r="Y92" i="2" s="1"/>
  <c r="AA55" i="2"/>
  <c r="Z60" i="2"/>
  <c r="Z54" i="2"/>
  <c r="X81" i="2"/>
  <c r="X100" i="2" s="1"/>
  <c r="AA50" i="2"/>
  <c r="X89" i="2"/>
  <c r="Z70" i="2" l="1"/>
  <c r="Y77" i="2"/>
  <c r="Y98" i="2" s="1"/>
  <c r="Y80" i="2"/>
  <c r="Z67" i="2"/>
  <c r="Z65" i="2" s="1"/>
  <c r="X82" i="2"/>
  <c r="X101" i="2" s="1"/>
  <c r="AA49" i="2"/>
  <c r="AA62" i="2" s="1"/>
  <c r="Z53" i="2"/>
  <c r="Z59" i="2"/>
  <c r="AA72" i="2" s="1"/>
  <c r="Y89" i="2"/>
  <c r="X99" i="2"/>
  <c r="AA66" i="2" l="1"/>
  <c r="AA68" i="2"/>
  <c r="AA71" i="2"/>
  <c r="AA61" i="2"/>
  <c r="Z88" i="2"/>
  <c r="Z93" i="2" s="1"/>
  <c r="Z85" i="2"/>
  <c r="Z87" i="2"/>
  <c r="Z92" i="2" s="1"/>
  <c r="AA54" i="2"/>
  <c r="AA53" i="2" s="1"/>
  <c r="AA60" i="2"/>
  <c r="Y81" i="2"/>
  <c r="Y100" i="2" s="1"/>
  <c r="Y99" i="2"/>
  <c r="AA67" i="2" l="1"/>
  <c r="AA65" i="2" s="1"/>
  <c r="AA70" i="2"/>
  <c r="Z77" i="2"/>
  <c r="Z98" i="2" s="1"/>
  <c r="Z80" i="2"/>
  <c r="Y82" i="2"/>
  <c r="Y101" i="2" s="1"/>
  <c r="Z90" i="2"/>
  <c r="AA59" i="2"/>
  <c r="AA88" i="2" s="1"/>
  <c r="AA93" i="2" s="1"/>
  <c r="AA85" i="2" l="1"/>
  <c r="AA90" i="2" s="1"/>
  <c r="AA87" i="2"/>
  <c r="AA92" i="2" s="1"/>
  <c r="Z81" i="2"/>
  <c r="Z100" i="2" s="1"/>
  <c r="Z89" i="2"/>
  <c r="AA77" i="2" l="1"/>
  <c r="AA98" i="2" s="1"/>
  <c r="AA80" i="2"/>
  <c r="AA81" i="2" s="1"/>
  <c r="AA100" i="2" s="1"/>
  <c r="Z82" i="2"/>
  <c r="Z101" i="2" s="1"/>
  <c r="Z99" i="2"/>
  <c r="AA82" i="2" l="1"/>
  <c r="AA101" i="2" s="1"/>
  <c r="AA89" i="2"/>
  <c r="AA99" i="2" s="1"/>
  <c r="D59" i="2" l="1"/>
  <c r="E72" i="2" s="1"/>
  <c r="D88" i="2" l="1"/>
  <c r="D93" i="2" s="1"/>
  <c r="E70" i="2"/>
  <c r="D85" i="2"/>
  <c r="D90" i="2" s="1"/>
  <c r="D87" i="2"/>
  <c r="D92" i="2" l="1"/>
  <c r="E92" i="2"/>
  <c r="E93" i="2"/>
  <c r="E90" i="2"/>
  <c r="D99" i="2" l="1"/>
  <c r="E99" i="2" l="1"/>
  <c r="B99" i="2" s="1"/>
  <c r="G52" i="13" l="1"/>
  <c r="H53" i="13" l="1"/>
  <c r="H52" i="13" s="1"/>
  <c r="G65" i="13"/>
  <c r="G74" i="13" l="1"/>
  <c r="G73" i="13" s="1"/>
  <c r="G70" i="13"/>
  <c r="G68" i="13" s="1"/>
  <c r="I53" i="13"/>
  <c r="I52" i="13" s="1"/>
  <c r="G83" i="13" l="1"/>
  <c r="G84" i="13" s="1"/>
  <c r="G103" i="13" s="1"/>
  <c r="J53" i="13"/>
  <c r="J52" i="13" s="1"/>
  <c r="G85" i="13" l="1"/>
  <c r="K53" i="13"/>
  <c r="K52" i="13" s="1"/>
  <c r="L53" i="13" l="1"/>
  <c r="L52" i="13" s="1"/>
  <c r="M53" i="13" l="1"/>
  <c r="M52" i="13" s="1"/>
  <c r="N53" i="13" l="1"/>
  <c r="N52" i="13" s="1"/>
  <c r="O53" i="13" l="1"/>
  <c r="O52" i="13" s="1"/>
  <c r="P53" i="13" l="1"/>
  <c r="P52" i="13" s="1"/>
  <c r="Q53" i="13" l="1"/>
  <c r="Q52" i="13" s="1"/>
  <c r="R53" i="13" l="1"/>
  <c r="R52" i="13" s="1"/>
  <c r="S53" i="13" l="1"/>
  <c r="S52" i="13" s="1"/>
  <c r="T53" i="13" l="1"/>
  <c r="T52" i="13" s="1"/>
  <c r="U53" i="13" l="1"/>
  <c r="U52" i="13" s="1"/>
  <c r="V53" i="13" l="1"/>
  <c r="V52" i="13" s="1"/>
  <c r="W53" i="13" l="1"/>
  <c r="W52" i="13" s="1"/>
  <c r="X53" i="13" l="1"/>
  <c r="X52" i="13" s="1"/>
  <c r="Y53" i="13" l="1"/>
  <c r="Y52" i="13" s="1"/>
  <c r="Z53" i="13" l="1"/>
  <c r="Z52" i="13" s="1"/>
  <c r="AA53" i="13" l="1"/>
  <c r="AA52" i="13" s="1"/>
  <c r="G43" i="13"/>
  <c r="H47" i="13" s="1"/>
  <c r="H76" i="13" l="1"/>
  <c r="H46" i="13"/>
  <c r="H43" i="13" s="1"/>
  <c r="H45" i="13" s="1"/>
  <c r="H44" i="13" s="1"/>
  <c r="G45" i="13"/>
  <c r="H77" i="13" s="1"/>
  <c r="H49" i="13"/>
  <c r="H59" i="13" s="1"/>
  <c r="G58" i="13" l="1"/>
  <c r="G44" i="13"/>
  <c r="G57" i="13" s="1"/>
  <c r="G64" i="13"/>
  <c r="I46" i="13"/>
  <c r="I47" i="13"/>
  <c r="I76" i="13"/>
  <c r="H65" i="13"/>
  <c r="H70" i="13" s="1"/>
  <c r="H58" i="13"/>
  <c r="I77" i="13"/>
  <c r="H64" i="13"/>
  <c r="H63" i="13"/>
  <c r="H57" i="13"/>
  <c r="G56" i="13" l="1"/>
  <c r="G63" i="13"/>
  <c r="G62" i="13" s="1"/>
  <c r="G91" i="13" s="1"/>
  <c r="G96" i="13" s="1"/>
  <c r="G102" i="13" s="1"/>
  <c r="I43" i="13"/>
  <c r="J76" i="13" s="1"/>
  <c r="H74" i="13"/>
  <c r="I49" i="13"/>
  <c r="I65" i="13" s="1"/>
  <c r="H62" i="13"/>
  <c r="H56" i="13"/>
  <c r="I71" i="13" s="1"/>
  <c r="I69" i="13" l="1"/>
  <c r="H69" i="13"/>
  <c r="H71" i="13"/>
  <c r="J46" i="13"/>
  <c r="G90" i="13"/>
  <c r="G95" i="13" s="1"/>
  <c r="G104" i="13" s="1"/>
  <c r="G107" i="13" s="1"/>
  <c r="G80" i="13"/>
  <c r="G101" i="13" s="1"/>
  <c r="G88" i="13"/>
  <c r="G93" i="13" s="1"/>
  <c r="H75" i="13"/>
  <c r="H73" i="13" s="1"/>
  <c r="J47" i="13"/>
  <c r="J49" i="13" s="1"/>
  <c r="I45" i="13"/>
  <c r="J77" i="13" s="1"/>
  <c r="H91" i="13"/>
  <c r="H96" i="13" s="1"/>
  <c r="I75" i="13"/>
  <c r="I59" i="13"/>
  <c r="H88" i="13"/>
  <c r="H90" i="13"/>
  <c r="I74" i="13"/>
  <c r="I70" i="13"/>
  <c r="H68" i="13" l="1"/>
  <c r="H80" i="13" s="1"/>
  <c r="H101" i="13" s="1"/>
  <c r="I68" i="13"/>
  <c r="H93" i="13"/>
  <c r="H102" i="13"/>
  <c r="H95" i="13"/>
  <c r="I64" i="13"/>
  <c r="J43" i="13"/>
  <c r="J45" i="13" s="1"/>
  <c r="I44" i="13"/>
  <c r="I57" i="13" s="1"/>
  <c r="I58" i="13"/>
  <c r="I73" i="13"/>
  <c r="J65" i="13"/>
  <c r="J59" i="13"/>
  <c r="I83" i="13" l="1"/>
  <c r="I84" i="13" s="1"/>
  <c r="I103" i="13" s="1"/>
  <c r="H83" i="13"/>
  <c r="H84" i="13" s="1"/>
  <c r="H103" i="13" s="1"/>
  <c r="K76" i="13"/>
  <c r="K46" i="13"/>
  <c r="K47" i="13"/>
  <c r="I56" i="13"/>
  <c r="I63" i="13"/>
  <c r="I62" i="13" s="1"/>
  <c r="I90" i="13" s="1"/>
  <c r="I95" i="13" s="1"/>
  <c r="K77" i="13"/>
  <c r="J64" i="13"/>
  <c r="J58" i="13"/>
  <c r="J74" i="13"/>
  <c r="J70" i="13"/>
  <c r="J44" i="13"/>
  <c r="I85" i="13" l="1"/>
  <c r="I104" i="13" s="1"/>
  <c r="H85" i="13"/>
  <c r="H104" i="13" s="1"/>
  <c r="H107" i="13" s="1"/>
  <c r="J69" i="13"/>
  <c r="J71" i="13"/>
  <c r="K43" i="13"/>
  <c r="K45" i="13" s="1"/>
  <c r="K44" i="13" s="1"/>
  <c r="K49" i="13"/>
  <c r="K65" i="13" s="1"/>
  <c r="I80" i="13"/>
  <c r="I101" i="13" s="1"/>
  <c r="I88" i="13"/>
  <c r="I93" i="13" s="1"/>
  <c r="J75" i="13"/>
  <c r="J73" i="13" s="1"/>
  <c r="I91" i="13"/>
  <c r="I96" i="13" s="1"/>
  <c r="I102" i="13" s="1"/>
  <c r="J63" i="13"/>
  <c r="J62" i="13" s="1"/>
  <c r="J57" i="13"/>
  <c r="J56" i="13" s="1"/>
  <c r="I107" i="13" l="1"/>
  <c r="J68" i="13"/>
  <c r="J83" i="13" s="1"/>
  <c r="K69" i="13"/>
  <c r="K71" i="13"/>
  <c r="L76" i="13"/>
  <c r="L47" i="13"/>
  <c r="L49" i="13" s="1"/>
  <c r="L46" i="13"/>
  <c r="K59" i="13"/>
  <c r="K74" i="13"/>
  <c r="K70" i="13"/>
  <c r="K63" i="13"/>
  <c r="K57" i="13"/>
  <c r="K75" i="13"/>
  <c r="J91" i="13"/>
  <c r="J96" i="13" s="1"/>
  <c r="J102" i="13" s="1"/>
  <c r="J88" i="13"/>
  <c r="J93" i="13" s="1"/>
  <c r="J90" i="13"/>
  <c r="J95" i="13" s="1"/>
  <c r="L77" i="13"/>
  <c r="K64" i="13"/>
  <c r="K58" i="13"/>
  <c r="J80" i="13" l="1"/>
  <c r="J101" i="13" s="1"/>
  <c r="J84" i="13"/>
  <c r="J103" i="13" s="1"/>
  <c r="K68" i="13"/>
  <c r="L43" i="13"/>
  <c r="M47" i="13" s="1"/>
  <c r="L65" i="13"/>
  <c r="L59" i="13"/>
  <c r="K56" i="13"/>
  <c r="K62" i="13"/>
  <c r="K73" i="13"/>
  <c r="J85" i="13" l="1"/>
  <c r="J104" i="13" s="1"/>
  <c r="J107" i="13" s="1"/>
  <c r="K83" i="13"/>
  <c r="K84" i="13" s="1"/>
  <c r="K103" i="13" s="1"/>
  <c r="L69" i="13"/>
  <c r="L71" i="13"/>
  <c r="L45" i="13"/>
  <c r="L44" i="13" s="1"/>
  <c r="L57" i="13" s="1"/>
  <c r="M46" i="13"/>
  <c r="M43" i="13" s="1"/>
  <c r="M76" i="13"/>
  <c r="L75" i="13"/>
  <c r="K90" i="13"/>
  <c r="K95" i="13" s="1"/>
  <c r="K88" i="13"/>
  <c r="K93" i="13" s="1"/>
  <c r="K91" i="13"/>
  <c r="K96" i="13" s="1"/>
  <c r="K102" i="13" s="1"/>
  <c r="K80" i="13"/>
  <c r="K101" i="13" s="1"/>
  <c r="M49" i="13"/>
  <c r="L74" i="13"/>
  <c r="L70" i="13"/>
  <c r="L68" i="13" l="1"/>
  <c r="L63" i="13"/>
  <c r="L64" i="13"/>
  <c r="M77" i="13"/>
  <c r="L58" i="13"/>
  <c r="L56" i="13" s="1"/>
  <c r="L73" i="13"/>
  <c r="M45" i="13"/>
  <c r="M44" i="13" s="1"/>
  <c r="N76" i="13"/>
  <c r="N47" i="13"/>
  <c r="N46" i="13"/>
  <c r="M65" i="13"/>
  <c r="M59" i="13"/>
  <c r="K85" i="13"/>
  <c r="K104" i="13" s="1"/>
  <c r="K107" i="13" s="1"/>
  <c r="L62" i="13" l="1"/>
  <c r="L80" i="13" s="1"/>
  <c r="L101" i="13" s="1"/>
  <c r="L83" i="13"/>
  <c r="L84" i="13" s="1"/>
  <c r="L103" i="13" s="1"/>
  <c r="M69" i="13"/>
  <c r="M71" i="13"/>
  <c r="M63" i="13"/>
  <c r="M57" i="13"/>
  <c r="M64" i="13"/>
  <c r="N77" i="13"/>
  <c r="M58" i="13"/>
  <c r="M74" i="13"/>
  <c r="M70" i="13"/>
  <c r="N43" i="13"/>
  <c r="N49" i="13"/>
  <c r="M75" i="13" l="1"/>
  <c r="M73" i="13" s="1"/>
  <c r="L85" i="13"/>
  <c r="L91" i="13"/>
  <c r="L96" i="13" s="1"/>
  <c r="L102" i="13" s="1"/>
  <c r="L88" i="13"/>
  <c r="L93" i="13" s="1"/>
  <c r="L90" i="13"/>
  <c r="L95" i="13" s="1"/>
  <c r="M68" i="13"/>
  <c r="M62" i="13"/>
  <c r="N75" i="13" s="1"/>
  <c r="N59" i="13"/>
  <c r="N65" i="13"/>
  <c r="O46" i="13"/>
  <c r="N45" i="13"/>
  <c r="N44" i="13" s="1"/>
  <c r="O76" i="13"/>
  <c r="O47" i="13"/>
  <c r="M56" i="13"/>
  <c r="L104" i="13" l="1"/>
  <c r="L107" i="13" s="1"/>
  <c r="M83" i="13"/>
  <c r="M84" i="13" s="1"/>
  <c r="M103" i="13" s="1"/>
  <c r="N69" i="13"/>
  <c r="N71" i="13"/>
  <c r="M88" i="13"/>
  <c r="M93" i="13" s="1"/>
  <c r="M91" i="13"/>
  <c r="M96" i="13" s="1"/>
  <c r="M102" i="13" s="1"/>
  <c r="M80" i="13"/>
  <c r="M101" i="13" s="1"/>
  <c r="M90" i="13"/>
  <c r="M95" i="13" s="1"/>
  <c r="O43" i="13"/>
  <c r="O49" i="13"/>
  <c r="O77" i="13"/>
  <c r="N58" i="13"/>
  <c r="N64" i="13"/>
  <c r="N63" i="13"/>
  <c r="N57" i="13"/>
  <c r="N74" i="13"/>
  <c r="N73" i="13" s="1"/>
  <c r="N70" i="13"/>
  <c r="M85" i="13" l="1"/>
  <c r="N68" i="13"/>
  <c r="N83" i="13" s="1"/>
  <c r="N84" i="13" s="1"/>
  <c r="N103" i="13" s="1"/>
  <c r="M104" i="13"/>
  <c r="M107" i="13" s="1"/>
  <c r="N62" i="13"/>
  <c r="O75" i="13" s="1"/>
  <c r="O59" i="13"/>
  <c r="O65" i="13"/>
  <c r="N56" i="13"/>
  <c r="P47" i="13"/>
  <c r="O45" i="13"/>
  <c r="P46" i="13"/>
  <c r="P76" i="13"/>
  <c r="O69" i="13" l="1"/>
  <c r="O71" i="13"/>
  <c r="N80" i="13"/>
  <c r="N101" i="13" s="1"/>
  <c r="N91" i="13"/>
  <c r="N96" i="13" s="1"/>
  <c r="N102" i="13" s="1"/>
  <c r="N90" i="13"/>
  <c r="N95" i="13" s="1"/>
  <c r="N88" i="13"/>
  <c r="N93" i="13" s="1"/>
  <c r="N85" i="13"/>
  <c r="O64" i="13"/>
  <c r="O58" i="13"/>
  <c r="P77" i="13"/>
  <c r="O74" i="13"/>
  <c r="O73" i="13" s="1"/>
  <c r="O70" i="13"/>
  <c r="P43" i="13"/>
  <c r="P49" i="13"/>
  <c r="O44" i="13"/>
  <c r="O68" i="13" l="1"/>
  <c r="O83" i="13" s="1"/>
  <c r="O84" i="13" s="1"/>
  <c r="O103" i="13" s="1"/>
  <c r="N104" i="13"/>
  <c r="N107" i="13" s="1"/>
  <c r="P45" i="13"/>
  <c r="P44" i="13" s="1"/>
  <c r="Q47" i="13"/>
  <c r="Q46" i="13"/>
  <c r="Q76" i="13"/>
  <c r="O63" i="13"/>
  <c r="O62" i="13" s="1"/>
  <c r="O57" i="13"/>
  <c r="O56" i="13" s="1"/>
  <c r="P59" i="13"/>
  <c r="P65" i="13"/>
  <c r="P69" i="13" l="1"/>
  <c r="P71" i="13"/>
  <c r="O85" i="13"/>
  <c r="Q49" i="13"/>
  <c r="Q43" i="13"/>
  <c r="P63" i="13"/>
  <c r="P57" i="13"/>
  <c r="P74" i="13"/>
  <c r="P70" i="13"/>
  <c r="Q77" i="13"/>
  <c r="P64" i="13"/>
  <c r="P58" i="13"/>
  <c r="O90" i="13"/>
  <c r="O95" i="13" s="1"/>
  <c r="P75" i="13"/>
  <c r="O91" i="13"/>
  <c r="O96" i="13" s="1"/>
  <c r="O102" i="13" s="1"/>
  <c r="O88" i="13"/>
  <c r="O93" i="13" s="1"/>
  <c r="O80" i="13"/>
  <c r="O101" i="13" s="1"/>
  <c r="P68" i="13" l="1"/>
  <c r="P56" i="13"/>
  <c r="O104" i="13"/>
  <c r="O107" i="13" s="1"/>
  <c r="P73" i="13"/>
  <c r="P62" i="13"/>
  <c r="R47" i="13"/>
  <c r="R46" i="13"/>
  <c r="R76" i="13"/>
  <c r="Q45" i="13"/>
  <c r="Q44" i="13" s="1"/>
  <c r="Q59" i="13"/>
  <c r="Q65" i="13"/>
  <c r="P80" i="13" l="1"/>
  <c r="P101" i="13" s="1"/>
  <c r="P83" i="13"/>
  <c r="P84" i="13" s="1"/>
  <c r="P103" i="13" s="1"/>
  <c r="Q69" i="13"/>
  <c r="Q71" i="13"/>
  <c r="P88" i="13"/>
  <c r="P93" i="13" s="1"/>
  <c r="P90" i="13"/>
  <c r="P95" i="13" s="1"/>
  <c r="P91" i="13"/>
  <c r="P96" i="13" s="1"/>
  <c r="P102" i="13" s="1"/>
  <c r="Q75" i="13"/>
  <c r="Q63" i="13"/>
  <c r="Q57" i="13"/>
  <c r="R77" i="13"/>
  <c r="Q64" i="13"/>
  <c r="Q58" i="13"/>
  <c r="R43" i="13"/>
  <c r="R49" i="13"/>
  <c r="Q74" i="13"/>
  <c r="Q70" i="13"/>
  <c r="P85" i="13" l="1"/>
  <c r="P104" i="13" s="1"/>
  <c r="P107" i="13" s="1"/>
  <c r="Q68" i="13"/>
  <c r="Q73" i="13"/>
  <c r="R45" i="13"/>
  <c r="R44" i="13" s="1"/>
  <c r="S47" i="13"/>
  <c r="S76" i="13"/>
  <c r="S46" i="13"/>
  <c r="Q56" i="13"/>
  <c r="R65" i="13"/>
  <c r="R59" i="13"/>
  <c r="Q62" i="13"/>
  <c r="Q83" i="13" l="1"/>
  <c r="Q84" i="13" s="1"/>
  <c r="Q103" i="13" s="1"/>
  <c r="R69" i="13"/>
  <c r="R71" i="13"/>
  <c r="R63" i="13"/>
  <c r="R57" i="13"/>
  <c r="S49" i="13"/>
  <c r="S43" i="13"/>
  <c r="R74" i="13"/>
  <c r="R70" i="13"/>
  <c r="S77" i="13"/>
  <c r="R58" i="13"/>
  <c r="R64" i="13"/>
  <c r="Q91" i="13"/>
  <c r="Q96" i="13" s="1"/>
  <c r="Q102" i="13" s="1"/>
  <c r="R75" i="13"/>
  <c r="Q90" i="13"/>
  <c r="Q95" i="13" s="1"/>
  <c r="Q88" i="13"/>
  <c r="Q93" i="13" s="1"/>
  <c r="Q80" i="13"/>
  <c r="Q101" i="13" s="1"/>
  <c r="R68" i="13" l="1"/>
  <c r="Q85" i="13"/>
  <c r="Q104" i="13" s="1"/>
  <c r="Q107" i="13" s="1"/>
  <c r="R73" i="13"/>
  <c r="R56" i="13"/>
  <c r="S45" i="13"/>
  <c r="S44" i="13" s="1"/>
  <c r="T76" i="13"/>
  <c r="T47" i="13"/>
  <c r="T46" i="13"/>
  <c r="S65" i="13"/>
  <c r="S59" i="13"/>
  <c r="R62" i="13"/>
  <c r="R83" i="13" l="1"/>
  <c r="R84" i="13" s="1"/>
  <c r="R103" i="13" s="1"/>
  <c r="S69" i="13"/>
  <c r="S71" i="13"/>
  <c r="T43" i="13"/>
  <c r="T49" i="13"/>
  <c r="S64" i="13"/>
  <c r="S58" i="13"/>
  <c r="T77" i="13"/>
  <c r="S75" i="13"/>
  <c r="R88" i="13"/>
  <c r="R93" i="13" s="1"/>
  <c r="R90" i="13"/>
  <c r="R95" i="13" s="1"/>
  <c r="R91" i="13"/>
  <c r="R96" i="13" s="1"/>
  <c r="R102" i="13" s="1"/>
  <c r="R80" i="13"/>
  <c r="R101" i="13" s="1"/>
  <c r="S74" i="13"/>
  <c r="S70" i="13"/>
  <c r="S63" i="13"/>
  <c r="S57" i="13"/>
  <c r="R85" i="13" l="1"/>
  <c r="R104" i="13" s="1"/>
  <c r="R107" i="13" s="1"/>
  <c r="S68" i="13"/>
  <c r="S62" i="13"/>
  <c r="S90" i="13" s="1"/>
  <c r="S95" i="13" s="1"/>
  <c r="T65" i="13"/>
  <c r="T59" i="13"/>
  <c r="S73" i="13"/>
  <c r="S56" i="13"/>
  <c r="U47" i="13"/>
  <c r="U46" i="13"/>
  <c r="T45" i="13"/>
  <c r="U76" i="13"/>
  <c r="S83" i="13" l="1"/>
  <c r="S84" i="13" s="1"/>
  <c r="S103" i="13" s="1"/>
  <c r="T69" i="13"/>
  <c r="T71" i="13"/>
  <c r="T75" i="13"/>
  <c r="S80" i="13"/>
  <c r="S101" i="13" s="1"/>
  <c r="S88" i="13"/>
  <c r="S93" i="13" s="1"/>
  <c r="S91" i="13"/>
  <c r="S96" i="13" s="1"/>
  <c r="S102" i="13" s="1"/>
  <c r="U49" i="13"/>
  <c r="U43" i="13"/>
  <c r="U77" i="13"/>
  <c r="T64" i="13"/>
  <c r="T58" i="13"/>
  <c r="T70" i="13"/>
  <c r="T74" i="13"/>
  <c r="T44" i="13"/>
  <c r="T68" i="13" l="1"/>
  <c r="T73" i="13"/>
  <c r="S85" i="13"/>
  <c r="S104" i="13" s="1"/>
  <c r="S107" i="13" s="1"/>
  <c r="U45" i="13"/>
  <c r="U44" i="13" s="1"/>
  <c r="V76" i="13"/>
  <c r="V47" i="13"/>
  <c r="V46" i="13"/>
  <c r="T63" i="13"/>
  <c r="T62" i="13" s="1"/>
  <c r="T57" i="13"/>
  <c r="T56" i="13" s="1"/>
  <c r="U65" i="13"/>
  <c r="U59" i="13"/>
  <c r="T83" i="13" l="1"/>
  <c r="T84" i="13" s="1"/>
  <c r="T103" i="13" s="1"/>
  <c r="U69" i="13"/>
  <c r="U71" i="13"/>
  <c r="V43" i="13"/>
  <c r="V49" i="13"/>
  <c r="U64" i="13"/>
  <c r="V77" i="13"/>
  <c r="U58" i="13"/>
  <c r="U57" i="13"/>
  <c r="U63" i="13"/>
  <c r="U74" i="13"/>
  <c r="U70" i="13"/>
  <c r="T90" i="13"/>
  <c r="T95" i="13" s="1"/>
  <c r="U75" i="13"/>
  <c r="T91" i="13"/>
  <c r="T96" i="13" s="1"/>
  <c r="T102" i="13" s="1"/>
  <c r="T88" i="13"/>
  <c r="T93" i="13" s="1"/>
  <c r="T80" i="13"/>
  <c r="T101" i="13" s="1"/>
  <c r="T85" i="13" l="1"/>
  <c r="T104" i="13" s="1"/>
  <c r="T107" i="13" s="1"/>
  <c r="U68" i="13"/>
  <c r="U56" i="13"/>
  <c r="U73" i="13"/>
  <c r="V59" i="13"/>
  <c r="V65" i="13"/>
  <c r="U62" i="13"/>
  <c r="W46" i="13"/>
  <c r="V45" i="13"/>
  <c r="V44" i="13" s="1"/>
  <c r="W76" i="13"/>
  <c r="W47" i="13"/>
  <c r="U83" i="13" l="1"/>
  <c r="U84" i="13" s="1"/>
  <c r="U103" i="13" s="1"/>
  <c r="V69" i="13"/>
  <c r="V71" i="13"/>
  <c r="U90" i="13"/>
  <c r="U95" i="13" s="1"/>
  <c r="V75" i="13"/>
  <c r="U88" i="13"/>
  <c r="U93" i="13" s="1"/>
  <c r="U91" i="13"/>
  <c r="U96" i="13" s="1"/>
  <c r="U102" i="13" s="1"/>
  <c r="U80" i="13"/>
  <c r="U101" i="13" s="1"/>
  <c r="W43" i="13"/>
  <c r="W49" i="13"/>
  <c r="V57" i="13"/>
  <c r="V63" i="13"/>
  <c r="W77" i="13"/>
  <c r="V58" i="13"/>
  <c r="V64" i="13"/>
  <c r="V70" i="13"/>
  <c r="V74" i="13"/>
  <c r="V68" i="13" l="1"/>
  <c r="V73" i="13"/>
  <c r="X47" i="13"/>
  <c r="X46" i="13"/>
  <c r="X76" i="13"/>
  <c r="W45" i="13"/>
  <c r="W44" i="13" s="1"/>
  <c r="V62" i="13"/>
  <c r="V56" i="13"/>
  <c r="W59" i="13"/>
  <c r="W65" i="13"/>
  <c r="U85" i="13"/>
  <c r="U104" i="13" s="1"/>
  <c r="U107" i="13" s="1"/>
  <c r="V83" i="13" l="1"/>
  <c r="V84" i="13" s="1"/>
  <c r="V103" i="13" s="1"/>
  <c r="W69" i="13"/>
  <c r="W71" i="13"/>
  <c r="W64" i="13"/>
  <c r="W58" i="13"/>
  <c r="X77" i="13"/>
  <c r="W63" i="13"/>
  <c r="W57" i="13"/>
  <c r="X43" i="13"/>
  <c r="X49" i="13"/>
  <c r="W74" i="13"/>
  <c r="W70" i="13"/>
  <c r="W75" i="13"/>
  <c r="V91" i="13"/>
  <c r="V96" i="13" s="1"/>
  <c r="V102" i="13" s="1"/>
  <c r="V88" i="13"/>
  <c r="V93" i="13" s="1"/>
  <c r="V90" i="13"/>
  <c r="V95" i="13" s="1"/>
  <c r="V80" i="13"/>
  <c r="V101" i="13" s="1"/>
  <c r="V85" i="13" l="1"/>
  <c r="V104" i="13" s="1"/>
  <c r="V107" i="13" s="1"/>
  <c r="W68" i="13"/>
  <c r="W56" i="13"/>
  <c r="W62" i="13"/>
  <c r="W73" i="13"/>
  <c r="X59" i="13"/>
  <c r="X65" i="13"/>
  <c r="X45" i="13"/>
  <c r="Y76" i="13"/>
  <c r="Y47" i="13"/>
  <c r="Y46" i="13"/>
  <c r="W80" i="13" l="1"/>
  <c r="W101" i="13" s="1"/>
  <c r="W83" i="13"/>
  <c r="X69" i="13"/>
  <c r="X71" i="13"/>
  <c r="X75" i="13"/>
  <c r="W91" i="13"/>
  <c r="W96" i="13" s="1"/>
  <c r="W102" i="13" s="1"/>
  <c r="W88" i="13"/>
  <c r="W93" i="13" s="1"/>
  <c r="W90" i="13"/>
  <c r="W95" i="13" s="1"/>
  <c r="Y49" i="13"/>
  <c r="Y43" i="13"/>
  <c r="X64" i="13"/>
  <c r="X58" i="13"/>
  <c r="Y77" i="13"/>
  <c r="X44" i="13"/>
  <c r="X70" i="13"/>
  <c r="X74" i="13"/>
  <c r="W84" i="13"/>
  <c r="W103" i="13" s="1"/>
  <c r="X68" i="13" l="1"/>
  <c r="X73" i="13"/>
  <c r="X57" i="13"/>
  <c r="X56" i="13" s="1"/>
  <c r="X63" i="13"/>
  <c r="X62" i="13" s="1"/>
  <c r="Z47" i="13"/>
  <c r="Z46" i="13"/>
  <c r="Z76" i="13"/>
  <c r="Y45" i="13"/>
  <c r="Y44" i="13" s="1"/>
  <c r="W85" i="13"/>
  <c r="W104" i="13" s="1"/>
  <c r="W107" i="13" s="1"/>
  <c r="Y59" i="13"/>
  <c r="Y65" i="13"/>
  <c r="X83" i="13" l="1"/>
  <c r="X84" i="13" s="1"/>
  <c r="X103" i="13" s="1"/>
  <c r="Y69" i="13"/>
  <c r="Y71" i="13"/>
  <c r="Y64" i="13"/>
  <c r="Y58" i="13"/>
  <c r="Z77" i="13"/>
  <c r="Y63" i="13"/>
  <c r="Y57" i="13"/>
  <c r="Z43" i="13"/>
  <c r="Z49" i="13"/>
  <c r="Y74" i="13"/>
  <c r="Y70" i="13"/>
  <c r="Y75" i="13"/>
  <c r="X88" i="13"/>
  <c r="X91" i="13"/>
  <c r="X96" i="13" s="1"/>
  <c r="X102" i="13" s="1"/>
  <c r="X90" i="13"/>
  <c r="X95" i="13" s="1"/>
  <c r="X80" i="13"/>
  <c r="X101" i="13" s="1"/>
  <c r="X85" i="13" l="1"/>
  <c r="X104" i="13" s="1"/>
  <c r="X107" i="13" s="1"/>
  <c r="Y68" i="13"/>
  <c r="Y73" i="13"/>
  <c r="Y62" i="13"/>
  <c r="Y56" i="13"/>
  <c r="Z65" i="13"/>
  <c r="Z59" i="13"/>
  <c r="AA47" i="13"/>
  <c r="AA76" i="13"/>
  <c r="Z45" i="13"/>
  <c r="X93" i="13"/>
  <c r="X92" i="13"/>
  <c r="Y80" i="13" l="1"/>
  <c r="Y101" i="13" s="1"/>
  <c r="Y83" i="13"/>
  <c r="Y84" i="13" s="1"/>
  <c r="Y103" i="13" s="1"/>
  <c r="Z69" i="13"/>
  <c r="Z71" i="13"/>
  <c r="Y91" i="13"/>
  <c r="Y96" i="13" s="1"/>
  <c r="Y102" i="13" s="1"/>
  <c r="Y88" i="13"/>
  <c r="Y93" i="13" s="1"/>
  <c r="Z75" i="13"/>
  <c r="Y90" i="13"/>
  <c r="Y95" i="13" s="1"/>
  <c r="Z58" i="13"/>
  <c r="AA77" i="13"/>
  <c r="Z64" i="13"/>
  <c r="Z74" i="13"/>
  <c r="Z70" i="13"/>
  <c r="AA49" i="13"/>
  <c r="AA46" i="13"/>
  <c r="AA43" i="13" s="1"/>
  <c r="Z44" i="13"/>
  <c r="Y85" i="13" l="1"/>
  <c r="Y104" i="13" s="1"/>
  <c r="Y107" i="13" s="1"/>
  <c r="Z68" i="13"/>
  <c r="Y92" i="13"/>
  <c r="Z73" i="13"/>
  <c r="AA65" i="13"/>
  <c r="AA59" i="13"/>
  <c r="Z57" i="13"/>
  <c r="Z56" i="13" s="1"/>
  <c r="Z63" i="13"/>
  <c r="Z62" i="13" s="1"/>
  <c r="AA45" i="13"/>
  <c r="AA44" i="13" s="1"/>
  <c r="AA69" i="13" l="1"/>
  <c r="AA71" i="13"/>
  <c r="Z83" i="13"/>
  <c r="Z84" i="13" s="1"/>
  <c r="Z103" i="13" s="1"/>
  <c r="AA63" i="13"/>
  <c r="AA57" i="13"/>
  <c r="AA75" i="13"/>
  <c r="Z88" i="13"/>
  <c r="Z90" i="13"/>
  <c r="Z95" i="13" s="1"/>
  <c r="Z91" i="13"/>
  <c r="Z96" i="13" s="1"/>
  <c r="Z102" i="13" s="1"/>
  <c r="Z80" i="13"/>
  <c r="Z101" i="13" s="1"/>
  <c r="AA64" i="13"/>
  <c r="AA58" i="13"/>
  <c r="AA74" i="13"/>
  <c r="AA70" i="13"/>
  <c r="AA68" i="13" l="1"/>
  <c r="Z85" i="13"/>
  <c r="Z104" i="13" s="1"/>
  <c r="Z107" i="13" s="1"/>
  <c r="AA73" i="13"/>
  <c r="Z92" i="13"/>
  <c r="Z93" i="13"/>
  <c r="AA56" i="13"/>
  <c r="AA62" i="13"/>
  <c r="AA83" i="13" l="1"/>
  <c r="AA84" i="13" s="1"/>
  <c r="AA103" i="13" s="1"/>
  <c r="B103" i="13" s="1"/>
  <c r="AA91" i="13"/>
  <c r="AA96" i="13" s="1"/>
  <c r="AA102" i="13" s="1"/>
  <c r="B102" i="13" s="1"/>
  <c r="AA88" i="13"/>
  <c r="AA90" i="13"/>
  <c r="AA95" i="13" s="1"/>
  <c r="AA80" i="13"/>
  <c r="AA101" i="13" s="1"/>
  <c r="B101" i="13" s="1"/>
  <c r="AA85" i="13" l="1"/>
  <c r="AA104" i="13" s="1"/>
  <c r="B104" i="13" s="1"/>
  <c r="AA93" i="13"/>
  <c r="AA92" i="13"/>
  <c r="AA107" i="13" l="1"/>
  <c r="E80" i="2"/>
  <c r="E81" i="2" s="1"/>
  <c r="E100" i="2" s="1"/>
  <c r="E77" i="2"/>
  <c r="E98" i="2" s="1"/>
  <c r="G77" i="2"/>
  <c r="G98" i="2" s="1"/>
  <c r="G80" i="2"/>
  <c r="D77" i="2"/>
  <c r="D98" i="2" s="1"/>
  <c r="F77" i="2"/>
  <c r="F98" i="2" s="1"/>
  <c r="C77" i="2"/>
  <c r="C98" i="2" s="1"/>
  <c r="C80" i="2"/>
  <c r="F80" i="2" l="1"/>
  <c r="F81" i="2" s="1"/>
  <c r="F100" i="2" s="1"/>
  <c r="B98" i="2"/>
  <c r="G81" i="2"/>
  <c r="G100" i="2" s="1"/>
  <c r="C81" i="2"/>
  <c r="C100" i="2" s="1"/>
  <c r="E82" i="2"/>
  <c r="E101" i="2" s="1"/>
  <c r="D80" i="2"/>
  <c r="G82" i="2" l="1"/>
  <c r="G101" i="2" s="1"/>
  <c r="D81" i="2"/>
  <c r="D100" i="2" s="1"/>
  <c r="B100" i="2" s="1"/>
  <c r="C82" i="2"/>
  <c r="C101" i="2" s="1"/>
  <c r="F82" i="2"/>
  <c r="F101" i="2" s="1"/>
  <c r="C104" i="2" l="1"/>
  <c r="D82" i="2"/>
  <c r="D101" i="2" s="1"/>
  <c r="B101" i="2" s="1"/>
  <c r="D104" i="2" l="1"/>
  <c r="E104" i="2" s="1"/>
  <c r="F104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</calcChain>
</file>

<file path=xl/sharedStrings.xml><?xml version="1.0" encoding="utf-8"?>
<sst xmlns="http://schemas.openxmlformats.org/spreadsheetml/2006/main" count="802" uniqueCount="129">
  <si>
    <t>General Assumptions</t>
  </si>
  <si>
    <t>PD</t>
  </si>
  <si>
    <t>Tariff Assumptions</t>
  </si>
  <si>
    <t>Operational cost</t>
  </si>
  <si>
    <t>Collection cost</t>
  </si>
  <si>
    <t>Monthly repayment</t>
  </si>
  <si>
    <t>Interest rate</t>
  </si>
  <si>
    <t>Tax Rate</t>
  </si>
  <si>
    <t>Cost Assumptions</t>
  </si>
  <si>
    <t>Current Accounts</t>
  </si>
  <si>
    <t>Delinquent Accounts</t>
  </si>
  <si>
    <t>GB_ACT</t>
  </si>
  <si>
    <t>GB_CUR</t>
  </si>
  <si>
    <t>Gross Balance of Delinquent Account</t>
  </si>
  <si>
    <t>GB_DLQ</t>
  </si>
  <si>
    <t>Cost of Funds</t>
  </si>
  <si>
    <t>Loan Loss</t>
  </si>
  <si>
    <t>Net Income before Tax</t>
  </si>
  <si>
    <t>Net_Income_Btax</t>
  </si>
  <si>
    <t>Tax</t>
  </si>
  <si>
    <t>Net_Income_Atax</t>
  </si>
  <si>
    <t>CASH FLOWS &amp; PV</t>
  </si>
  <si>
    <t>Coefficient Discount</t>
  </si>
  <si>
    <t>Coeff_discount</t>
  </si>
  <si>
    <t>Number Accounts</t>
  </si>
  <si>
    <t>pd</t>
  </si>
  <si>
    <t>tax_rate</t>
  </si>
  <si>
    <t>discount_rate</t>
  </si>
  <si>
    <t>operational_cost</t>
  </si>
  <si>
    <t>collection_cost</t>
  </si>
  <si>
    <t>Discounting Rate</t>
  </si>
  <si>
    <t>Financial Assumptions</t>
  </si>
  <si>
    <t>accnt_CUR</t>
  </si>
  <si>
    <t>accnt_DLQ</t>
  </si>
  <si>
    <t>Interest</t>
  </si>
  <si>
    <t>Planned Principal Balance</t>
  </si>
  <si>
    <t>Active Accounts</t>
  </si>
  <si>
    <t>accnt_ACT</t>
  </si>
  <si>
    <t>Closed Accounts</t>
  </si>
  <si>
    <t>accnt_CLO</t>
  </si>
  <si>
    <t>Net Income After Tax</t>
  </si>
  <si>
    <t>Net Income &amp; Net Balance</t>
  </si>
  <si>
    <t>Repayment</t>
  </si>
  <si>
    <t>PB_DLQ</t>
  </si>
  <si>
    <t>PB_CUR</t>
  </si>
  <si>
    <t>Cumulative Discounted Cash Flow to Shareholders</t>
  </si>
  <si>
    <t>Cumulative_PV</t>
  </si>
  <si>
    <t>Repayments</t>
  </si>
  <si>
    <t>repayment</t>
  </si>
  <si>
    <t>CoF</t>
  </si>
  <si>
    <t>Liabilities</t>
  </si>
  <si>
    <t>Assets</t>
  </si>
  <si>
    <t>assets</t>
  </si>
  <si>
    <t>Assets Change</t>
  </si>
  <si>
    <t>Eq_req</t>
  </si>
  <si>
    <t>Equity Requirement</t>
  </si>
  <si>
    <t>Fund_req</t>
  </si>
  <si>
    <t>Liabilities Cahnge</t>
  </si>
  <si>
    <t>Equity Requirement change</t>
  </si>
  <si>
    <t>Eq_req_chng</t>
  </si>
  <si>
    <t>assets_chng</t>
  </si>
  <si>
    <t>Funding Requirement</t>
  </si>
  <si>
    <t>Funding Requirement Change</t>
  </si>
  <si>
    <t>Fund_req_chng</t>
  </si>
  <si>
    <t>Assets &amp; Liabilities</t>
  </si>
  <si>
    <t xml:space="preserve">Gross Balance </t>
  </si>
  <si>
    <t>Recovery</t>
  </si>
  <si>
    <t>X_score</t>
  </si>
  <si>
    <t>Initial amount</t>
  </si>
  <si>
    <t>initial_term</t>
  </si>
  <si>
    <t>initial_amount</t>
  </si>
  <si>
    <t>regular_payment</t>
  </si>
  <si>
    <t>interest_rate</t>
  </si>
  <si>
    <t>Equity</t>
  </si>
  <si>
    <t>recovery</t>
  </si>
  <si>
    <t>DEF_Rate</t>
  </si>
  <si>
    <t>CLO_Rate</t>
  </si>
  <si>
    <t>Statement num</t>
  </si>
  <si>
    <t>DLNQ_Ratio</t>
  </si>
  <si>
    <t>Model Balance</t>
  </si>
  <si>
    <t>Interest model</t>
  </si>
  <si>
    <t>int_model</t>
  </si>
  <si>
    <t>PB_model</t>
  </si>
  <si>
    <t>Balances &amp; Repayments</t>
  </si>
  <si>
    <t>Principal Balance ACT</t>
  </si>
  <si>
    <t>PB_ACT</t>
  </si>
  <si>
    <t>Principal Balance CUR</t>
  </si>
  <si>
    <t>Principal balance DLQ</t>
  </si>
  <si>
    <t>Principal balance DEF</t>
  </si>
  <si>
    <t>PB_DEF</t>
  </si>
  <si>
    <t>Default accounts (90+)</t>
  </si>
  <si>
    <t>accnt_DEF</t>
  </si>
  <si>
    <t>Gross balance DEF</t>
  </si>
  <si>
    <t>GB_DEF</t>
  </si>
  <si>
    <t>Gross Profit</t>
  </si>
  <si>
    <t>Gross Loss</t>
  </si>
  <si>
    <t xml:space="preserve">Profit &amp; Loss </t>
  </si>
  <si>
    <t>Gross_profit</t>
  </si>
  <si>
    <t>cost_of_funds</t>
  </si>
  <si>
    <t>Operational costs</t>
  </si>
  <si>
    <t>Collection costs</t>
  </si>
  <si>
    <t>collect_cost</t>
  </si>
  <si>
    <t>Loan_loss</t>
  </si>
  <si>
    <t>Accounts Becoming Default</t>
  </si>
  <si>
    <t>accnt_b_def</t>
  </si>
  <si>
    <t>operation_cost</t>
  </si>
  <si>
    <t>Recov</t>
  </si>
  <si>
    <t>Cash Flow to client</t>
  </si>
  <si>
    <t>Cash Flow to bondholders</t>
  </si>
  <si>
    <t>Cash Flow to cost&amp;tax</t>
  </si>
  <si>
    <t>Cash Flow to shareholders</t>
  </si>
  <si>
    <t>Gross Balance  of Active Account</t>
  </si>
  <si>
    <t>Gross_loss</t>
  </si>
  <si>
    <t>pclo</t>
  </si>
  <si>
    <t>Insurance</t>
  </si>
  <si>
    <t>Gross Balance of Current Account</t>
  </si>
  <si>
    <t xml:space="preserve">int_rate </t>
  </si>
  <si>
    <t>+100руб</t>
  </si>
  <si>
    <t>-100руб</t>
  </si>
  <si>
    <t>1. Построить диаграмму распределения статусов, используя ваши кривые DLNQ ratio, CLO Rate, DEF Rate ( чтобы построить кривые для конкретного pd/x_score используйте метод линейной аппроксимации для каждого стейтмента)</t>
  </si>
  <si>
    <t>3. Нарисовать диаграмму изменения PV при измненеиях PD и X-score на 1%, аналогично диаграмме ниже</t>
  </si>
  <si>
    <r>
      <t xml:space="preserve">2. Добавить в нпв учет страховки - 1% прибыли от баланса </t>
    </r>
    <r>
      <rPr>
        <b/>
        <sz val="11"/>
        <color theme="1"/>
        <rFont val="Calibri"/>
        <family val="2"/>
        <scheme val="minor"/>
      </rPr>
      <t xml:space="preserve">основого долга </t>
    </r>
    <r>
      <rPr>
        <sz val="11"/>
        <color theme="1"/>
        <rFont val="Calibri"/>
        <family val="2"/>
        <scheme val="minor"/>
      </rPr>
      <t>за предыдущий месяц. На первый стейтмент доля клиентов, имеющих страховку - 80%, последующие стейтменты - 50%</t>
    </r>
  </si>
  <si>
    <r>
      <t xml:space="preserve">   </t>
    </r>
    <r>
      <rPr>
        <sz val="11"/>
        <color theme="1" tint="0.249977111117893"/>
        <rFont val="Calibri"/>
        <family val="2"/>
        <charset val="204"/>
        <scheme val="minor"/>
      </rPr>
      <t>Insurance</t>
    </r>
  </si>
  <si>
    <t xml:space="preserve"> Изменение PV</t>
  </si>
  <si>
    <t>100 руб.</t>
  </si>
  <si>
    <t>-100 руб.</t>
  </si>
  <si>
    <t>equity</t>
  </si>
  <si>
    <t>int_rate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</si>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</sst>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р_._-;\-* #,##0.00_р_._-;_-* &quot;-&quot;??_р_._-;_-@_-"/>
    <numFmt numFmtId="165" formatCode="0.0%"/>
    <numFmt numFmtId="166" formatCode="0.00000%"/>
    <numFmt numFmtId="167" formatCode="_-* #,##0_р_._-;\-* #,##0_р_._-;_-* &quot;-&quot;??_р_.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color rgb="FFFFFFFF"/>
      <name val="Calibri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</font>
    <font>
      <sz val="11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33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499984740745262"/>
      </bottom>
      <diagonal/>
    </border>
    <border>
      <left/>
      <right style="thin">
        <color theme="0" tint="-0.249977111117893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</cellStyleXfs>
  <cellXfs count="94">
    <xf numFmtId="0" fontId="0" fillId="0" borderId="0" xfId="0"/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/>
    <xf numFmtId="1" fontId="0" fillId="2" borderId="2" xfId="0" applyNumberFormat="1" applyFill="1" applyBorder="1"/>
    <xf numFmtId="0" fontId="0" fillId="2" borderId="3" xfId="0" applyFill="1" applyBorder="1"/>
    <xf numFmtId="2" fontId="0" fillId="2" borderId="0" xfId="1" applyNumberFormat="1" applyFont="1" applyFill="1" applyBorder="1"/>
    <xf numFmtId="0" fontId="0" fillId="2" borderId="7" xfId="0" applyFill="1" applyBorder="1"/>
    <xf numFmtId="9" fontId="0" fillId="0" borderId="0" xfId="0" applyNumberFormat="1"/>
    <xf numFmtId="0" fontId="0" fillId="3" borderId="0" xfId="0" applyFill="1"/>
    <xf numFmtId="0" fontId="13" fillId="3" borderId="0" xfId="0" applyFont="1" applyFill="1"/>
    <xf numFmtId="0" fontId="20" fillId="3" borderId="0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18" fillId="3" borderId="5" xfId="0" applyFont="1" applyFill="1" applyBorder="1" applyAlignment="1">
      <alignment wrapText="1"/>
    </xf>
    <xf numFmtId="9" fontId="18" fillId="3" borderId="1" xfId="2" applyFont="1" applyFill="1" applyBorder="1" applyAlignment="1">
      <alignment horizontal="right" wrapText="1"/>
    </xf>
    <xf numFmtId="0" fontId="18" fillId="3" borderId="6" xfId="0" applyFont="1" applyFill="1" applyBorder="1" applyAlignment="1">
      <alignment wrapText="1"/>
    </xf>
    <xf numFmtId="0" fontId="18" fillId="3" borderId="1" xfId="0" applyFont="1" applyFill="1" applyBorder="1" applyAlignment="1">
      <alignment horizontal="right" wrapText="1"/>
    </xf>
    <xf numFmtId="0" fontId="18" fillId="3" borderId="4" xfId="0" applyFont="1" applyFill="1" applyBorder="1" applyAlignment="1">
      <alignment wrapText="1"/>
    </xf>
    <xf numFmtId="1" fontId="18" fillId="3" borderId="1" xfId="0" applyNumberFormat="1" applyFont="1" applyFill="1" applyBorder="1" applyAlignment="1">
      <alignment horizontal="right" wrapText="1"/>
    </xf>
    <xf numFmtId="0" fontId="18" fillId="3" borderId="0" xfId="0" applyFont="1" applyFill="1" applyBorder="1" applyAlignment="1">
      <alignment wrapText="1"/>
    </xf>
    <xf numFmtId="9" fontId="18" fillId="3" borderId="1" xfId="0" applyNumberFormat="1" applyFont="1" applyFill="1" applyBorder="1" applyAlignment="1">
      <alignment horizontal="right" wrapText="1"/>
    </xf>
    <xf numFmtId="0" fontId="21" fillId="3" borderId="4" xfId="0" applyFont="1" applyFill="1" applyBorder="1" applyAlignment="1">
      <alignment wrapText="1"/>
    </xf>
    <xf numFmtId="165" fontId="18" fillId="3" borderId="1" xfId="0" applyNumberFormat="1" applyFont="1" applyFill="1" applyBorder="1" applyAlignment="1">
      <alignment horizontal="right" wrapText="1"/>
    </xf>
    <xf numFmtId="0" fontId="21" fillId="3" borderId="0" xfId="0" applyFont="1" applyFill="1" applyBorder="1" applyAlignment="1">
      <alignment wrapText="1"/>
    </xf>
    <xf numFmtId="2" fontId="0" fillId="3" borderId="0" xfId="1" applyNumberFormat="1" applyFont="1" applyFill="1" applyBorder="1"/>
    <xf numFmtId="2" fontId="14" fillId="3" borderId="0" xfId="1" applyNumberFormat="1" applyFont="1" applyFill="1" applyBorder="1"/>
    <xf numFmtId="165" fontId="0" fillId="3" borderId="0" xfId="2" applyNumberFormat="1" applyFont="1" applyFill="1" applyBorder="1"/>
    <xf numFmtId="0" fontId="0" fillId="3" borderId="10" xfId="0" applyFill="1" applyBorder="1"/>
    <xf numFmtId="2" fontId="0" fillId="3" borderId="0" xfId="0" applyNumberFormat="1" applyFill="1"/>
    <xf numFmtId="0" fontId="0" fillId="3" borderId="0" xfId="0" applyFill="1" applyBorder="1"/>
    <xf numFmtId="9" fontId="10" fillId="3" borderId="0" xfId="2" applyNumberFormat="1" applyFont="1" applyFill="1" applyBorder="1"/>
    <xf numFmtId="165" fontId="10" fillId="3" borderId="0" xfId="2" applyNumberFormat="1" applyFont="1" applyFill="1" applyBorder="1"/>
    <xf numFmtId="0" fontId="22" fillId="3" borderId="0" xfId="0" applyFont="1" applyFill="1" applyBorder="1" applyAlignment="1">
      <alignment horizontal="left" indent="1"/>
    </xf>
    <xf numFmtId="0" fontId="22" fillId="3" borderId="10" xfId="0" applyFont="1" applyFill="1" applyBorder="1" applyAlignment="1">
      <alignment horizontal="left" indent="1"/>
    </xf>
    <xf numFmtId="9" fontId="10" fillId="3" borderId="11" xfId="2" applyNumberFormat="1" applyFont="1" applyFill="1" applyBorder="1"/>
    <xf numFmtId="9" fontId="10" fillId="3" borderId="2" xfId="2" applyNumberFormat="1" applyFont="1" applyFill="1" applyBorder="1"/>
    <xf numFmtId="165" fontId="10" fillId="3" borderId="2" xfId="2" applyNumberFormat="1" applyFont="1" applyFill="1" applyBorder="1"/>
    <xf numFmtId="2" fontId="0" fillId="3" borderId="10" xfId="0" applyNumberFormat="1" applyFill="1" applyBorder="1"/>
    <xf numFmtId="2" fontId="10" fillId="3" borderId="0" xfId="1" applyNumberFormat="1" applyFont="1" applyFill="1" applyBorder="1"/>
    <xf numFmtId="9" fontId="0" fillId="3" borderId="0" xfId="2" applyNumberFormat="1" applyFont="1" applyFill="1"/>
    <xf numFmtId="165" fontId="0" fillId="3" borderId="0" xfId="2" applyNumberFormat="1" applyFont="1" applyFill="1"/>
    <xf numFmtId="10" fontId="0" fillId="3" borderId="0" xfId="2" applyNumberFormat="1" applyFont="1" applyFill="1"/>
    <xf numFmtId="10" fontId="0" fillId="3" borderId="0" xfId="0" applyNumberFormat="1" applyFill="1"/>
    <xf numFmtId="10" fontId="8" fillId="3" borderId="0" xfId="2" applyNumberFormat="1" applyFont="1" applyFill="1" applyBorder="1"/>
    <xf numFmtId="166" fontId="13" fillId="3" borderId="0" xfId="0" applyNumberFormat="1" applyFont="1" applyFill="1" applyBorder="1"/>
    <xf numFmtId="0" fontId="13" fillId="3" borderId="0" xfId="0" applyFont="1" applyFill="1" applyBorder="1"/>
    <xf numFmtId="1" fontId="13" fillId="3" borderId="0" xfId="2" applyNumberFormat="1" applyFont="1" applyFill="1"/>
    <xf numFmtId="167" fontId="0" fillId="3" borderId="0" xfId="1" applyNumberFormat="1" applyFont="1" applyFill="1" applyBorder="1"/>
    <xf numFmtId="1" fontId="11" fillId="3" borderId="0" xfId="1" applyNumberFormat="1" applyFont="1" applyFill="1" applyBorder="1"/>
    <xf numFmtId="1" fontId="0" fillId="3" borderId="0" xfId="1" applyNumberFormat="1" applyFont="1" applyFill="1" applyBorder="1"/>
    <xf numFmtId="1" fontId="0" fillId="3" borderId="11" xfId="0" applyNumberFormat="1" applyFill="1" applyBorder="1"/>
    <xf numFmtId="1" fontId="0" fillId="3" borderId="2" xfId="0" applyNumberFormat="1" applyFill="1" applyBorder="1"/>
    <xf numFmtId="1" fontId="0" fillId="3" borderId="10" xfId="1" applyNumberFormat="1" applyFont="1" applyFill="1" applyBorder="1"/>
    <xf numFmtId="1" fontId="0" fillId="3" borderId="0" xfId="0" applyNumberFormat="1" applyFill="1" applyBorder="1"/>
    <xf numFmtId="1" fontId="0" fillId="3" borderId="10" xfId="0" applyNumberFormat="1" applyFill="1" applyBorder="1"/>
    <xf numFmtId="0" fontId="17" fillId="3" borderId="0" xfId="0" applyFont="1" applyFill="1" applyBorder="1" applyAlignment="1">
      <alignment horizontal="left" indent="1"/>
    </xf>
    <xf numFmtId="0" fontId="17" fillId="3" borderId="10" xfId="0" applyFont="1" applyFill="1" applyBorder="1" applyAlignment="1">
      <alignment horizontal="left" indent="1"/>
    </xf>
    <xf numFmtId="1" fontId="14" fillId="3" borderId="0" xfId="0" applyNumberFormat="1" applyFont="1" applyFill="1"/>
    <xf numFmtId="1" fontId="13" fillId="3" borderId="0" xfId="0" applyNumberFormat="1" applyFont="1" applyFill="1"/>
    <xf numFmtId="0" fontId="0" fillId="3" borderId="2" xfId="0" applyFill="1" applyBorder="1"/>
    <xf numFmtId="0" fontId="0" fillId="3" borderId="11" xfId="0" applyFill="1" applyBorder="1"/>
    <xf numFmtId="0" fontId="0" fillId="3" borderId="3" xfId="0" applyFill="1" applyBorder="1"/>
    <xf numFmtId="0" fontId="0" fillId="3" borderId="12" xfId="0" applyFill="1" applyBorder="1"/>
    <xf numFmtId="1" fontId="0" fillId="3" borderId="3" xfId="0" applyNumberFormat="1" applyFill="1" applyBorder="1"/>
    <xf numFmtId="0" fontId="16" fillId="3" borderId="10" xfId="0" applyFont="1" applyFill="1" applyBorder="1"/>
    <xf numFmtId="2" fontId="15" fillId="3" borderId="0" xfId="0" applyNumberFormat="1" applyFont="1" applyFill="1"/>
    <xf numFmtId="165" fontId="16" fillId="3" borderId="10" xfId="2" applyNumberFormat="1" applyFont="1" applyFill="1" applyBorder="1" applyAlignment="1">
      <alignment horizontal="center"/>
    </xf>
    <xf numFmtId="1" fontId="0" fillId="3" borderId="0" xfId="0" applyNumberFormat="1" applyFill="1"/>
    <xf numFmtId="1" fontId="9" fillId="3" borderId="10" xfId="0" applyNumberFormat="1" applyFont="1" applyFill="1" applyBorder="1"/>
    <xf numFmtId="1" fontId="9" fillId="3" borderId="0" xfId="0" applyNumberFormat="1" applyFont="1" applyFill="1"/>
    <xf numFmtId="0" fontId="0" fillId="3" borderId="7" xfId="0" applyFill="1" applyBorder="1"/>
    <xf numFmtId="1" fontId="0" fillId="3" borderId="9" xfId="0" applyNumberFormat="1" applyFill="1" applyBorder="1"/>
    <xf numFmtId="1" fontId="0" fillId="3" borderId="7" xfId="0" applyNumberFormat="1" applyFill="1" applyBorder="1"/>
    <xf numFmtId="0" fontId="16" fillId="3" borderId="0" xfId="0" applyFont="1" applyFill="1"/>
    <xf numFmtId="1" fontId="16" fillId="3" borderId="0" xfId="0" applyNumberFormat="1" applyFont="1" applyFill="1"/>
    <xf numFmtId="0" fontId="0" fillId="3" borderId="8" xfId="0" applyFill="1" applyBorder="1"/>
    <xf numFmtId="1" fontId="0" fillId="3" borderId="0" xfId="2" applyNumberFormat="1" applyFont="1" applyFill="1"/>
    <xf numFmtId="0" fontId="19" fillId="4" borderId="1" xfId="0" applyFont="1" applyFill="1" applyBorder="1" applyAlignment="1">
      <alignment wrapText="1"/>
    </xf>
    <xf numFmtId="0" fontId="0" fillId="3" borderId="0" xfId="0" quotePrefix="1" applyFill="1"/>
    <xf numFmtId="165" fontId="3" fillId="3" borderId="0" xfId="0" applyNumberFormat="1" applyFont="1" applyFill="1"/>
    <xf numFmtId="165" fontId="3" fillId="3" borderId="0" xfId="2" applyNumberFormat="1" applyFont="1" applyFill="1" applyBorder="1"/>
    <xf numFmtId="1" fontId="2" fillId="3" borderId="0" xfId="2" applyNumberFormat="1" applyFont="1" applyFill="1"/>
    <xf numFmtId="1" fontId="2" fillId="3" borderId="0" xfId="0" applyNumberFormat="1" applyFont="1" applyFill="1" applyBorder="1"/>
    <xf numFmtId="0" fontId="0" fillId="3" borderId="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3" borderId="14" xfId="0" applyFont="1" applyFill="1" applyBorder="1"/>
    <xf numFmtId="0" fontId="13" fillId="3" borderId="14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</cellXfs>
  <cellStyles count="11">
    <cellStyle name="Обычный" xfId="0" builtinId="0"/>
    <cellStyle name="Обычный 2" xfId="3"/>
    <cellStyle name="Обычный 3" xfId="6"/>
    <cellStyle name="Обычный 4" xfId="8"/>
    <cellStyle name="Обычный 7" xfId="10"/>
    <cellStyle name="Обычный 8" xfId="9"/>
    <cellStyle name="Процентный" xfId="2" builtinId="5"/>
    <cellStyle name="Процентный 2" xfId="5"/>
    <cellStyle name="Процентный 3" xfId="7"/>
    <cellStyle name="Финансовый" xfId="1" builtinId="3"/>
    <cellStyle name="Финансовый 2" xfId="4"/>
  </cellStyles>
  <dxfs count="0"/>
  <tableStyles count="0" defaultTableStyle="TableStyleMedium2" defaultPivotStyle="PivotStyleMedium9"/>
  <colors>
    <mruColors>
      <color rgb="FFD8D8D8"/>
      <color rgb="FFB1C5FA"/>
      <color rgb="FFFF7B75"/>
      <color rgb="FF333333"/>
      <color rgb="FFAFAFAF"/>
      <color rgb="FFFFFB2D"/>
      <color rgb="FFB0D8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Calculation!$B$41</c:f>
              <c:strCache>
                <c:ptCount val="1"/>
                <c:pt idx="0">
                  <c:v>accnt_CUR</c:v>
                </c:pt>
              </c:strCache>
            </c:strRef>
          </c:tx>
          <c:spPr>
            <a:solidFill>
              <a:srgbClr val="AFAFAF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Calculation!$C$41:$AA$41</c:f>
              <c:numCache>
                <c:formatCode>0.0%</c:formatCode>
                <c:ptCount val="25"/>
                <c:pt idx="0" formatCode="0%">
                  <c:v>1</c:v>
                </c:pt>
                <c:pt idx="1">
                  <c:v>0.87038949593936832</c:v>
                </c:pt>
                <c:pt idx="2">
                  <c:v>0.83880806823710341</c:v>
                </c:pt>
                <c:pt idx="3">
                  <c:v>0.80871308216041293</c:v>
                </c:pt>
                <c:pt idx="4">
                  <c:v>0.77490997989810739</c:v>
                </c:pt>
                <c:pt idx="5">
                  <c:v>0.74584085709814685</c:v>
                </c:pt>
                <c:pt idx="6">
                  <c:v>0.71689191531991492</c:v>
                </c:pt>
                <c:pt idx="7">
                  <c:v>0.68827036538755992</c:v>
                </c:pt>
                <c:pt idx="8">
                  <c:v>0.66013341663950087</c:v>
                </c:pt>
                <c:pt idx="9">
                  <c:v>0.63260320403009185</c:v>
                </c:pt>
                <c:pt idx="10">
                  <c:v>0.60577530465054585</c:v>
                </c:pt>
                <c:pt idx="11">
                  <c:v>0.57972416582432451</c:v>
                </c:pt>
                <c:pt idx="12">
                  <c:v>0.55450688091931699</c:v>
                </c:pt>
                <c:pt idx="13">
                  <c:v>0.53016600436500194</c:v>
                </c:pt>
                <c:pt idx="14">
                  <c:v>0.50673176661361641</c:v>
                </c:pt>
                <c:pt idx="15">
                  <c:v>0.48422388933284483</c:v>
                </c:pt>
                <c:pt idx="16">
                  <c:v>0.46265311781608914</c:v>
                </c:pt>
                <c:pt idx="17">
                  <c:v>0.44202254199851043</c:v>
                </c:pt>
                <c:pt idx="18">
                  <c:v>0.42232875144981763</c:v>
                </c:pt>
                <c:pt idx="19">
                  <c:v>0.40356285437836847</c:v>
                </c:pt>
                <c:pt idx="20">
                  <c:v>0.38571138140614569</c:v>
                </c:pt>
                <c:pt idx="21">
                  <c:v>0.3687570891488578</c:v>
                </c:pt>
                <c:pt idx="22">
                  <c:v>0.35267967503977599</c:v>
                </c:pt>
                <c:pt idx="23">
                  <c:v>0.33745641254058478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71-4F5D-960C-417CB480B651}"/>
            </c:ext>
          </c:extLst>
        </c:ser>
        <c:ser>
          <c:idx val="1"/>
          <c:order val="1"/>
          <c:tx>
            <c:strRef>
              <c:f>Calculation!$B$42</c:f>
              <c:strCache>
                <c:ptCount val="1"/>
                <c:pt idx="0">
                  <c:v>accnt_DLQ</c:v>
                </c:pt>
              </c:strCache>
            </c:strRef>
          </c:tx>
          <c:spPr>
            <a:solidFill>
              <a:srgbClr val="FF7B75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Calculation!$C$42:$AA$42</c:f>
              <c:numCache>
                <c:formatCode>0.0%</c:formatCode>
                <c:ptCount val="25"/>
                <c:pt idx="0" formatCode="0%">
                  <c:v>0</c:v>
                </c:pt>
                <c:pt idx="1">
                  <c:v>9.0977361855557215E-2</c:v>
                </c:pt>
                <c:pt idx="2">
                  <c:v>0.10308424378134776</c:v>
                </c:pt>
                <c:pt idx="3">
                  <c:v>0.11219778588880508</c:v>
                </c:pt>
                <c:pt idx="4">
                  <c:v>9.5137314336294798E-2</c:v>
                </c:pt>
                <c:pt idx="5">
                  <c:v>9.6332124434444125E-2</c:v>
                </c:pt>
                <c:pt idx="6">
                  <c:v>9.7066350471085458E-2</c:v>
                </c:pt>
                <c:pt idx="7">
                  <c:v>9.7380145061124593E-2</c:v>
                </c:pt>
                <c:pt idx="8">
                  <c:v>9.7311828046141566E-2</c:v>
                </c:pt>
                <c:pt idx="9">
                  <c:v>9.6898384131500412E-2</c:v>
                </c:pt>
                <c:pt idx="10">
                  <c:v>9.6175545347815306E-2</c:v>
                </c:pt>
                <c:pt idx="11">
                  <c:v>9.5177716120661851E-2</c:v>
                </c:pt>
                <c:pt idx="12">
                  <c:v>9.3937846083589141E-2</c:v>
                </c:pt>
                <c:pt idx="13">
                  <c:v>9.2487297262935031E-2</c:v>
                </c:pt>
                <c:pt idx="14">
                  <c:v>9.0855726951205348E-2</c:v>
                </c:pt>
                <c:pt idx="15">
                  <c:v>8.9070995592952909E-2</c:v>
                </c:pt>
                <c:pt idx="16">
                  <c:v>8.7159102930431442E-2</c:v>
                </c:pt>
                <c:pt idx="17">
                  <c:v>8.5144152438464835E-2</c:v>
                </c:pt>
                <c:pt idx="18">
                  <c:v>8.3048342344717488E-2</c:v>
                </c:pt>
                <c:pt idx="19">
                  <c:v>8.0891980618602838E-2</c:v>
                </c:pt>
                <c:pt idx="20">
                  <c:v>7.8693520876578382E-2</c:v>
                </c:pt>
                <c:pt idx="21">
                  <c:v>7.6469616005454474E-2</c:v>
                </c:pt>
                <c:pt idx="22">
                  <c:v>7.4235186339181358E-2</c:v>
                </c:pt>
                <c:pt idx="23">
                  <c:v>7.200349937121317E-2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71-4F5D-960C-417CB480B651}"/>
            </c:ext>
          </c:extLst>
        </c:ser>
        <c:ser>
          <c:idx val="2"/>
          <c:order val="2"/>
          <c:tx>
            <c:strRef>
              <c:f>Calculation!$B$43</c:f>
              <c:strCache>
                <c:ptCount val="1"/>
                <c:pt idx="0">
                  <c:v>accnt_CLO</c:v>
                </c:pt>
              </c:strCache>
            </c:strRef>
          </c:tx>
          <c:spPr>
            <a:solidFill>
              <a:srgbClr val="B1C5FA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Calculation!$C$43:$AA$43</c:f>
              <c:numCache>
                <c:formatCode>0.0%</c:formatCode>
                <c:ptCount val="25"/>
                <c:pt idx="0" formatCode="0%">
                  <c:v>0</c:v>
                </c:pt>
                <c:pt idx="1">
                  <c:v>3.863314220507455E-2</c:v>
                </c:pt>
                <c:pt idx="2">
                  <c:v>5.8107687981548903E-2</c:v>
                </c:pt>
                <c:pt idx="3">
                  <c:v>7.9089131950782043E-2</c:v>
                </c:pt>
                <c:pt idx="4">
                  <c:v>0.10074544052218617</c:v>
                </c:pt>
                <c:pt idx="5">
                  <c:v>0.121996000047479</c:v>
                </c:pt>
                <c:pt idx="6">
                  <c:v>0.14317341225233035</c:v>
                </c:pt>
                <c:pt idx="7">
                  <c:v>0.16413042952254109</c:v>
                </c:pt>
                <c:pt idx="8">
                  <c:v>0.18476416220989186</c:v>
                </c:pt>
                <c:pt idx="9">
                  <c:v>0.20500050937786793</c:v>
                </c:pt>
                <c:pt idx="10">
                  <c:v>0.22478554182363633</c:v>
                </c:pt>
                <c:pt idx="11">
                  <c:v>0.24408024257347372</c:v>
                </c:pt>
                <c:pt idx="12">
                  <c:v>0.26285704601667209</c:v>
                </c:pt>
                <c:pt idx="13">
                  <c:v>0.28109742040865643</c:v>
                </c:pt>
                <c:pt idx="14">
                  <c:v>0.29879009581880905</c:v>
                </c:pt>
                <c:pt idx="15">
                  <c:v>0.31592971357112637</c:v>
                </c:pt>
                <c:pt idx="16">
                  <c:v>0.33251576417504514</c:v>
                </c:pt>
                <c:pt idx="17">
                  <c:v>0.34855173110136967</c:v>
                </c:pt>
                <c:pt idx="18">
                  <c:v>0.36404438699065789</c:v>
                </c:pt>
                <c:pt idx="19">
                  <c:v>0.37900320653621167</c:v>
                </c:pt>
                <c:pt idx="20">
                  <c:v>0.39343987131231534</c:v>
                </c:pt>
                <c:pt idx="21">
                  <c:v>0.4073678489126652</c:v>
                </c:pt>
                <c:pt idx="22">
                  <c:v>0.42080203344823369</c:v>
                </c:pt>
                <c:pt idx="23">
                  <c:v>0.43375843762177074</c:v>
                </c:pt>
                <c:pt idx="24">
                  <c:v>0.83910290137853016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71-4F5D-960C-417CB480B651}"/>
            </c:ext>
          </c:extLst>
        </c:ser>
        <c:ser>
          <c:idx val="3"/>
          <c:order val="3"/>
          <c:tx>
            <c:strRef>
              <c:f>Calculation!$B$44</c:f>
              <c:strCache>
                <c:ptCount val="1"/>
                <c:pt idx="0">
                  <c:v>accnt_DEF</c:v>
                </c:pt>
              </c:strCache>
            </c:strRef>
          </c:tx>
          <c:spPr>
            <a:solidFill>
              <a:srgbClr val="333333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Calculation!$C$44:$AA$44</c:f>
              <c:numCache>
                <c:formatCode>0.0%</c:formatCode>
                <c:ptCount val="25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2.9207265243411714E-2</c:v>
                </c:pt>
                <c:pt idx="5">
                  <c:v>3.5831018419929972E-2</c:v>
                </c:pt>
                <c:pt idx="6">
                  <c:v>4.2868321956669279E-2</c:v>
                </c:pt>
                <c:pt idx="7">
                  <c:v>5.0219060028774361E-2</c:v>
                </c:pt>
                <c:pt idx="8">
                  <c:v>5.7790593104465625E-2</c:v>
                </c:pt>
                <c:pt idx="9">
                  <c:v>6.5497902460539756E-2</c:v>
                </c:pt>
                <c:pt idx="10">
                  <c:v>7.3263608178002454E-2</c:v>
                </c:pt>
                <c:pt idx="11">
                  <c:v>8.1017875481539908E-2</c:v>
                </c:pt>
                <c:pt idx="12">
                  <c:v>8.8698226980421777E-2</c:v>
                </c:pt>
                <c:pt idx="13">
                  <c:v>9.6249277963406682E-2</c:v>
                </c:pt>
                <c:pt idx="14">
                  <c:v>0.10362241061636927</c:v>
                </c:pt>
                <c:pt idx="15">
                  <c:v>0.11077540150307587</c:v>
                </c:pt>
                <c:pt idx="16">
                  <c:v>0.11767201507843429</c:v>
                </c:pt>
                <c:pt idx="17">
                  <c:v>0.12428157446165509</c:v>
                </c:pt>
                <c:pt idx="18">
                  <c:v>0.13057851921480698</c:v>
                </c:pt>
                <c:pt idx="19">
                  <c:v>0.13654195846681705</c:v>
                </c:pt>
                <c:pt idx="20">
                  <c:v>0.14215522640496056</c:v>
                </c:pt>
                <c:pt idx="21">
                  <c:v>0.14740544593302246</c:v>
                </c:pt>
                <c:pt idx="22">
                  <c:v>0.15228310517280896</c:v>
                </c:pt>
                <c:pt idx="23">
                  <c:v>0.1567816504664313</c:v>
                </c:pt>
                <c:pt idx="24">
                  <c:v>0.16089709862146986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71-4F5D-960C-417CB480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2544"/>
        <c:axId val="137466624"/>
      </c:areaChart>
      <c:catAx>
        <c:axId val="1374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466624"/>
        <c:crosses val="autoZero"/>
        <c:auto val="1"/>
        <c:lblAlgn val="ctr"/>
        <c:lblOffset val="100"/>
        <c:noMultiLvlLbl val="0"/>
      </c:catAx>
      <c:valAx>
        <c:axId val="137466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4525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solidFill>
      <a:srgbClr val="D8D8D8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Calculation_hw_xsore16!$B$44</c:f>
              <c:strCache>
                <c:ptCount val="1"/>
                <c:pt idx="0">
                  <c:v>accnt_CUR</c:v>
                </c:pt>
              </c:strCache>
            </c:strRef>
          </c:tx>
          <c:spPr>
            <a:solidFill>
              <a:srgbClr val="AFAFAF"/>
            </a:solidFill>
          </c:spPr>
          <c:cat>
            <c:numRef>
              <c:f>Calculation_hw_xsore16!$C$34:$AA$34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Calculation_hw_xsore16!$C$44:$AA$44</c:f>
              <c:numCache>
                <c:formatCode>0.0%</c:formatCode>
                <c:ptCount val="25"/>
                <c:pt idx="0" formatCode="0%">
                  <c:v>1</c:v>
                </c:pt>
                <c:pt idx="1">
                  <c:v>0.8892696907358375</c:v>
                </c:pt>
                <c:pt idx="2">
                  <c:v>0.85627913231655728</c:v>
                </c:pt>
                <c:pt idx="3">
                  <c:v>0.82636486275000465</c:v>
                </c:pt>
                <c:pt idx="4">
                  <c:v>0.79726905298620054</c:v>
                </c:pt>
                <c:pt idx="5">
                  <c:v>0.76810816867508391</c:v>
                </c:pt>
                <c:pt idx="6">
                  <c:v>0.73945223489604628</c:v>
                </c:pt>
                <c:pt idx="7">
                  <c:v>0.71133802469069285</c:v>
                </c:pt>
                <c:pt idx="8">
                  <c:v>0.68379803628402047</c:v>
                </c:pt>
                <c:pt idx="9">
                  <c:v>0.65686063510148252</c:v>
                </c:pt>
                <c:pt idx="10">
                  <c:v>0.63055021246261167</c:v>
                </c:pt>
                <c:pt idx="11">
                  <c:v>0.60488735819954575</c:v>
                </c:pt>
                <c:pt idx="12">
                  <c:v>0.57988904454792756</c:v>
                </c:pt>
                <c:pt idx="13">
                  <c:v>0.55556881877961672</c:v>
                </c:pt>
                <c:pt idx="14">
                  <c:v>0.53193700218772344</c:v>
                </c:pt>
                <c:pt idx="15">
                  <c:v>0.50900089319090447</c:v>
                </c:pt>
                <c:pt idx="16">
                  <c:v>0.48676497249200473</c:v>
                </c:pt>
                <c:pt idx="17">
                  <c:v>0.46523110840261073</c:v>
                </c:pt>
                <c:pt idx="18">
                  <c:v>0.44439876062665101</c:v>
                </c:pt>
                <c:pt idx="19">
                  <c:v>0.42426518097982935</c:v>
                </c:pt>
                <c:pt idx="20">
                  <c:v>0.40482560970478582</c:v>
                </c:pt>
                <c:pt idx="21">
                  <c:v>0.38607346622192906</c:v>
                </c:pt>
                <c:pt idx="22">
                  <c:v>0.36800053333085053</c:v>
                </c:pt>
                <c:pt idx="23">
                  <c:v>0.35059713404522058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71-4F5D-960C-417CB480B651}"/>
            </c:ext>
          </c:extLst>
        </c:ser>
        <c:ser>
          <c:idx val="1"/>
          <c:order val="1"/>
          <c:tx>
            <c:strRef>
              <c:f>Calculation_hw_xsore16!$B$45</c:f>
              <c:strCache>
                <c:ptCount val="1"/>
                <c:pt idx="0">
                  <c:v>accnt_DLQ</c:v>
                </c:pt>
              </c:strCache>
            </c:strRef>
          </c:tx>
          <c:spPr>
            <a:solidFill>
              <a:srgbClr val="FF7B75"/>
            </a:solidFill>
          </c:spPr>
          <c:cat>
            <c:numRef>
              <c:f>Calculation_hw_xsore16!$C$34:$AA$34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Calculation_hw_xsore16!$C$45:$AA$45</c:f>
              <c:numCache>
                <c:formatCode>0.0%</c:formatCode>
                <c:ptCount val="25"/>
                <c:pt idx="0" formatCode="0%">
                  <c:v>0</c:v>
                </c:pt>
                <c:pt idx="1">
                  <c:v>7.3006570855990785E-2</c:v>
                </c:pt>
                <c:pt idx="2">
                  <c:v>8.2680163571919929E-2</c:v>
                </c:pt>
                <c:pt idx="3">
                  <c:v>8.9606754287523974E-2</c:v>
                </c:pt>
                <c:pt idx="4">
                  <c:v>7.311963937257708E-2</c:v>
                </c:pt>
                <c:pt idx="5">
                  <c:v>7.6159947072761941E-2</c:v>
                </c:pt>
                <c:pt idx="6">
                  <c:v>7.8561131974738657E-2</c:v>
                </c:pt>
                <c:pt idx="7">
                  <c:v>8.0357129880219924E-2</c:v>
                </c:pt>
                <c:pt idx="8">
                  <c:v>8.1583311451518689E-2</c:v>
                </c:pt>
                <c:pt idx="9">
                  <c:v>8.2276130529423619E-2</c:v>
                </c:pt>
                <c:pt idx="10">
                  <c:v>8.2472786241336235E-2</c:v>
                </c:pt>
                <c:pt idx="11">
                  <c:v>8.2210901338759454E-2</c:v>
                </c:pt>
                <c:pt idx="12">
                  <c:v>8.1528218847282244E-2</c:v>
                </c:pt>
                <c:pt idx="13">
                  <c:v>8.0462318755790435E-2</c:v>
                </c:pt>
                <c:pt idx="14">
                  <c:v>7.9050356119753223E-2</c:v>
                </c:pt>
                <c:pt idx="15">
                  <c:v>7.7328821610734538E-2</c:v>
                </c:pt>
                <c:pt idx="16">
                  <c:v>7.5333325214876637E-2</c:v>
                </c:pt>
                <c:pt idx="17">
                  <c:v>7.3098403470488044E-2</c:v>
                </c:pt>
                <c:pt idx="18">
                  <c:v>7.0657350342102451E-2</c:v>
                </c:pt>
                <c:pt idx="19">
                  <c:v>6.8042071557900707E-2</c:v>
                </c:pt>
                <c:pt idx="20">
                  <c:v>6.5282961991036573E-2</c:v>
                </c:pt>
                <c:pt idx="21">
                  <c:v>6.2408805444659286E-2</c:v>
                </c:pt>
                <c:pt idx="22">
                  <c:v>5.9446696006006786E-2</c:v>
                </c:pt>
                <c:pt idx="23">
                  <c:v>5.6421979967357296E-2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71-4F5D-960C-417CB480B651}"/>
            </c:ext>
          </c:extLst>
        </c:ser>
        <c:ser>
          <c:idx val="2"/>
          <c:order val="2"/>
          <c:tx>
            <c:strRef>
              <c:f>Calculation_hw_xsore16!$B$46</c:f>
              <c:strCache>
                <c:ptCount val="1"/>
                <c:pt idx="0">
                  <c:v>accnt_CLO</c:v>
                </c:pt>
              </c:strCache>
            </c:strRef>
          </c:tx>
          <c:spPr>
            <a:solidFill>
              <a:srgbClr val="B1C5FA"/>
            </a:solidFill>
          </c:spPr>
          <c:cat>
            <c:numRef>
              <c:f>Calculation_hw_xsore16!$C$34:$AA$34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Calculation_hw_xsore16!$C$46:$AA$46</c:f>
              <c:numCache>
                <c:formatCode>0.0%</c:formatCode>
                <c:ptCount val="25"/>
                <c:pt idx="0" formatCode="0%">
                  <c:v>0</c:v>
                </c:pt>
                <c:pt idx="1">
                  <c:v>3.7723738408171698E-2</c:v>
                </c:pt>
                <c:pt idx="2">
                  <c:v>6.1040704111522834E-2</c:v>
                </c:pt>
                <c:pt idx="3">
                  <c:v>8.4028382962471365E-2</c:v>
                </c:pt>
                <c:pt idx="4">
                  <c:v>0.10672769871968611</c:v>
                </c:pt>
                <c:pt idx="5">
                  <c:v>0.12860043181526212</c:v>
                </c:pt>
                <c:pt idx="6">
                  <c:v>0.15015170699834995</c:v>
                </c:pt>
                <c:pt idx="7">
                  <c:v>0.17139704882853338</c:v>
                </c:pt>
                <c:pt idx="8">
                  <c:v>0.19234984864122784</c:v>
                </c:pt>
                <c:pt idx="9">
                  <c:v>0.21302140216681131</c:v>
                </c:pt>
                <c:pt idx="10">
                  <c:v>0.23342096731228901</c:v>
                </c:pt>
                <c:pt idx="11">
                  <c:v>0.25355584009234422</c:v>
                </c:pt>
                <c:pt idx="12">
                  <c:v>0.27343144662050339</c:v>
                </c:pt>
                <c:pt idx="13">
                  <c:v>0.29305144902698999</c:v>
                </c:pt>
                <c:pt idx="14">
                  <c:v>0.31241786315598075</c:v>
                </c:pt>
                <c:pt idx="15">
                  <c:v>0.33153118590938857</c:v>
                </c:pt>
                <c:pt idx="16">
                  <c:v>0.35039053014469507</c:v>
                </c:pt>
                <c:pt idx="17">
                  <c:v>0.36899376509823079</c:v>
                </c:pt>
                <c:pt idx="18">
                  <c:v>0.38733766038998718</c:v>
                </c:pt>
                <c:pt idx="19">
                  <c:v>0.40541803176878116</c:v>
                </c:pt>
                <c:pt idx="20">
                  <c:v>0.42322988687455704</c:v>
                </c:pt>
                <c:pt idx="21">
                  <c:v>0.4407675694249949</c:v>
                </c:pt>
                <c:pt idx="22">
                  <c:v>0.45802490037362975</c:v>
                </c:pt>
                <c:pt idx="23">
                  <c:v>0.47499531473369033</c:v>
                </c:pt>
                <c:pt idx="24">
                  <c:v>0.87888251048763943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71-4F5D-960C-417CB480B651}"/>
            </c:ext>
          </c:extLst>
        </c:ser>
        <c:ser>
          <c:idx val="3"/>
          <c:order val="3"/>
          <c:tx>
            <c:strRef>
              <c:f>Calculation_hw_xsore16!$B$47</c:f>
              <c:strCache>
                <c:ptCount val="1"/>
                <c:pt idx="0">
                  <c:v>accnt_DEF</c:v>
                </c:pt>
              </c:strCache>
            </c:strRef>
          </c:tx>
          <c:spPr>
            <a:solidFill>
              <a:srgbClr val="333333"/>
            </a:solidFill>
          </c:spPr>
          <c:cat>
            <c:numRef>
              <c:f>Calculation_hw_xsore16!$C$34:$AA$34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Calculation_hw_xsore16!$C$47:$AA$47</c:f>
              <c:numCache>
                <c:formatCode>0.0%</c:formatCode>
                <c:ptCount val="25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2.2883608921536309E-2</c:v>
                </c:pt>
                <c:pt idx="5">
                  <c:v>2.7131452436891954E-2</c:v>
                </c:pt>
                <c:pt idx="6">
                  <c:v>3.1834926130864971E-2</c:v>
                </c:pt>
                <c:pt idx="7">
                  <c:v>3.6907796600553884E-2</c:v>
                </c:pt>
                <c:pt idx="8">
                  <c:v>4.2268803623233063E-2</c:v>
                </c:pt>
                <c:pt idx="9">
                  <c:v>4.784183220228256E-2</c:v>
                </c:pt>
                <c:pt idx="10">
                  <c:v>5.3556033983763046E-2</c:v>
                </c:pt>
                <c:pt idx="11">
                  <c:v>5.9345900369350661E-2</c:v>
                </c:pt>
                <c:pt idx="12">
                  <c:v>6.5151289984286848E-2</c:v>
                </c:pt>
                <c:pt idx="13">
                  <c:v>7.0917413437602786E-2</c:v>
                </c:pt>
                <c:pt idx="14">
                  <c:v>7.659477853654266E-2</c:v>
                </c:pt>
                <c:pt idx="15">
                  <c:v>8.2139099288972423E-2</c:v>
                </c:pt>
                <c:pt idx="16">
                  <c:v>8.7511172148423536E-2</c:v>
                </c:pt>
                <c:pt idx="17">
                  <c:v>9.2676723028670513E-2</c:v>
                </c:pt>
                <c:pt idx="18">
                  <c:v>9.7606228641259285E-2</c:v>
                </c:pt>
                <c:pt idx="19">
                  <c:v>0.10227471569348882</c:v>
                </c:pt>
                <c:pt idx="20">
                  <c:v>0.10666154142962062</c:v>
                </c:pt>
                <c:pt idx="21">
                  <c:v>0.11075015890841675</c:v>
                </c:pt>
                <c:pt idx="22">
                  <c:v>0.11452787028951296</c:v>
                </c:pt>
                <c:pt idx="23">
                  <c:v>0.11798557125373174</c:v>
                </c:pt>
                <c:pt idx="24">
                  <c:v>0.12111748951236054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71-4F5D-960C-417CB480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26368"/>
        <c:axId val="220027904"/>
      </c:areaChart>
      <c:catAx>
        <c:axId val="2200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027904"/>
        <c:crosses val="autoZero"/>
        <c:auto val="1"/>
        <c:lblAlgn val="ctr"/>
        <c:lblOffset val="100"/>
        <c:noMultiLvlLbl val="0"/>
      </c:catAx>
      <c:valAx>
        <c:axId val="220027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0026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solidFill>
      <a:srgbClr val="D8D8D8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Calculation_hw_xsore14!$B$44</c:f>
              <c:strCache>
                <c:ptCount val="1"/>
                <c:pt idx="0">
                  <c:v>accnt_CUR</c:v>
                </c:pt>
              </c:strCache>
            </c:strRef>
          </c:tx>
          <c:spPr>
            <a:solidFill>
              <a:srgbClr val="AFAFAF"/>
            </a:solidFill>
          </c:spPr>
          <c:cat>
            <c:numRef>
              <c:f>Calculation_hw_xsore14!$C$34:$AA$34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Calculation_hw_xsore14!$C$44:$AA$44</c:f>
              <c:numCache>
                <c:formatCode>0.0%</c:formatCode>
                <c:ptCount val="25"/>
                <c:pt idx="0" formatCode="0%">
                  <c:v>1</c:v>
                </c:pt>
                <c:pt idx="1">
                  <c:v>0.89358414147791154</c:v>
                </c:pt>
                <c:pt idx="2">
                  <c:v>0.8629036998379811</c:v>
                </c:pt>
                <c:pt idx="3">
                  <c:v>0.83514575250481859</c:v>
                </c:pt>
                <c:pt idx="4">
                  <c:v>0.80810765836894438</c:v>
                </c:pt>
                <c:pt idx="5">
                  <c:v>0.780784930953484</c:v>
                </c:pt>
                <c:pt idx="6">
                  <c:v>0.75380903412951183</c:v>
                </c:pt>
                <c:pt idx="7">
                  <c:v>0.72722055993612433</c:v>
                </c:pt>
                <c:pt idx="8">
                  <c:v>0.70105632432655141</c:v>
                </c:pt>
                <c:pt idx="9">
                  <c:v>0.67534944474331216</c:v>
                </c:pt>
                <c:pt idx="10">
                  <c:v>0.6501294361827098</c:v>
                </c:pt>
                <c:pt idx="11">
                  <c:v>0.62542232345529203</c:v>
                </c:pt>
                <c:pt idx="12">
                  <c:v>0.60125076737754235</c:v>
                </c:pt>
                <c:pt idx="13">
                  <c:v>0.57763420268302279</c:v>
                </c:pt>
                <c:pt idx="14">
                  <c:v>0.55458898551572045</c:v>
                </c:pt>
                <c:pt idx="15">
                  <c:v>0.53212854846148672</c:v>
                </c:pt>
                <c:pt idx="16">
                  <c:v>0.51026356118224092</c:v>
                </c:pt>
                <c:pt idx="17">
                  <c:v>0.48900209483921453</c:v>
                </c:pt>
                <c:pt idx="18">
                  <c:v>0.46834978862304211</c:v>
                </c:pt>
                <c:pt idx="19">
                  <c:v>0.44831001684725946</c:v>
                </c:pt>
                <c:pt idx="20">
                  <c:v>0.42888405520524853</c:v>
                </c:pt>
                <c:pt idx="21">
                  <c:v>0.41007124493638869</c:v>
                </c:pt>
                <c:pt idx="22">
                  <c:v>0.39186915379306653</c:v>
                </c:pt>
                <c:pt idx="23">
                  <c:v>0.37427373284419491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71-4F5D-960C-417CB480B651}"/>
            </c:ext>
          </c:extLst>
        </c:ser>
        <c:ser>
          <c:idx val="1"/>
          <c:order val="1"/>
          <c:tx>
            <c:strRef>
              <c:f>Calculation_hw_xsore14!$B$45</c:f>
              <c:strCache>
                <c:ptCount val="1"/>
                <c:pt idx="0">
                  <c:v>accnt_DLQ</c:v>
                </c:pt>
              </c:strCache>
            </c:strRef>
          </c:tx>
          <c:spPr>
            <a:solidFill>
              <a:srgbClr val="FF7B75"/>
            </a:solidFill>
          </c:spPr>
          <c:cat>
            <c:numRef>
              <c:f>Calculation_hw_xsore14!$C$34:$AA$34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Calculation_hw_xsore14!$C$45:$AA$45</c:f>
              <c:numCache>
                <c:formatCode>0.0%</c:formatCode>
                <c:ptCount val="25"/>
                <c:pt idx="0" formatCode="0%">
                  <c:v>0</c:v>
                </c:pt>
                <c:pt idx="1">
                  <c:v>7.3360775274613516E-2</c:v>
                </c:pt>
                <c:pt idx="2">
                  <c:v>8.3319815182701054E-2</c:v>
                </c:pt>
                <c:pt idx="3">
                  <c:v>9.0558908797176069E-2</c:v>
                </c:pt>
                <c:pt idx="4">
                  <c:v>7.4113676346569124E-2</c:v>
                </c:pt>
                <c:pt idx="5">
                  <c:v>7.7416881425956305E-2</c:v>
                </c:pt>
                <c:pt idx="6">
                  <c:v>8.0086431846844219E-2</c:v>
                </c:pt>
                <c:pt idx="7">
                  <c:v>8.2151319004440115E-2</c:v>
                </c:pt>
                <c:pt idx="8">
                  <c:v>8.3642381840409077E-2</c:v>
                </c:pt>
                <c:pt idx="9">
                  <c:v>8.4591975982987483E-2</c:v>
                </c:pt>
                <c:pt idx="10">
                  <c:v>8.5033649913608317E-2</c:v>
                </c:pt>
                <c:pt idx="11">
                  <c:v>8.5001830889114019E-2</c:v>
                </c:pt>
                <c:pt idx="12">
                  <c:v>8.4531523065877259E-2</c:v>
                </c:pt>
                <c:pt idx="13">
                  <c:v>8.3658019977836548E-2</c:v>
                </c:pt>
                <c:pt idx="14">
                  <c:v>8.2416633219357868E-2</c:v>
                </c:pt>
                <c:pt idx="15">
                  <c:v>8.0842438880601802E-2</c:v>
                </c:pt>
                <c:pt idx="16">
                  <c:v>7.8970042982035332E-2</c:v>
                </c:pt>
                <c:pt idx="17">
                  <c:v>7.6833366859760416E-2</c:v>
                </c:pt>
                <c:pt idx="18">
                  <c:v>7.4465453168060289E-2</c:v>
                </c:pt>
                <c:pt idx="19">
                  <c:v>7.1898292893130766E-2</c:v>
                </c:pt>
                <c:pt idx="20">
                  <c:v>6.9162673515007295E-2</c:v>
                </c:pt>
                <c:pt idx="21">
                  <c:v>6.6288048215603246E-2</c:v>
                </c:pt>
                <c:pt idx="22">
                  <c:v>6.3302425811225416E-2</c:v>
                </c:pt>
                <c:pt idx="23">
                  <c:v>6.0232280889436648E-2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71-4F5D-960C-417CB480B651}"/>
            </c:ext>
          </c:extLst>
        </c:ser>
        <c:ser>
          <c:idx val="2"/>
          <c:order val="2"/>
          <c:tx>
            <c:strRef>
              <c:f>Calculation_hw_xsore14!$B$46</c:f>
              <c:strCache>
                <c:ptCount val="1"/>
                <c:pt idx="0">
                  <c:v>accnt_CLO</c:v>
                </c:pt>
              </c:strCache>
            </c:strRef>
          </c:tx>
          <c:spPr>
            <a:solidFill>
              <a:srgbClr val="B1C5FA"/>
            </a:solidFill>
          </c:spPr>
          <c:cat>
            <c:numRef>
              <c:f>Calculation_hw_xsore14!$C$34:$AA$34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Calculation_hw_xsore14!$C$46:$AA$46</c:f>
              <c:numCache>
                <c:formatCode>0.0%</c:formatCode>
                <c:ptCount val="25"/>
                <c:pt idx="0" formatCode="0%">
                  <c:v>0</c:v>
                </c:pt>
                <c:pt idx="1">
                  <c:v>3.3055083247474998E-2</c:v>
                </c:pt>
                <c:pt idx="2">
                  <c:v>5.377648497931789E-2</c:v>
                </c:pt>
                <c:pt idx="3">
                  <c:v>7.4295338698005281E-2</c:v>
                </c:pt>
                <c:pt idx="4">
                  <c:v>9.4651896886803602E-2</c:v>
                </c:pt>
                <c:pt idx="5">
                  <c:v>0.11436582769959569</c:v>
                </c:pt>
                <c:pt idx="6">
                  <c:v>0.13389107486020627</c:v>
                </c:pt>
                <c:pt idx="7">
                  <c:v>0.15324329935415917</c:v>
                </c:pt>
                <c:pt idx="8">
                  <c:v>0.17243576619959422</c:v>
                </c:pt>
                <c:pt idx="9">
                  <c:v>0.1914793661312599</c:v>
                </c:pt>
                <c:pt idx="10">
                  <c:v>0.21038266000822414</c:v>
                </c:pt>
                <c:pt idx="11">
                  <c:v>0.22915194415009987</c:v>
                </c:pt>
                <c:pt idx="12">
                  <c:v>0.2477913346776241</c:v>
                </c:pt>
                <c:pt idx="13">
                  <c:v>0.26630286883604509</c:v>
                </c:pt>
                <c:pt idx="14">
                  <c:v>0.28468662121326321</c:v>
                </c:pt>
                <c:pt idx="15">
                  <c:v>0.30294083272792566</c:v>
                </c:pt>
                <c:pt idx="16">
                  <c:v>0.32106205025422313</c:v>
                </c:pt>
                <c:pt idx="17">
                  <c:v>0.33904527476820012</c:v>
                </c:pt>
                <c:pt idx="18">
                  <c:v>0.35688411594292158</c:v>
                </c:pt>
                <c:pt idx="19">
                  <c:v>0.37457095118459249</c:v>
                </c:pt>
                <c:pt idx="20">
                  <c:v>0.39209708718628511</c:v>
                </c:pt>
                <c:pt idx="21">
                  <c:v>0.40945292217777746</c:v>
                </c:pt>
                <c:pt idx="22">
                  <c:v>0.42662810716655802</c:v>
                </c:pt>
                <c:pt idx="23">
                  <c:v>0.44361170459371152</c:v>
                </c:pt>
                <c:pt idx="24">
                  <c:v>0.87477429471148238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71-4F5D-960C-417CB480B651}"/>
            </c:ext>
          </c:extLst>
        </c:ser>
        <c:ser>
          <c:idx val="3"/>
          <c:order val="3"/>
          <c:tx>
            <c:strRef>
              <c:f>Calculation_hw_xsore14!$B$47</c:f>
              <c:strCache>
                <c:ptCount val="1"/>
                <c:pt idx="0">
                  <c:v>accnt_DEF</c:v>
                </c:pt>
              </c:strCache>
            </c:strRef>
          </c:tx>
          <c:spPr>
            <a:solidFill>
              <a:srgbClr val="333333"/>
            </a:solidFill>
          </c:spPr>
          <c:cat>
            <c:numRef>
              <c:f>Calculation_hw_xsore14!$C$34:$AA$34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Calculation_hw_xsore14!$C$47:$AA$47</c:f>
              <c:numCache>
                <c:formatCode>0.0%</c:formatCode>
                <c:ptCount val="25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2.3126768397682958E-2</c:v>
                </c:pt>
                <c:pt idx="5">
                  <c:v>2.7432359920964086E-2</c:v>
                </c:pt>
                <c:pt idx="6">
                  <c:v>3.2213459163437715E-2</c:v>
                </c:pt>
                <c:pt idx="7">
                  <c:v>3.7384821705276405E-2</c:v>
                </c:pt>
                <c:pt idx="8">
                  <c:v>4.2865527633445324E-2</c:v>
                </c:pt>
                <c:pt idx="9">
                  <c:v>4.8579213142440354E-2</c:v>
                </c:pt>
                <c:pt idx="10">
                  <c:v>5.4454253895457737E-2</c:v>
                </c:pt>
                <c:pt idx="11">
                  <c:v>6.0423901505494024E-2</c:v>
                </c:pt>
                <c:pt idx="12">
                  <c:v>6.642637487895614E-2</c:v>
                </c:pt>
                <c:pt idx="13">
                  <c:v>7.2404908503095528E-2</c:v>
                </c:pt>
                <c:pt idx="14">
                  <c:v>7.8307760051658487E-2</c:v>
                </c:pt>
                <c:pt idx="15">
                  <c:v>8.4088179929985837E-2</c:v>
                </c:pt>
                <c:pt idx="16">
                  <c:v>8.9704345581500561E-2</c:v>
                </c:pt>
                <c:pt idx="17">
                  <c:v>9.5119263532824946E-2</c:v>
                </c:pt>
                <c:pt idx="18">
                  <c:v>0.10030064226597599</c:v>
                </c:pt>
                <c:pt idx="19">
                  <c:v>0.10522073907501733</c:v>
                </c:pt>
                <c:pt idx="20">
                  <c:v>0.10985618409345908</c:v>
                </c:pt>
                <c:pt idx="21">
                  <c:v>0.11418778467023062</c:v>
                </c:pt>
                <c:pt idx="22">
                  <c:v>0.11820031322915001</c:v>
                </c:pt>
                <c:pt idx="23">
                  <c:v>0.12188228167265687</c:v>
                </c:pt>
                <c:pt idx="24">
                  <c:v>0.12522570528851762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71-4F5D-960C-417CB480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05408"/>
        <c:axId val="219911296"/>
      </c:areaChart>
      <c:catAx>
        <c:axId val="219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911296"/>
        <c:crosses val="autoZero"/>
        <c:auto val="1"/>
        <c:lblAlgn val="ctr"/>
        <c:lblOffset val="100"/>
        <c:noMultiLvlLbl val="0"/>
      </c:catAx>
      <c:valAx>
        <c:axId val="219911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99054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solidFill>
      <a:srgbClr val="D8D8D8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Calculation_hw_pd4!$B$44</c:f>
              <c:strCache>
                <c:ptCount val="1"/>
                <c:pt idx="0">
                  <c:v>accnt_CUR</c:v>
                </c:pt>
              </c:strCache>
            </c:strRef>
          </c:tx>
          <c:spPr>
            <a:solidFill>
              <a:srgbClr val="AFAFAF"/>
            </a:solidFill>
          </c:spPr>
          <c:cat>
            <c:numRef>
              <c:f>Calculation_hw_pd4!$C$34:$AA$34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Calculation_hw_pd4!$C$44:$AA$44</c:f>
              <c:numCache>
                <c:formatCode>0.0%</c:formatCode>
                <c:ptCount val="25"/>
                <c:pt idx="0" formatCode="0%">
                  <c:v>1</c:v>
                </c:pt>
                <c:pt idx="1">
                  <c:v>0.89474865961811434</c:v>
                </c:pt>
                <c:pt idx="2">
                  <c:v>0.86333404805888969</c:v>
                </c:pt>
                <c:pt idx="3">
                  <c:v>0.83549837107925873</c:v>
                </c:pt>
                <c:pt idx="4">
                  <c:v>0.80956627081845567</c:v>
                </c:pt>
                <c:pt idx="5">
                  <c:v>0.78219293366925835</c:v>
                </c:pt>
                <c:pt idx="6">
                  <c:v>0.75518095507959582</c:v>
                </c:pt>
                <c:pt idx="7">
                  <c:v>0.7285661222016786</c:v>
                </c:pt>
                <c:pt idx="8">
                  <c:v>0.70238100290919026</c:v>
                </c:pt>
                <c:pt idx="9">
                  <c:v>0.67665500679023471</c:v>
                </c:pt>
                <c:pt idx="10">
                  <c:v>0.65141446046213636</c:v>
                </c:pt>
                <c:pt idx="11">
                  <c:v>0.62668269556561307</c:v>
                </c:pt>
                <c:pt idx="12">
                  <c:v>0.60248014780754044</c:v>
                </c:pt>
                <c:pt idx="13">
                  <c:v>0.57882446544990351</c:v>
                </c:pt>
                <c:pt idx="14">
                  <c:v>0.55573062568590681</c:v>
                </c:pt>
                <c:pt idx="15">
                  <c:v>0.5332110574008716</c:v>
                </c:pt>
                <c:pt idx="16">
                  <c:v>0.51127576888362447</c:v>
                </c:pt>
                <c:pt idx="17">
                  <c:v>0.48993247913188726</c:v>
                </c:pt>
                <c:pt idx="18">
                  <c:v>0.46918675148080863</c:v>
                </c:pt>
                <c:pt idx="19">
                  <c:v>0.44904212837558449</c:v>
                </c:pt>
                <c:pt idx="20">
                  <c:v>0.42950026620537551</c:v>
                </c:pt>
                <c:pt idx="21">
                  <c:v>0.41056106921485797</c:v>
                </c:pt>
                <c:pt idx="22">
                  <c:v>0.39222282161028077</c:v>
                </c:pt>
                <c:pt idx="23">
                  <c:v>0.37448231707741286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71-4F5D-960C-417CB480B651}"/>
            </c:ext>
          </c:extLst>
        </c:ser>
        <c:ser>
          <c:idx val="1"/>
          <c:order val="1"/>
          <c:tx>
            <c:strRef>
              <c:f>Calculation_hw_pd4!$B$45</c:f>
              <c:strCache>
                <c:ptCount val="1"/>
                <c:pt idx="0">
                  <c:v>accnt_DLQ</c:v>
                </c:pt>
              </c:strCache>
            </c:strRef>
          </c:tx>
          <c:spPr>
            <a:solidFill>
              <a:srgbClr val="FF7B75"/>
            </a:solidFill>
          </c:spPr>
          <c:cat>
            <c:numRef>
              <c:f>Calculation_hw_pd4!$C$34:$AA$34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Calculation_hw_pd4!$C$45:$AA$45</c:f>
              <c:numCache>
                <c:formatCode>0.0%</c:formatCode>
                <c:ptCount val="25"/>
                <c:pt idx="0" formatCode="0%">
                  <c:v>0</c:v>
                </c:pt>
                <c:pt idx="1">
                  <c:v>6.9861929554062341E-2</c:v>
                </c:pt>
                <c:pt idx="2">
                  <c:v>7.9254087834732118E-2</c:v>
                </c:pt>
                <c:pt idx="3">
                  <c:v>8.5331494341565561E-2</c:v>
                </c:pt>
                <c:pt idx="4">
                  <c:v>6.8148037181837873E-2</c:v>
                </c:pt>
                <c:pt idx="5">
                  <c:v>7.1268377664461355E-2</c:v>
                </c:pt>
                <c:pt idx="6">
                  <c:v>7.380290316056598E-2</c:v>
                </c:pt>
                <c:pt idx="7">
                  <c:v>7.5778748466863485E-2</c:v>
                </c:pt>
                <c:pt idx="8">
                  <c:v>7.7224555095234043E-2</c:v>
                </c:pt>
                <c:pt idx="9">
                  <c:v>7.8170197033544969E-2</c:v>
                </c:pt>
                <c:pt idx="10">
                  <c:v>7.864651203517567E-2</c:v>
                </c:pt>
                <c:pt idx="11">
                  <c:v>7.8685040540316262E-2</c:v>
                </c:pt>
                <c:pt idx="12">
                  <c:v>7.831777413494824E-2</c:v>
                </c:pt>
                <c:pt idx="13">
                  <c:v>7.7576915246161865E-2</c:v>
                </c:pt>
                <c:pt idx="14">
                  <c:v>7.6494649558305997E-2</c:v>
                </c:pt>
                <c:pt idx="15">
                  <c:v>7.5102932416492046E-2</c:v>
                </c:pt>
                <c:pt idx="16">
                  <c:v>7.3433290265192408E-2</c:v>
                </c:pt>
                <c:pt idx="17">
                  <c:v>7.1516637952765694E-2</c:v>
                </c:pt>
                <c:pt idx="18">
                  <c:v>6.9383112520398235E-2</c:v>
                </c:pt>
                <c:pt idx="19">
                  <c:v>6.7061923888409966E-2</c:v>
                </c:pt>
                <c:pt idx="20">
                  <c:v>6.4581222656286269E-2</c:v>
                </c:pt>
                <c:pt idx="21">
                  <c:v>6.1967985046967392E-2</c:v>
                </c:pt>
                <c:pt idx="22">
                  <c:v>5.9247914852398983E-2</c:v>
                </c:pt>
                <c:pt idx="23">
                  <c:v>5.6445362077441191E-2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71-4F5D-960C-417CB480B651}"/>
            </c:ext>
          </c:extLst>
        </c:ser>
        <c:ser>
          <c:idx val="2"/>
          <c:order val="2"/>
          <c:tx>
            <c:strRef>
              <c:f>Calculation_hw_pd4!$B$46</c:f>
              <c:strCache>
                <c:ptCount val="1"/>
                <c:pt idx="0">
                  <c:v>accnt_CLO</c:v>
                </c:pt>
              </c:strCache>
            </c:strRef>
          </c:tx>
          <c:spPr>
            <a:solidFill>
              <a:srgbClr val="B1C5FA"/>
            </a:solidFill>
          </c:spPr>
          <c:cat>
            <c:numRef>
              <c:f>Calculation_hw_pd4!$C$34:$AA$34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Calculation_hw_pd4!$C$46:$AA$46</c:f>
              <c:numCache>
                <c:formatCode>0.0%</c:formatCode>
                <c:ptCount val="25"/>
                <c:pt idx="0" formatCode="0%">
                  <c:v>0</c:v>
                </c:pt>
                <c:pt idx="1">
                  <c:v>3.5389410827823299E-2</c:v>
                </c:pt>
                <c:pt idx="2">
                  <c:v>5.7411864106378205E-2</c:v>
                </c:pt>
                <c:pt idx="3">
                  <c:v>7.9170134579175697E-2</c:v>
                </c:pt>
                <c:pt idx="4">
                  <c:v>0.10070467012723172</c:v>
                </c:pt>
                <c:pt idx="5">
                  <c:v>0.12153969134343415</c:v>
                </c:pt>
                <c:pt idx="6">
                  <c:v>0.14214136153149179</c:v>
                </c:pt>
                <c:pt idx="7">
                  <c:v>0.16252561493805023</c:v>
                </c:pt>
                <c:pt idx="8">
                  <c:v>0.18270603812905495</c:v>
                </c:pt>
                <c:pt idx="9">
                  <c:v>0.20269389785368591</c:v>
                </c:pt>
                <c:pt idx="10">
                  <c:v>0.22249818923296452</c:v>
                </c:pt>
                <c:pt idx="11">
                  <c:v>0.24212570271040235</c:v>
                </c:pt>
                <c:pt idx="12">
                  <c:v>0.26158110809069757</c:v>
                </c:pt>
                <c:pt idx="13">
                  <c:v>0.280867053906039</c:v>
                </c:pt>
                <c:pt idx="14">
                  <c:v>0.29998428028773327</c:v>
                </c:pt>
                <c:pt idx="15">
                  <c:v>0.31893174348299858</c:v>
                </c:pt>
                <c:pt idx="16">
                  <c:v>0.33770675014195511</c:v>
                </c:pt>
                <c:pt idx="17">
                  <c:v>0.35630509950692518</c:v>
                </c:pt>
                <c:pt idx="18">
                  <c:v>0.3747212316637466</c:v>
                </c:pt>
                <c:pt idx="19">
                  <c:v>0.39294838006133137</c:v>
                </c:pt>
                <c:pt idx="20">
                  <c:v>0.41097872656944084</c:v>
                </c:pt>
                <c:pt idx="21">
                  <c:v>0.42880355742375642</c:v>
                </c:pt>
                <c:pt idx="22">
                  <c:v>0.44641341849987304</c:v>
                </c:pt>
                <c:pt idx="23">
                  <c:v>0.46379826846185107</c:v>
                </c:pt>
                <c:pt idx="24">
                  <c:v>0.8918658713064026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71-4F5D-960C-417CB480B651}"/>
            </c:ext>
          </c:extLst>
        </c:ser>
        <c:ser>
          <c:idx val="3"/>
          <c:order val="3"/>
          <c:tx>
            <c:strRef>
              <c:f>Calculation_hw_pd4!$B$47</c:f>
              <c:strCache>
                <c:ptCount val="1"/>
                <c:pt idx="0">
                  <c:v>accnt_DEF</c:v>
                </c:pt>
              </c:strCache>
            </c:strRef>
          </c:tx>
          <c:spPr>
            <a:solidFill>
              <a:srgbClr val="333333"/>
            </a:solidFill>
          </c:spPr>
          <c:cat>
            <c:numRef>
              <c:f>Calculation_hw_pd4!$C$34:$AA$34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Calculation_hw_pd4!$C$47:$AA$47</c:f>
              <c:numCache>
                <c:formatCode>0.0%</c:formatCode>
                <c:ptCount val="25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2.1581021872474831E-2</c:v>
                </c:pt>
                <c:pt idx="5">
                  <c:v>2.4998997322846203E-2</c:v>
                </c:pt>
                <c:pt idx="6">
                  <c:v>2.8874780228346355E-2</c:v>
                </c:pt>
                <c:pt idx="7">
                  <c:v>3.3129514393407625E-2</c:v>
                </c:pt>
                <c:pt idx="8">
                  <c:v>3.7688403866520732E-2</c:v>
                </c:pt>
                <c:pt idx="9">
                  <c:v>4.2480898322534454E-2</c:v>
                </c:pt>
                <c:pt idx="10">
                  <c:v>4.7440838269723465E-2</c:v>
                </c:pt>
                <c:pt idx="11">
                  <c:v>5.2506561183668386E-2</c:v>
                </c:pt>
                <c:pt idx="12">
                  <c:v>5.7620969966813707E-2</c:v>
                </c:pt>
                <c:pt idx="13">
                  <c:v>6.2731565397895622E-2</c:v>
                </c:pt>
                <c:pt idx="14">
                  <c:v>6.7790444468053976E-2</c:v>
                </c:pt>
                <c:pt idx="15">
                  <c:v>7.2754266699637776E-2</c:v>
                </c:pt>
                <c:pt idx="16">
                  <c:v>7.7584190709227979E-2</c:v>
                </c:pt>
                <c:pt idx="17">
                  <c:v>8.2245783408421758E-2</c:v>
                </c:pt>
                <c:pt idx="18">
                  <c:v>8.6708904335046494E-2</c:v>
                </c:pt>
                <c:pt idx="19">
                  <c:v>9.0947567674674129E-2</c:v>
                </c:pt>
                <c:pt idx="20">
                  <c:v>9.4939784568897401E-2</c:v>
                </c:pt>
                <c:pt idx="21">
                  <c:v>9.8667388314418264E-2</c:v>
                </c:pt>
                <c:pt idx="22">
                  <c:v>0.10211584503744719</c:v>
                </c:pt>
                <c:pt idx="23">
                  <c:v>0.10527405238329493</c:v>
                </c:pt>
                <c:pt idx="24">
                  <c:v>0.10813412869359738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71-4F5D-960C-417CB480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46240"/>
        <c:axId val="220347776"/>
      </c:areaChart>
      <c:catAx>
        <c:axId val="2203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347776"/>
        <c:crosses val="autoZero"/>
        <c:auto val="1"/>
        <c:lblAlgn val="ctr"/>
        <c:lblOffset val="100"/>
        <c:noMultiLvlLbl val="0"/>
      </c:catAx>
      <c:valAx>
        <c:axId val="220347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03462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solidFill>
      <a:srgbClr val="D8D8D8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Calculation_hw_pd6!$B$44</c:f>
              <c:strCache>
                <c:ptCount val="1"/>
                <c:pt idx="0">
                  <c:v>accnt_CUR</c:v>
                </c:pt>
              </c:strCache>
            </c:strRef>
          </c:tx>
          <c:spPr>
            <a:solidFill>
              <a:srgbClr val="AFAFAF"/>
            </a:solidFill>
          </c:spPr>
          <c:cat>
            <c:numRef>
              <c:f>Calculation_hw_pd6!$C$34:$AA$34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Calculation_hw_pd6!$C$44:$AA$44</c:f>
              <c:numCache>
                <c:formatCode>0.0%</c:formatCode>
                <c:ptCount val="25"/>
                <c:pt idx="0" formatCode="0%">
                  <c:v>1</c:v>
                </c:pt>
                <c:pt idx="1">
                  <c:v>0.8881051725956346</c:v>
                </c:pt>
                <c:pt idx="2">
                  <c:v>0.85584282077682905</c:v>
                </c:pt>
                <c:pt idx="3">
                  <c:v>0.82599731546974553</c:v>
                </c:pt>
                <c:pt idx="4">
                  <c:v>0.79580170153661367</c:v>
                </c:pt>
                <c:pt idx="5">
                  <c:v>0.76669194371753324</c:v>
                </c:pt>
                <c:pt idx="6">
                  <c:v>0.73807291394786601</c:v>
                </c:pt>
                <c:pt idx="7">
                  <c:v>0.70998624464374904</c:v>
                </c:pt>
                <c:pt idx="8">
                  <c:v>0.68246868560303275</c:v>
                </c:pt>
                <c:pt idx="9">
                  <c:v>0.65555227001878369</c:v>
                </c:pt>
                <c:pt idx="10">
                  <c:v>0.62926450154500491</c:v>
                </c:pt>
                <c:pt idx="11">
                  <c:v>0.60362855880697264</c:v>
                </c:pt>
                <c:pt idx="12">
                  <c:v>0.57866351388920678</c:v>
                </c:pt>
                <c:pt idx="13">
                  <c:v>0.5543845615064491</c:v>
                </c:pt>
                <c:pt idx="14">
                  <c:v>0.53080325576146026</c:v>
                </c:pt>
                <c:pt idx="15">
                  <c:v>0.50792775161232662</c:v>
                </c:pt>
                <c:pt idx="16">
                  <c:v>0.48576304840599782</c:v>
                </c:pt>
                <c:pt idx="17">
                  <c:v>0.46431123307890654</c:v>
                </c:pt>
                <c:pt idx="18">
                  <c:v>0.44357172087508556</c:v>
                </c:pt>
                <c:pt idx="19">
                  <c:v>0.42354149168294847</c:v>
                </c:pt>
                <c:pt idx="20">
                  <c:v>0.40421532034003904</c:v>
                </c:pt>
                <c:pt idx="21">
                  <c:v>0.38558599949721173</c:v>
                </c:pt>
                <c:pt idx="22">
                  <c:v>0.36764455386704731</c:v>
                </c:pt>
                <c:pt idx="23">
                  <c:v>0.35038044490341025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71-4F5D-960C-417CB480B651}"/>
            </c:ext>
          </c:extLst>
        </c:ser>
        <c:ser>
          <c:idx val="1"/>
          <c:order val="1"/>
          <c:tx>
            <c:strRef>
              <c:f>Calculation_hw_pd6!$B$45</c:f>
              <c:strCache>
                <c:ptCount val="1"/>
                <c:pt idx="0">
                  <c:v>accnt_DLQ</c:v>
                </c:pt>
              </c:strCache>
            </c:strRef>
          </c:tx>
          <c:spPr>
            <a:solidFill>
              <a:srgbClr val="FF7B75"/>
            </a:solidFill>
          </c:spPr>
          <c:cat>
            <c:numRef>
              <c:f>Calculation_hw_pd6!$C$34:$AA$34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Calculation_hw_pd6!$C$45:$AA$45</c:f>
              <c:numCache>
                <c:formatCode>0.0%</c:formatCode>
                <c:ptCount val="25"/>
                <c:pt idx="0" formatCode="0%">
                  <c:v>0</c:v>
                </c:pt>
                <c:pt idx="1">
                  <c:v>7.6505416576542057E-2</c:v>
                </c:pt>
                <c:pt idx="2">
                  <c:v>8.6745315116792759E-2</c:v>
                </c:pt>
                <c:pt idx="3">
                  <c:v>9.4832549951078787E-2</c:v>
                </c:pt>
                <c:pt idx="4">
                  <c:v>7.9064686293562572E-2</c:v>
                </c:pt>
                <c:pt idx="5">
                  <c:v>8.2274518540561892E-2</c:v>
                </c:pt>
                <c:pt idx="6">
                  <c:v>8.4796452788107685E-2</c:v>
                </c:pt>
                <c:pt idx="7">
                  <c:v>8.6666602929079406E-2</c:v>
                </c:pt>
                <c:pt idx="8">
                  <c:v>8.7922861774730382E-2</c:v>
                </c:pt>
                <c:pt idx="9">
                  <c:v>8.8604483795727065E-2</c:v>
                </c:pt>
                <c:pt idx="10">
                  <c:v>8.8751684252046548E-2</c:v>
                </c:pt>
                <c:pt idx="11">
                  <c:v>8.8405257844665991E-2</c:v>
                </c:pt>
                <c:pt idx="12">
                  <c:v>8.7606219544521968E-2</c:v>
                </c:pt>
                <c:pt idx="13">
                  <c:v>8.6395469777945252E-2</c:v>
                </c:pt>
                <c:pt idx="14">
                  <c:v>8.4813485679821068E-2</c:v>
                </c:pt>
                <c:pt idx="15">
                  <c:v>8.2900039672647918E-2</c:v>
                </c:pt>
                <c:pt idx="16">
                  <c:v>8.0693946197052377E-2</c:v>
                </c:pt>
                <c:pt idx="17">
                  <c:v>7.8232837011990214E-2</c:v>
                </c:pt>
                <c:pt idx="18">
                  <c:v>7.5552965104753511E-2</c:v>
                </c:pt>
                <c:pt idx="19">
                  <c:v>7.2689036905123849E-2</c:v>
                </c:pt>
                <c:pt idx="20">
                  <c:v>6.9674072186780539E-2</c:v>
                </c:pt>
                <c:pt idx="21">
                  <c:v>6.6539290763945574E-2</c:v>
                </c:pt>
                <c:pt idx="22">
                  <c:v>6.3314024852894682E-2</c:v>
                </c:pt>
                <c:pt idx="23">
                  <c:v>6.0025655766505766E-2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71-4F5D-960C-417CB480B651}"/>
            </c:ext>
          </c:extLst>
        </c:ser>
        <c:ser>
          <c:idx val="2"/>
          <c:order val="2"/>
          <c:tx>
            <c:strRef>
              <c:f>Calculation_hw_pd6!$B$46</c:f>
              <c:strCache>
                <c:ptCount val="1"/>
                <c:pt idx="0">
                  <c:v>accnt_CLO</c:v>
                </c:pt>
              </c:strCache>
            </c:strRef>
          </c:tx>
          <c:spPr>
            <a:solidFill>
              <a:srgbClr val="B1C5FA"/>
            </a:solidFill>
          </c:spPr>
          <c:cat>
            <c:numRef>
              <c:f>Calculation_hw_pd6!$C$34:$AA$34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Calculation_hw_pd6!$C$46:$AA$46</c:f>
              <c:numCache>
                <c:formatCode>0.0%</c:formatCode>
                <c:ptCount val="25"/>
                <c:pt idx="0" formatCode="0%">
                  <c:v>0</c:v>
                </c:pt>
                <c:pt idx="1">
                  <c:v>3.5389410827823299E-2</c:v>
                </c:pt>
                <c:pt idx="2">
                  <c:v>5.7411864106378205E-2</c:v>
                </c:pt>
                <c:pt idx="3">
                  <c:v>7.9170134579175697E-2</c:v>
                </c:pt>
                <c:pt idx="4">
                  <c:v>0.10070467012723172</c:v>
                </c:pt>
                <c:pt idx="5">
                  <c:v>0.12147208793692067</c:v>
                </c:pt>
                <c:pt idx="6">
                  <c:v>0.14196525713381283</c:v>
                </c:pt>
                <c:pt idx="7">
                  <c:v>0.16219915858473946</c:v>
                </c:pt>
                <c:pt idx="8">
                  <c:v>0.18218659455480565</c:v>
                </c:pt>
                <c:pt idx="9">
                  <c:v>0.20193822154608054</c:v>
                </c:pt>
                <c:pt idx="10">
                  <c:v>0.22146260561505934</c:v>
                </c:pt>
                <c:pt idx="11">
                  <c:v>0.24076629790194159</c:v>
                </c:pt>
                <c:pt idx="12">
                  <c:v>0.2598539280140858</c:v>
                </c:pt>
                <c:pt idx="13">
                  <c:v>0.27872831285465877</c:v>
                </c:pt>
                <c:pt idx="14">
                  <c:v>0.29739057847320871</c:v>
                </c:pt>
                <c:pt idx="15">
                  <c:v>0.31584029253492851</c:v>
                </c:pt>
                <c:pt idx="16">
                  <c:v>0.33407560505667805</c:v>
                </c:pt>
                <c:pt idx="17">
                  <c:v>0.35209339513708987</c:v>
                </c:pt>
                <c:pt idx="18">
                  <c:v>0.36988942151179566</c:v>
                </c:pt>
                <c:pt idx="19">
                  <c:v>0.38745847488939594</c:v>
                </c:pt>
                <c:pt idx="20">
                  <c:v>0.40479453016564604</c:v>
                </c:pt>
                <c:pt idx="21">
                  <c:v>0.42189089676886848</c:v>
                </c:pt>
                <c:pt idx="22">
                  <c:v>0.43874036555536616</c:v>
                </c:pt>
                <c:pt idx="23">
                  <c:v>0.45533535084627397</c:v>
                </c:pt>
                <c:pt idx="24">
                  <c:v>0.86214936498660921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71-4F5D-960C-417CB480B651}"/>
            </c:ext>
          </c:extLst>
        </c:ser>
        <c:ser>
          <c:idx val="3"/>
          <c:order val="3"/>
          <c:tx>
            <c:strRef>
              <c:f>Calculation_hw_pd6!$B$47</c:f>
              <c:strCache>
                <c:ptCount val="1"/>
                <c:pt idx="0">
                  <c:v>accnt_DEF</c:v>
                </c:pt>
              </c:strCache>
            </c:strRef>
          </c:tx>
          <c:spPr>
            <a:solidFill>
              <a:srgbClr val="333333"/>
            </a:solidFill>
          </c:spPr>
          <c:cat>
            <c:numRef>
              <c:f>Calculation_hw_pd6!$C$34:$AA$34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Calculation_hw_pd6!$C$47:$AA$47</c:f>
              <c:numCache>
                <c:formatCode>0.0%</c:formatCode>
                <c:ptCount val="25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2.4428942042592001E-2</c:v>
                </c:pt>
                <c:pt idx="5">
                  <c:v>2.956144980498418E-2</c:v>
                </c:pt>
                <c:pt idx="6">
                  <c:v>3.5165376130213546E-2</c:v>
                </c:pt>
                <c:pt idx="7">
                  <c:v>4.1147993842432021E-2</c:v>
                </c:pt>
                <c:pt idx="8">
                  <c:v>4.742185806743112E-2</c:v>
                </c:pt>
                <c:pt idx="9">
                  <c:v>5.3905024639408765E-2</c:v>
                </c:pt>
                <c:pt idx="10">
                  <c:v>6.052120858788914E-2</c:v>
                </c:pt>
                <c:pt idx="11">
                  <c:v>6.7199885446419722E-2</c:v>
                </c:pt>
                <c:pt idx="12">
                  <c:v>7.3876338552185464E-2</c:v>
                </c:pt>
                <c:pt idx="13">
                  <c:v>8.0491655860946976E-2</c:v>
                </c:pt>
                <c:pt idx="14">
                  <c:v>8.6992680085509977E-2</c:v>
                </c:pt>
                <c:pt idx="15">
                  <c:v>9.3331916180097008E-2</c:v>
                </c:pt>
                <c:pt idx="16">
                  <c:v>9.9467400340271669E-2</c:v>
                </c:pt>
                <c:pt idx="17">
                  <c:v>0.10536253477201345</c:v>
                </c:pt>
                <c:pt idx="18">
                  <c:v>0.1109858925083653</c:v>
                </c:pt>
                <c:pt idx="19">
                  <c:v>0.11631099652253171</c:v>
                </c:pt>
                <c:pt idx="20">
                  <c:v>0.12131607730753431</c:v>
                </c:pt>
                <c:pt idx="21">
                  <c:v>0.12598381296997421</c:v>
                </c:pt>
                <c:pt idx="22">
                  <c:v>0.13030105572469189</c:v>
                </c:pt>
                <c:pt idx="23">
                  <c:v>0.13425854848381</c:v>
                </c:pt>
                <c:pt idx="24">
                  <c:v>0.13785063501339082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71-4F5D-960C-417CB480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72288"/>
        <c:axId val="220173824"/>
      </c:areaChart>
      <c:catAx>
        <c:axId val="2201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173824"/>
        <c:crosses val="autoZero"/>
        <c:auto val="1"/>
        <c:lblAlgn val="ctr"/>
        <c:lblOffset val="100"/>
        <c:noMultiLvlLbl val="0"/>
      </c:catAx>
      <c:valAx>
        <c:axId val="220173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01722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solidFill>
      <a:srgbClr val="D8D8D8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 изменении показателей </a:t>
            </a:r>
          </a:p>
        </c:rich>
      </c:tx>
      <c:layout>
        <c:manualLayout>
          <c:xMode val="edge"/>
          <c:yMode val="edge"/>
          <c:x val="9.0568807339449539E-2"/>
          <c:y val="3.2520325203252036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1%</c:v>
                </c:pt>
              </c:strCache>
            </c:strRef>
          </c:tx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2789.8083666476159</c:v>
                </c:pt>
                <c:pt idx="1">
                  <c:v>-2583.6217591579953</c:v>
                </c:pt>
                <c:pt idx="2">
                  <c:v>-477.05987869899036</c:v>
                </c:pt>
                <c:pt idx="3">
                  <c:v>-183.28737540375005</c:v>
                </c:pt>
                <c:pt idx="4">
                  <c:v>182.37431878904681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C1-4171-8ACE-9B30B22814ED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-1%</c:v>
                </c:pt>
              </c:strCache>
            </c:strRef>
          </c:tx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-2777.4235899010964</c:v>
                </c:pt>
                <c:pt idx="1">
                  <c:v>2583.6217591580098</c:v>
                </c:pt>
                <c:pt idx="2">
                  <c:v>477.05987869900855</c:v>
                </c:pt>
                <c:pt idx="3">
                  <c:v>186.37098866726228</c:v>
                </c:pt>
                <c:pt idx="4">
                  <c:v>-182.37431878903953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C1-4171-8ACE-9B30B2281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86784"/>
        <c:axId val="177692672"/>
      </c:barChart>
      <c:catAx>
        <c:axId val="1776867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77692672"/>
        <c:crosses val="max"/>
        <c:auto val="1"/>
        <c:lblAlgn val="ctr"/>
        <c:lblOffset val="100"/>
        <c:noMultiLvlLbl val="0"/>
      </c:catAx>
      <c:valAx>
        <c:axId val="177692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7768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16341080202345"/>
          <c:y val="0.47383081425166684"/>
          <c:w val="6.8365891979765503E-2"/>
          <c:h val="0.1293112498868676"/>
        </c:manualLayout>
      </c:layout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+100руб</c:v>
                </c:pt>
              </c:strCache>
            </c:strRef>
          </c:tx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Лист1!$B$17:$B$18</c:f>
              <c:numCache>
                <c:formatCode>General</c:formatCode>
                <c:ptCount val="2"/>
                <c:pt idx="0">
                  <c:v>-1040.9573803388666</c:v>
                </c:pt>
                <c:pt idx="1">
                  <c:v>-137.9204788009738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17-40D7-8DD0-1F375DC14EFF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-100руб</c:v>
                </c:pt>
              </c:strCache>
            </c:strRef>
          </c:tx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Лист1!$C$17:$C$18</c:f>
              <c:numCache>
                <c:formatCode>General</c:formatCode>
                <c:ptCount val="2"/>
                <c:pt idx="0">
                  <c:v>1040.9573803388485</c:v>
                </c:pt>
                <c:pt idx="1">
                  <c:v>137.92047880099926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17-40D7-8DD0-1F375DC1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28512"/>
        <c:axId val="177730304"/>
      </c:barChart>
      <c:catAx>
        <c:axId val="177728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77730304"/>
        <c:crosses val="max"/>
        <c:auto val="1"/>
        <c:lblAlgn val="ctr"/>
        <c:lblOffset val="100"/>
        <c:noMultiLvlLbl val="0"/>
      </c:catAx>
      <c:valAx>
        <c:axId val="177730304"/>
        <c:scaling>
          <c:orientation val="minMax"/>
          <c:max val="4000"/>
          <c:min val="-400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7772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196581862910706"/>
          <c:y val="0.31656052427408837"/>
          <c:w val="0.10483286123887979"/>
          <c:h val="0.2830208488089932"/>
        </c:manualLayout>
      </c:layout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9.0568807339449539E-2"/>
          <c:y val="3.2520325203252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B1C5FA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2789.8083666476159</c:v>
                </c:pt>
                <c:pt idx="1">
                  <c:v>-2583.6217591579953</c:v>
                </c:pt>
                <c:pt idx="2">
                  <c:v>-477.05987869899036</c:v>
                </c:pt>
                <c:pt idx="3">
                  <c:v>-183.28737540375005</c:v>
                </c:pt>
                <c:pt idx="4">
                  <c:v>182.37431878904681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3E-40DE-9942-26F7667F1C1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-1%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-2777.4235899010964</c:v>
                </c:pt>
                <c:pt idx="1">
                  <c:v>2583.6217591580098</c:v>
                </c:pt>
                <c:pt idx="2">
                  <c:v>477.05987869900855</c:v>
                </c:pt>
                <c:pt idx="3">
                  <c:v>186.37098866726228</c:v>
                </c:pt>
                <c:pt idx="4">
                  <c:v>-182.37431878903953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3E-40DE-9942-26F7667F1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77120"/>
        <c:axId val="183083008"/>
      </c:barChart>
      <c:catAx>
        <c:axId val="1830771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83008"/>
        <c:crosses val="max"/>
        <c:auto val="1"/>
        <c:lblAlgn val="ctr"/>
        <c:lblOffset val="100"/>
        <c:noMultiLvlLbl val="0"/>
      </c:catAx>
      <c:valAx>
        <c:axId val="1830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6341080202345"/>
          <c:y val="0.47383081425166684"/>
          <c:w val="6.8365891979765503E-2"/>
          <c:h val="0.129311249886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D8D8D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Calculation_hw_full!$B$44</c:f>
              <c:strCache>
                <c:ptCount val="1"/>
                <c:pt idx="0">
                  <c:v>accnt_CUR</c:v>
                </c:pt>
              </c:strCache>
            </c:strRef>
          </c:tx>
          <c:spPr>
            <a:solidFill>
              <a:srgbClr val="AFAFAF"/>
            </a:solidFill>
          </c:spPr>
          <c:cat>
            <c:numRef>
              <c:f>Calculation_hw_full!$C$34:$AA$34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Calculation_hw_full!$C$44:$AA$44</c:f>
              <c:numCache>
                <c:formatCode>0.0%</c:formatCode>
                <c:ptCount val="25"/>
                <c:pt idx="0" formatCode="0%">
                  <c:v>1</c:v>
                </c:pt>
                <c:pt idx="1">
                  <c:v>0.89142691610687452</c:v>
                </c:pt>
                <c:pt idx="2">
                  <c:v>0.85958843441785926</c:v>
                </c:pt>
                <c:pt idx="3">
                  <c:v>0.8307478432745018</c:v>
                </c:pt>
                <c:pt idx="4">
                  <c:v>0.80267492208566704</c:v>
                </c:pt>
                <c:pt idx="5">
                  <c:v>0.77442609623401837</c:v>
                </c:pt>
                <c:pt idx="6">
                  <c:v>0.7466021769312674</c:v>
                </c:pt>
                <c:pt idx="7">
                  <c:v>0.71924201390816733</c:v>
                </c:pt>
                <c:pt idx="8">
                  <c:v>0.6923804251255089</c:v>
                </c:pt>
                <c:pt idx="9">
                  <c:v>0.6660483056159715</c:v>
                </c:pt>
                <c:pt idx="10">
                  <c:v>0.64027275406438089</c:v>
                </c:pt>
                <c:pt idx="11">
                  <c:v>0.61507721459910158</c:v>
                </c:pt>
                <c:pt idx="12">
                  <c:v>0.59048163132955556</c:v>
                </c:pt>
                <c:pt idx="13">
                  <c:v>0.56650261325097273</c:v>
                </c:pt>
                <c:pt idx="14">
                  <c:v>0.5431536072442017</c:v>
                </c:pt>
                <c:pt idx="15">
                  <c:v>0.52044507702237286</c:v>
                </c:pt>
                <c:pt idx="16">
                  <c:v>0.49838468601409214</c:v>
                </c:pt>
                <c:pt idx="17">
                  <c:v>0.4769774823215443</c:v>
                </c:pt>
                <c:pt idx="18">
                  <c:v>0.4562260840482848</c:v>
                </c:pt>
                <c:pt idx="19">
                  <c:v>0.43613086345274898</c:v>
                </c:pt>
                <c:pt idx="20">
                  <c:v>0.41669012854699983</c:v>
                </c:pt>
                <c:pt idx="21">
                  <c:v>0.3979003009234634</c:v>
                </c:pt>
                <c:pt idx="22">
                  <c:v>0.37975608875327616</c:v>
                </c:pt>
                <c:pt idx="23">
                  <c:v>0.36225065405641277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71-4F5D-960C-417CB480B651}"/>
            </c:ext>
          </c:extLst>
        </c:ser>
        <c:ser>
          <c:idx val="1"/>
          <c:order val="1"/>
          <c:tx>
            <c:strRef>
              <c:f>Calculation_hw_full!$B$45</c:f>
              <c:strCache>
                <c:ptCount val="1"/>
                <c:pt idx="0">
                  <c:v>accnt_DLQ</c:v>
                </c:pt>
              </c:strCache>
            </c:strRef>
          </c:tx>
          <c:spPr>
            <a:solidFill>
              <a:srgbClr val="FF7B75"/>
            </a:solidFill>
          </c:spPr>
          <c:cat>
            <c:numRef>
              <c:f>Calculation_hw_full!$C$34:$AA$34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Calculation_hw_full!$C$45:$AA$45</c:f>
              <c:numCache>
                <c:formatCode>0.0%</c:formatCode>
                <c:ptCount val="25"/>
                <c:pt idx="0" formatCode="0%">
                  <c:v>0</c:v>
                </c:pt>
                <c:pt idx="1">
                  <c:v>7.3183673065302157E-2</c:v>
                </c:pt>
                <c:pt idx="2">
                  <c:v>8.299970147576248E-2</c:v>
                </c:pt>
                <c:pt idx="3">
                  <c:v>9.0082022146322591E-2</c:v>
                </c:pt>
                <c:pt idx="4">
                  <c:v>7.3615425829567774E-2</c:v>
                </c:pt>
                <c:pt idx="5">
                  <c:v>7.6786386223028982E-2</c:v>
                </c:pt>
                <c:pt idx="6">
                  <c:v>7.9320758510886324E-2</c:v>
                </c:pt>
                <c:pt idx="7">
                  <c:v>8.1250013243789068E-2</c:v>
                </c:pt>
                <c:pt idx="8">
                  <c:v>8.2607268328695735E-2</c:v>
                </c:pt>
                <c:pt idx="9">
                  <c:v>8.3426946909818583E-2</c:v>
                </c:pt>
                <c:pt idx="10">
                  <c:v>8.3744445626103711E-2</c:v>
                </c:pt>
                <c:pt idx="11">
                  <c:v>8.3595815848484856E-2</c:v>
                </c:pt>
                <c:pt idx="12">
                  <c:v>8.3017460179586847E-2</c:v>
                </c:pt>
                <c:pt idx="13">
                  <c:v>8.2045846171704545E-2</c:v>
                </c:pt>
                <c:pt idx="14">
                  <c:v>8.0717238890687673E-2</c:v>
                </c:pt>
                <c:pt idx="15">
                  <c:v>7.9067453628521897E-2</c:v>
                </c:pt>
                <c:pt idx="16">
                  <c:v>7.7131629750188058E-2</c:v>
                </c:pt>
                <c:pt idx="17">
                  <c:v>7.4944026354541518E-2</c:v>
                </c:pt>
                <c:pt idx="18">
                  <c:v>7.2537840137873538E-2</c:v>
                </c:pt>
                <c:pt idx="19">
                  <c:v>6.9945045575332765E-2</c:v>
                </c:pt>
                <c:pt idx="20">
                  <c:v>6.7196257281774294E-2</c:v>
                </c:pt>
                <c:pt idx="21">
                  <c:v>6.4320614181833463E-2</c:v>
                </c:pt>
                <c:pt idx="22">
                  <c:v>6.1345684910325639E-2</c:v>
                </c:pt>
                <c:pt idx="23">
                  <c:v>5.8297393679483861E-2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71-4F5D-960C-417CB480B651}"/>
            </c:ext>
          </c:extLst>
        </c:ser>
        <c:ser>
          <c:idx val="2"/>
          <c:order val="2"/>
          <c:tx>
            <c:strRef>
              <c:f>Calculation_hw_full!$B$46</c:f>
              <c:strCache>
                <c:ptCount val="1"/>
                <c:pt idx="0">
                  <c:v>accnt_CLO</c:v>
                </c:pt>
              </c:strCache>
            </c:strRef>
          </c:tx>
          <c:spPr>
            <a:solidFill>
              <a:srgbClr val="B1C5FA"/>
            </a:solidFill>
          </c:spPr>
          <c:cat>
            <c:numRef>
              <c:f>Calculation_hw_full!$C$34:$AA$34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Calculation_hw_full!$C$46:$AA$46</c:f>
              <c:numCache>
                <c:formatCode>0.0%</c:formatCode>
                <c:ptCount val="25"/>
                <c:pt idx="0" formatCode="0%">
                  <c:v>0</c:v>
                </c:pt>
                <c:pt idx="1">
                  <c:v>3.5389410827823299E-2</c:v>
                </c:pt>
                <c:pt idx="2">
                  <c:v>5.7411864106378205E-2</c:v>
                </c:pt>
                <c:pt idx="3">
                  <c:v>7.9170134579175697E-2</c:v>
                </c:pt>
                <c:pt idx="4">
                  <c:v>0.10070467012723172</c:v>
                </c:pt>
                <c:pt idx="5">
                  <c:v>0.12150588964017742</c:v>
                </c:pt>
                <c:pt idx="6">
                  <c:v>0.1420532754333699</c:v>
                </c:pt>
                <c:pt idx="7">
                  <c:v>0.16236226244559232</c:v>
                </c:pt>
                <c:pt idx="8">
                  <c:v>0.18244602061704046</c:v>
                </c:pt>
                <c:pt idx="9">
                  <c:v>0.20231548556124757</c:v>
                </c:pt>
                <c:pt idx="10">
                  <c:v>0.22197941067581536</c:v>
                </c:pt>
                <c:pt idx="11">
                  <c:v>0.24144443877642938</c:v>
                </c:pt>
                <c:pt idx="12">
                  <c:v>0.26071519123624387</c:v>
                </c:pt>
                <c:pt idx="13">
                  <c:v>0.2797943725423</c:v>
                </c:pt>
                <c:pt idx="14">
                  <c:v>0.2986828881409947</c:v>
                </c:pt>
                <c:pt idx="15">
                  <c:v>0.31737997343416613</c:v>
                </c:pt>
                <c:pt idx="16">
                  <c:v>0.33588333180420432</c:v>
                </c:pt>
                <c:pt idx="17">
                  <c:v>0.35418927958857116</c:v>
                </c:pt>
                <c:pt idx="18">
                  <c:v>0.37229289598884158</c:v>
                </c:pt>
                <c:pt idx="19">
                  <c:v>0.39018817598432376</c:v>
                </c:pt>
                <c:pt idx="20">
                  <c:v>0.40786818442284573</c:v>
                </c:pt>
                <c:pt idx="21">
                  <c:v>0.42532520957870817</c:v>
                </c:pt>
                <c:pt idx="22">
                  <c:v>0.44255091459740881</c:v>
                </c:pt>
                <c:pt idx="23">
                  <c:v>0.45953648538586683</c:v>
                </c:pt>
                <c:pt idx="24">
                  <c:v>0.87684851283674559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71-4F5D-960C-417CB480B651}"/>
            </c:ext>
          </c:extLst>
        </c:ser>
        <c:ser>
          <c:idx val="3"/>
          <c:order val="3"/>
          <c:tx>
            <c:strRef>
              <c:f>Calculation_hw_full!$B$47</c:f>
              <c:strCache>
                <c:ptCount val="1"/>
                <c:pt idx="0">
                  <c:v>accnt_DEF</c:v>
                </c:pt>
              </c:strCache>
            </c:strRef>
          </c:tx>
          <c:spPr>
            <a:solidFill>
              <a:srgbClr val="333333"/>
            </a:solidFill>
          </c:spPr>
          <c:cat>
            <c:numRef>
              <c:f>Calculation_hw_full!$C$34:$AA$34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Calculation_hw_full!$C$47:$AA$47</c:f>
              <c:numCache>
                <c:formatCode>0.0%</c:formatCode>
                <c:ptCount val="25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2.3004981957533418E-2</c:v>
                </c:pt>
                <c:pt idx="5">
                  <c:v>2.7281627902775211E-2</c:v>
                </c:pt>
                <c:pt idx="6">
                  <c:v>3.2023789124476433E-2</c:v>
                </c:pt>
                <c:pt idx="7">
                  <c:v>3.7145710402451237E-2</c:v>
                </c:pt>
                <c:pt idx="8">
                  <c:v>4.2566285928754957E-2</c:v>
                </c:pt>
                <c:pt idx="9">
                  <c:v>4.8209261912962348E-2</c:v>
                </c:pt>
                <c:pt idx="10">
                  <c:v>5.4003389633700008E-2</c:v>
                </c:pt>
                <c:pt idx="11">
                  <c:v>5.9882530775984183E-2</c:v>
                </c:pt>
                <c:pt idx="12">
                  <c:v>6.5785717254613713E-2</c:v>
                </c:pt>
                <c:pt idx="13">
                  <c:v>7.1657168035022797E-2</c:v>
                </c:pt>
                <c:pt idx="14">
                  <c:v>7.7446265724115976E-2</c:v>
                </c:pt>
                <c:pt idx="15">
                  <c:v>8.3107495914939142E-2</c:v>
                </c:pt>
                <c:pt idx="16">
                  <c:v>8.8600352431515483E-2</c:v>
                </c:pt>
                <c:pt idx="17">
                  <c:v>9.3889211735343037E-2</c:v>
                </c:pt>
                <c:pt idx="18">
                  <c:v>9.8943179824999949E-2</c:v>
                </c:pt>
                <c:pt idx="19">
                  <c:v>0.10373591498759453</c:v>
                </c:pt>
                <c:pt idx="20">
                  <c:v>0.1082454297483801</c:v>
                </c:pt>
                <c:pt idx="21">
                  <c:v>0.11245387531599491</c:v>
                </c:pt>
                <c:pt idx="22">
                  <c:v>0.11634731173898936</c:v>
                </c:pt>
                <c:pt idx="23">
                  <c:v>0.1199154668782365</c:v>
                </c:pt>
                <c:pt idx="24">
                  <c:v>0.12315148716325447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71-4F5D-960C-417CB480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5424"/>
        <c:axId val="182216960"/>
      </c:areaChart>
      <c:catAx>
        <c:axId val="1822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216960"/>
        <c:crosses val="autoZero"/>
        <c:auto val="1"/>
        <c:lblAlgn val="ctr"/>
        <c:lblOffset val="100"/>
        <c:noMultiLvlLbl val="0"/>
      </c:catAx>
      <c:valAx>
        <c:axId val="182216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2154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solidFill>
      <a:srgbClr val="D8D8D8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 изменении показателей </a:t>
            </a:r>
          </a:p>
        </c:rich>
      </c:tx>
      <c:layout>
        <c:manualLayout>
          <c:xMode val="edge"/>
          <c:yMode val="edge"/>
          <c:x val="9.0568807339449539E-2"/>
          <c:y val="3.2520325203252036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Calculation_hw_full!$F$7</c:f>
              <c:strCache>
                <c:ptCount val="1"/>
                <c:pt idx="0">
                  <c:v>1%</c:v>
                </c:pt>
              </c:strCache>
            </c:strRef>
          </c:tx>
          <c:invertIfNegative val="0"/>
          <c:cat>
            <c:strRef>
              <c:f>Calculation_hw_full!$E$8:$E$14</c:f>
              <c:strCache>
                <c:ptCount val="7"/>
                <c:pt idx="0">
                  <c:v>PD</c:v>
                </c:pt>
                <c:pt idx="1">
                  <c:v>X_score</c:v>
                </c:pt>
                <c:pt idx="2">
                  <c:v>tax_rate</c:v>
                </c:pt>
                <c:pt idx="3">
                  <c:v>discount_rate</c:v>
                </c:pt>
                <c:pt idx="4">
                  <c:v>equity</c:v>
                </c:pt>
                <c:pt idx="5">
                  <c:v>CoF</c:v>
                </c:pt>
                <c:pt idx="6">
                  <c:v>int_rate</c:v>
                </c:pt>
              </c:strCache>
            </c:strRef>
          </c:cat>
          <c:val>
            <c:numRef>
              <c:f>Calculation_hw_full!$F$8:$F$14</c:f>
              <c:numCache>
                <c:formatCode>0</c:formatCode>
                <c:ptCount val="7"/>
                <c:pt idx="0">
                  <c:v>-3007</c:v>
                </c:pt>
                <c:pt idx="1">
                  <c:v>9</c:v>
                </c:pt>
                <c:pt idx="2" formatCode="General">
                  <c:v>-258</c:v>
                </c:pt>
                <c:pt idx="3" formatCode="General">
                  <c:v>-364</c:v>
                </c:pt>
                <c:pt idx="4" formatCode="General">
                  <c:v>-484</c:v>
                </c:pt>
                <c:pt idx="5" formatCode="General">
                  <c:v>-2620</c:v>
                </c:pt>
                <c:pt idx="6" formatCode="General">
                  <c:v>2948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C1-4171-8ACE-9B30B22814ED}"/>
            </c:ext>
          </c:extLst>
        </c:ser>
        <c:ser>
          <c:idx val="1"/>
          <c:order val="1"/>
          <c:tx>
            <c:strRef>
              <c:f>Calculation_hw_full!$G$7</c:f>
              <c:strCache>
                <c:ptCount val="1"/>
                <c:pt idx="0">
                  <c:v>-1%</c:v>
                </c:pt>
              </c:strCache>
            </c:strRef>
          </c:tx>
          <c:invertIfNegative val="0"/>
          <c:cat>
            <c:strRef>
              <c:f>Calculation_hw_full!$E$8:$E$14</c:f>
              <c:strCache>
                <c:ptCount val="7"/>
                <c:pt idx="0">
                  <c:v>PD</c:v>
                </c:pt>
                <c:pt idx="1">
                  <c:v>X_score</c:v>
                </c:pt>
                <c:pt idx="2">
                  <c:v>tax_rate</c:v>
                </c:pt>
                <c:pt idx="3">
                  <c:v>discount_rate</c:v>
                </c:pt>
                <c:pt idx="4">
                  <c:v>equity</c:v>
                </c:pt>
                <c:pt idx="5">
                  <c:v>CoF</c:v>
                </c:pt>
                <c:pt idx="6">
                  <c:v>int_rate</c:v>
                </c:pt>
              </c:strCache>
            </c:strRef>
          </c:cat>
          <c:val>
            <c:numRef>
              <c:f>Calculation_hw_full!$G$8:$G$14</c:f>
              <c:numCache>
                <c:formatCode>0</c:formatCode>
                <c:ptCount val="7"/>
                <c:pt idx="0">
                  <c:v>3051</c:v>
                </c:pt>
                <c:pt idx="1">
                  <c:v>-9</c:v>
                </c:pt>
                <c:pt idx="2" formatCode="General">
                  <c:v>259</c:v>
                </c:pt>
                <c:pt idx="3" formatCode="General">
                  <c:v>370</c:v>
                </c:pt>
                <c:pt idx="4" formatCode="General">
                  <c:v>484</c:v>
                </c:pt>
                <c:pt idx="5" formatCode="General">
                  <c:v>2621</c:v>
                </c:pt>
                <c:pt idx="6" formatCode="General">
                  <c:v>-2935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C1-4171-8ACE-9B30B2281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43328"/>
        <c:axId val="182244864"/>
      </c:barChart>
      <c:catAx>
        <c:axId val="182243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82244864"/>
        <c:crosses val="max"/>
        <c:auto val="1"/>
        <c:lblAlgn val="ctr"/>
        <c:lblOffset val="100"/>
        <c:noMultiLvlLbl val="0"/>
      </c:catAx>
      <c:valAx>
        <c:axId val="182244864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82243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16341080202345"/>
          <c:y val="0.47383081425166684"/>
          <c:w val="6.8365891979765503E-2"/>
          <c:h val="0.1293112498868676"/>
        </c:manualLayout>
      </c:layout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+100руб</c:v>
                </c:pt>
              </c:strCache>
            </c:strRef>
          </c:tx>
          <c:invertIfNegative val="0"/>
          <c:cat>
            <c:strRef>
              <c:f>Calculation_hw_full!$E$15:$E$16</c:f>
              <c:strCache>
                <c:ptCount val="2"/>
                <c:pt idx="0">
                  <c:v>collection_cost</c:v>
                </c:pt>
                <c:pt idx="1">
                  <c:v>operational_cost</c:v>
                </c:pt>
              </c:strCache>
            </c:strRef>
          </c:cat>
          <c:val>
            <c:numRef>
              <c:f>Calculation_hw_full!$H$15:$H$16</c:f>
              <c:numCache>
                <c:formatCode>General</c:formatCode>
                <c:ptCount val="2"/>
                <c:pt idx="0">
                  <c:v>-115</c:v>
                </c:pt>
                <c:pt idx="1">
                  <c:v>-1063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17-40D7-8DD0-1F375DC14EFF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-100руб</c:v>
                </c:pt>
              </c:strCache>
            </c:strRef>
          </c:tx>
          <c:invertIfNegative val="0"/>
          <c:cat>
            <c:strRef>
              <c:f>Calculation_hw_full!$E$15:$E$16</c:f>
              <c:strCache>
                <c:ptCount val="2"/>
                <c:pt idx="0">
                  <c:v>collection_cost</c:v>
                </c:pt>
                <c:pt idx="1">
                  <c:v>operational_cost</c:v>
                </c:pt>
              </c:strCache>
            </c:strRef>
          </c:cat>
          <c:val>
            <c:numRef>
              <c:f>Calculation_hw_full!$I$15:$I$16</c:f>
              <c:numCache>
                <c:formatCode>General</c:formatCode>
                <c:ptCount val="2"/>
                <c:pt idx="0">
                  <c:v>116</c:v>
                </c:pt>
                <c:pt idx="1">
                  <c:v>1064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17-40D7-8DD0-1F375DC1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83264"/>
        <c:axId val="182289152"/>
      </c:barChart>
      <c:catAx>
        <c:axId val="182283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82289152"/>
        <c:crosses val="max"/>
        <c:auto val="1"/>
        <c:lblAlgn val="ctr"/>
        <c:lblOffset val="100"/>
        <c:noMultiLvlLbl val="0"/>
      </c:catAx>
      <c:valAx>
        <c:axId val="182289152"/>
        <c:scaling>
          <c:orientation val="minMax"/>
          <c:max val="4000"/>
          <c:min val="-400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8228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196581862910706"/>
          <c:y val="0.31656052427408837"/>
          <c:w val="0.10483286123887979"/>
          <c:h val="0.2830208488089932"/>
        </c:manualLayout>
      </c:layout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Лист1!$B$17:$B$18</c:f>
              <c:numCache>
                <c:formatCode>General</c:formatCode>
                <c:ptCount val="2"/>
                <c:pt idx="0">
                  <c:v>-1040.9573803388666</c:v>
                </c:pt>
                <c:pt idx="1">
                  <c:v>-137.9204788009738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19-46A8-90FA-EA456CDAFE6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-1%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Лист1!$C$17:$C$18</c:f>
              <c:numCache>
                <c:formatCode>General</c:formatCode>
                <c:ptCount val="2"/>
                <c:pt idx="0">
                  <c:v>1040.9573803388485</c:v>
                </c:pt>
                <c:pt idx="1">
                  <c:v>137.92047880099926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19-46A8-90FA-EA456CDAF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88480"/>
        <c:axId val="182790016"/>
      </c:barChart>
      <c:catAx>
        <c:axId val="1827884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90016"/>
        <c:crosses val="max"/>
        <c:auto val="1"/>
        <c:lblAlgn val="ctr"/>
        <c:lblOffset val="100"/>
        <c:noMultiLvlLbl val="0"/>
      </c:catAx>
      <c:valAx>
        <c:axId val="1827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+100руб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Лист1!$B$17:$B$18</c:f>
              <c:numCache>
                <c:formatCode>General</c:formatCode>
                <c:ptCount val="2"/>
                <c:pt idx="0">
                  <c:v>-1040.9573803388666</c:v>
                </c:pt>
                <c:pt idx="1">
                  <c:v>-137.9204788009738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3A-4EA3-BC83-601BE9E63A12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-100руб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Лист1!$C$17:$C$18</c:f>
              <c:numCache>
                <c:formatCode>General</c:formatCode>
                <c:ptCount val="2"/>
                <c:pt idx="0">
                  <c:v>1040.9573803388485</c:v>
                </c:pt>
                <c:pt idx="1">
                  <c:v>137.92047880099926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3A-4EA3-BC83-601BE9E6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16128"/>
        <c:axId val="182826112"/>
      </c:barChart>
      <c:catAx>
        <c:axId val="1828161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6112"/>
        <c:crosses val="max"/>
        <c:auto val="1"/>
        <c:lblAlgn val="ctr"/>
        <c:lblOffset val="100"/>
        <c:noMultiLvlLbl val="0"/>
      </c:catAx>
      <c:valAx>
        <c:axId val="1828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512784</xdr:colOff>
      <xdr:row>7</xdr:row>
      <xdr:rowOff>104774</xdr:rowOff>
    </xdr:from>
    <xdr:to>
      <xdr:col>17</xdr:col>
      <xdr:colOff>95250</xdr:colOff>
      <xdr:row>29</xdr:row>
      <xdr:rowOff>86528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110</xdr:row>
      <xdr:rowOff>66675</xdr:rowOff>
    </xdr:from>
    <xdr:to>
      <xdr:col>6</xdr:col>
      <xdr:colOff>723900</xdr:colOff>
      <xdr:row>127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676275</xdr:colOff>
      <xdr:row>128</xdr:row>
      <xdr:rowOff>104775</xdr:rowOff>
    </xdr:from>
    <xdr:to>
      <xdr:col>7</xdr:col>
      <xdr:colOff>114300</xdr:colOff>
      <xdr:row>136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161924</xdr:rowOff>
    </xdr:from>
    <xdr:to>
      <xdr:col>7</xdr:col>
      <xdr:colOff>381000</xdr:colOff>
      <xdr:row>21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512784</xdr:colOff>
      <xdr:row>7</xdr:row>
      <xdr:rowOff>104774</xdr:rowOff>
    </xdr:from>
    <xdr:to>
      <xdr:col>17</xdr:col>
      <xdr:colOff>95250</xdr:colOff>
      <xdr:row>29</xdr:row>
      <xdr:rowOff>86528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113</xdr:row>
      <xdr:rowOff>66675</xdr:rowOff>
    </xdr:from>
    <xdr:to>
      <xdr:col>6</xdr:col>
      <xdr:colOff>723900</xdr:colOff>
      <xdr:row>130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676275</xdr:colOff>
      <xdr:row>131</xdr:row>
      <xdr:rowOff>104775</xdr:rowOff>
    </xdr:from>
    <xdr:to>
      <xdr:col>7</xdr:col>
      <xdr:colOff>114300</xdr:colOff>
      <xdr:row>139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0</xdr:row>
      <xdr:rowOff>0</xdr:rowOff>
    </xdr:from>
    <xdr:to>
      <xdr:col>15</xdr:col>
      <xdr:colOff>171449</xdr:colOff>
      <xdr:row>13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14</xdr:row>
      <xdr:rowOff>152400</xdr:rowOff>
    </xdr:from>
    <xdr:to>
      <xdr:col>14</xdr:col>
      <xdr:colOff>285750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512784</xdr:colOff>
      <xdr:row>7</xdr:row>
      <xdr:rowOff>104774</xdr:rowOff>
    </xdr:from>
    <xdr:to>
      <xdr:col>17</xdr:col>
      <xdr:colOff>95250</xdr:colOff>
      <xdr:row>29</xdr:row>
      <xdr:rowOff>86528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512784</xdr:colOff>
      <xdr:row>7</xdr:row>
      <xdr:rowOff>104774</xdr:rowOff>
    </xdr:from>
    <xdr:to>
      <xdr:col>17</xdr:col>
      <xdr:colOff>95250</xdr:colOff>
      <xdr:row>29</xdr:row>
      <xdr:rowOff>86528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512784</xdr:colOff>
      <xdr:row>7</xdr:row>
      <xdr:rowOff>104774</xdr:rowOff>
    </xdr:from>
    <xdr:to>
      <xdr:col>17</xdr:col>
      <xdr:colOff>95250</xdr:colOff>
      <xdr:row>29</xdr:row>
      <xdr:rowOff>86528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512784</xdr:colOff>
      <xdr:row>7</xdr:row>
      <xdr:rowOff>104774</xdr:rowOff>
    </xdr:from>
    <xdr:to>
      <xdr:col>17</xdr:col>
      <xdr:colOff>95250</xdr:colOff>
      <xdr:row>29</xdr:row>
      <xdr:rowOff>86528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CI119"/>
  <sheetViews>
    <sheetView topLeftCell="A109" zoomScaleNormal="100" workbookViewId="0">
      <pane xSplit="1" topLeftCell="B1" activePane="topRight" state="frozen"/>
      <selection activeCell="A12" sqref="A12"/>
      <selection pane="topRight" activeCell="H56" sqref="H56"/>
    </sheetView>
  </sheetViews>
  <sheetFormatPr defaultColWidth="9.109375" defaultRowHeight="14.4" x14ac:dyDescent="0.3"/>
  <cols>
    <col min="1" max="1" width="40" style="9" customWidth="1"/>
    <col min="2" max="2" width="19.44140625" style="9" customWidth="1"/>
    <col min="3" max="3" width="19.6640625" style="9" customWidth="1"/>
    <col min="4" max="4" width="11.44140625" style="10" customWidth="1"/>
    <col min="5" max="5" width="18" style="9" customWidth="1"/>
    <col min="6" max="6" width="12.6640625" style="9" bestFit="1" customWidth="1"/>
    <col min="7" max="7" width="13.44140625" style="9" bestFit="1" customWidth="1"/>
    <col min="8" max="8" width="12.6640625" style="9" bestFit="1" customWidth="1"/>
    <col min="9" max="9" width="13" style="9" bestFit="1" customWidth="1"/>
    <col min="10" max="10" width="14.109375" style="9" bestFit="1" customWidth="1"/>
    <col min="11" max="11" width="10" style="9" customWidth="1"/>
    <col min="12" max="15" width="13" style="9" bestFit="1" customWidth="1"/>
    <col min="16" max="16" width="12.77734375" style="9" bestFit="1" customWidth="1"/>
    <col min="17" max="27" width="11.77734375" style="9" bestFit="1" customWidth="1"/>
    <col min="28" max="87" width="9.109375" style="9"/>
    <col min="88" max="16384" width="9.109375" style="1"/>
  </cols>
  <sheetData>
    <row r="2" spans="1:87" x14ac:dyDescent="0.3">
      <c r="CE2" s="1"/>
      <c r="CF2" s="1"/>
      <c r="CG2" s="1"/>
      <c r="CH2" s="1"/>
      <c r="CI2" s="1"/>
    </row>
    <row r="3" spans="1:87" x14ac:dyDescent="0.3">
      <c r="CE3" s="1"/>
      <c r="CF3" s="1"/>
      <c r="CG3" s="1"/>
      <c r="CH3" s="1"/>
      <c r="CI3" s="1"/>
    </row>
    <row r="4" spans="1:87" x14ac:dyDescent="0.3">
      <c r="CE4" s="1"/>
      <c r="CF4" s="1"/>
      <c r="CG4" s="1"/>
      <c r="CH4" s="1"/>
      <c r="CI4" s="1"/>
    </row>
    <row r="5" spans="1:87" x14ac:dyDescent="0.3">
      <c r="CE5" s="1"/>
      <c r="CF5" s="1"/>
      <c r="CG5" s="1"/>
      <c r="CH5" s="1"/>
      <c r="CI5" s="1"/>
    </row>
    <row r="6" spans="1:87" x14ac:dyDescent="0.3">
      <c r="CE6" s="1"/>
      <c r="CF6" s="1"/>
      <c r="CG6" s="1"/>
      <c r="CH6" s="1"/>
      <c r="CI6" s="1"/>
    </row>
    <row r="7" spans="1:87" ht="15.6" x14ac:dyDescent="0.3">
      <c r="A7" s="77" t="s">
        <v>0</v>
      </c>
      <c r="B7" s="11"/>
      <c r="C7" s="11"/>
      <c r="CE7" s="1"/>
      <c r="CF7" s="1"/>
      <c r="CG7" s="1"/>
      <c r="CH7" s="1"/>
      <c r="CI7" s="1"/>
    </row>
    <row r="8" spans="1:87" x14ac:dyDescent="0.3">
      <c r="A8" s="13" t="s">
        <v>1</v>
      </c>
      <c r="B8" s="12" t="s">
        <v>25</v>
      </c>
      <c r="C8" s="14">
        <v>0.05</v>
      </c>
      <c r="CE8" s="1"/>
      <c r="CF8" s="1"/>
      <c r="CG8" s="1"/>
      <c r="CH8" s="1"/>
      <c r="CI8" s="1"/>
    </row>
    <row r="9" spans="1:87" x14ac:dyDescent="0.3">
      <c r="A9" s="15" t="s">
        <v>67</v>
      </c>
      <c r="B9" s="12" t="s">
        <v>113</v>
      </c>
      <c r="C9" s="14">
        <v>0.15</v>
      </c>
      <c r="CE9" s="1"/>
      <c r="CF9" s="1"/>
      <c r="CG9" s="1"/>
      <c r="CH9" s="1"/>
      <c r="CI9" s="1"/>
    </row>
    <row r="10" spans="1:87" x14ac:dyDescent="0.3">
      <c r="A10" s="15" t="s">
        <v>68</v>
      </c>
      <c r="B10" s="12" t="s">
        <v>70</v>
      </c>
      <c r="C10" s="16">
        <v>500000</v>
      </c>
      <c r="CE10" s="1"/>
      <c r="CF10" s="1"/>
      <c r="CG10" s="1"/>
      <c r="CH10" s="1"/>
      <c r="CI10" s="1"/>
    </row>
    <row r="11" spans="1:87" x14ac:dyDescent="0.3">
      <c r="A11" s="15" t="s">
        <v>69</v>
      </c>
      <c r="B11" s="12" t="s">
        <v>69</v>
      </c>
      <c r="C11" s="16">
        <v>24</v>
      </c>
      <c r="CE11" s="1"/>
      <c r="CF11" s="1"/>
      <c r="CG11" s="1"/>
      <c r="CH11" s="1"/>
      <c r="CI11" s="1"/>
    </row>
    <row r="12" spans="1:87" x14ac:dyDescent="0.3">
      <c r="A12" s="17" t="s">
        <v>5</v>
      </c>
      <c r="B12" s="12" t="s">
        <v>71</v>
      </c>
      <c r="C12" s="18">
        <f>initial_amount * (interest_rate/12)/(1-POWER(1+interest_rate/12,-initial_term))</f>
        <v>26435.54862662495</v>
      </c>
      <c r="CE12" s="1"/>
      <c r="CF12" s="1"/>
      <c r="CG12" s="1"/>
      <c r="CH12" s="1"/>
      <c r="CI12" s="1"/>
    </row>
    <row r="13" spans="1:87" x14ac:dyDescent="0.3">
      <c r="A13" s="19"/>
      <c r="B13" s="19"/>
      <c r="C13" s="19"/>
      <c r="CE13" s="1"/>
      <c r="CF13" s="1"/>
      <c r="CG13" s="1"/>
      <c r="CH13" s="1"/>
      <c r="CI13" s="1"/>
    </row>
    <row r="14" spans="1:87" ht="15.6" x14ac:dyDescent="0.3">
      <c r="A14" s="77" t="s">
        <v>2</v>
      </c>
      <c r="B14" s="19"/>
      <c r="C14" s="19"/>
      <c r="CE14" s="1"/>
      <c r="CF14" s="1"/>
      <c r="CG14" s="1"/>
      <c r="CH14" s="1"/>
      <c r="CI14" s="1"/>
    </row>
    <row r="15" spans="1:87" x14ac:dyDescent="0.3">
      <c r="A15" s="13" t="s">
        <v>6</v>
      </c>
      <c r="B15" s="12" t="s">
        <v>72</v>
      </c>
      <c r="C15" s="20">
        <v>0.24</v>
      </c>
      <c r="CE15" s="1"/>
      <c r="CF15" s="1"/>
      <c r="CG15" s="1"/>
      <c r="CH15" s="1"/>
      <c r="CI15" s="1"/>
    </row>
    <row r="16" spans="1:87" x14ac:dyDescent="0.3">
      <c r="A16" s="17" t="s">
        <v>114</v>
      </c>
      <c r="B16" s="21" t="s">
        <v>114</v>
      </c>
      <c r="C16" s="14">
        <v>0.01</v>
      </c>
      <c r="CE16" s="1"/>
      <c r="CF16" s="1"/>
      <c r="CG16" s="1"/>
      <c r="CH16" s="1"/>
      <c r="CI16" s="1"/>
    </row>
    <row r="17" spans="1:87" x14ac:dyDescent="0.3">
      <c r="A17" s="19"/>
      <c r="B17" s="19"/>
      <c r="C17" s="19"/>
      <c r="CE17" s="1"/>
      <c r="CF17" s="1"/>
      <c r="CG17" s="1"/>
      <c r="CH17" s="1"/>
      <c r="CI17" s="1"/>
    </row>
    <row r="18" spans="1:87" ht="15.6" x14ac:dyDescent="0.3">
      <c r="A18" s="77" t="s">
        <v>31</v>
      </c>
      <c r="B18" s="19"/>
      <c r="C18" s="19"/>
      <c r="CE18" s="1"/>
      <c r="CF18" s="1"/>
      <c r="CG18" s="1"/>
      <c r="CH18" s="1"/>
      <c r="CI18" s="1"/>
    </row>
    <row r="19" spans="1:87" x14ac:dyDescent="0.3">
      <c r="A19" s="13" t="s">
        <v>15</v>
      </c>
      <c r="B19" s="12" t="s">
        <v>49</v>
      </c>
      <c r="C19" s="20">
        <v>0.17</v>
      </c>
    </row>
    <row r="20" spans="1:87" x14ac:dyDescent="0.3">
      <c r="A20" s="15" t="s">
        <v>7</v>
      </c>
      <c r="B20" s="12" t="s">
        <v>26</v>
      </c>
      <c r="C20" s="20">
        <v>0.2</v>
      </c>
    </row>
    <row r="21" spans="1:87" x14ac:dyDescent="0.3">
      <c r="A21" s="15" t="s">
        <v>30</v>
      </c>
      <c r="B21" s="12" t="s">
        <v>27</v>
      </c>
      <c r="C21" s="20">
        <v>0.3</v>
      </c>
    </row>
    <row r="22" spans="1:87" x14ac:dyDescent="0.3">
      <c r="A22" s="17" t="s">
        <v>55</v>
      </c>
      <c r="B22" s="12" t="s">
        <v>73</v>
      </c>
      <c r="C22" s="22">
        <v>0.125</v>
      </c>
    </row>
    <row r="23" spans="1:87" x14ac:dyDescent="0.3">
      <c r="A23" s="19"/>
      <c r="B23" s="19"/>
      <c r="C23" s="19"/>
    </row>
    <row r="24" spans="1:87" ht="15.6" x14ac:dyDescent="0.3">
      <c r="A24" s="77" t="s">
        <v>8</v>
      </c>
      <c r="B24" s="19"/>
      <c r="C24" s="19"/>
    </row>
    <row r="25" spans="1:87" x14ac:dyDescent="0.3">
      <c r="A25" s="13" t="s">
        <v>3</v>
      </c>
      <c r="B25" s="12" t="s">
        <v>28</v>
      </c>
      <c r="C25" s="16">
        <v>100</v>
      </c>
    </row>
    <row r="26" spans="1:87" x14ac:dyDescent="0.3">
      <c r="A26" s="15" t="s">
        <v>4</v>
      </c>
      <c r="B26" s="12" t="s">
        <v>29</v>
      </c>
      <c r="C26" s="16">
        <v>500</v>
      </c>
    </row>
    <row r="27" spans="1:87" x14ac:dyDescent="0.3">
      <c r="A27" s="17" t="s">
        <v>66</v>
      </c>
      <c r="B27" s="12" t="s">
        <v>74</v>
      </c>
      <c r="C27" s="20">
        <v>0.2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87" x14ac:dyDescent="0.3">
      <c r="A28" s="19"/>
      <c r="B28" s="2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87" x14ac:dyDescent="0.3">
      <c r="A29" s="19"/>
      <c r="B29" s="23"/>
      <c r="C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87" x14ac:dyDescent="0.3">
      <c r="A30" s="19"/>
      <c r="B30" s="23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87" x14ac:dyDescent="0.3">
      <c r="A31" s="19"/>
      <c r="B31" s="23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87" x14ac:dyDescent="0.3">
      <c r="A32" s="19"/>
      <c r="B32" s="2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87" x14ac:dyDescent="0.3">
      <c r="A33" s="19"/>
      <c r="B33" s="23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87" x14ac:dyDescent="0.3">
      <c r="A34" s="19"/>
      <c r="C34" s="10">
        <v>0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</row>
    <row r="35" spans="1:87" s="6" customFormat="1" x14ac:dyDescent="0.3">
      <c r="A35" s="24"/>
      <c r="B35" s="25" t="s">
        <v>75</v>
      </c>
      <c r="C35" s="26">
        <v>0</v>
      </c>
      <c r="D35" s="26">
        <v>0</v>
      </c>
      <c r="E35" s="26">
        <v>0</v>
      </c>
      <c r="F35" s="26">
        <v>0</v>
      </c>
      <c r="G35" s="26">
        <v>3.171562662223977E-2</v>
      </c>
      <c r="H35" s="26">
        <v>7.6130955413714913E-3</v>
      </c>
      <c r="I35" s="26">
        <v>8.3561259872440719E-3</v>
      </c>
      <c r="J35" s="26">
        <v>9.0308537686040607E-3</v>
      </c>
      <c r="K35" s="26">
        <v>9.6372788854514543E-3</v>
      </c>
      <c r="L35" s="26">
        <v>1.017540133778626E-2</v>
      </c>
      <c r="M35" s="26">
        <v>1.0645221125608459E-2</v>
      </c>
      <c r="N35" s="26">
        <v>1.1046738248918079E-2</v>
      </c>
      <c r="O35" s="26">
        <v>1.1379952707715101E-2</v>
      </c>
      <c r="P35" s="26">
        <v>1.164486450199952E-2</v>
      </c>
      <c r="Q35" s="26">
        <v>1.1841473631771361E-2</v>
      </c>
      <c r="R35" s="26">
        <v>1.1969780097030589E-2</v>
      </c>
      <c r="S35" s="26">
        <v>1.202978389777724E-2</v>
      </c>
      <c r="T35" s="26">
        <v>1.202148503401129E-2</v>
      </c>
      <c r="U35" s="26">
        <v>1.1944883505732751E-2</v>
      </c>
      <c r="V35" s="26">
        <v>1.179997931294161E-2</v>
      </c>
      <c r="W35" s="26">
        <v>1.1586772455637891E-2</v>
      </c>
      <c r="X35" s="26">
        <v>1.130526293382156E-2</v>
      </c>
      <c r="Y35" s="26">
        <v>1.095545074749265E-2</v>
      </c>
      <c r="Z35" s="26">
        <v>1.0537335896651141E-2</v>
      </c>
      <c r="AA35" s="26">
        <v>1.0050918381297029E-2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87" s="6" customFormat="1" x14ac:dyDescent="0.3">
      <c r="A36" s="24"/>
      <c r="B36" s="25" t="s">
        <v>78</v>
      </c>
      <c r="C36" s="26">
        <v>0</v>
      </c>
      <c r="D36" s="26">
        <v>9.4633345343556774E-2</v>
      </c>
      <c r="E36" s="26">
        <v>0.1094437681102215</v>
      </c>
      <c r="F36" s="26">
        <v>0.1218334909289057</v>
      </c>
      <c r="G36" s="26">
        <v>0.1093472906205758</v>
      </c>
      <c r="H36" s="26">
        <v>0.1143851994148974</v>
      </c>
      <c r="I36" s="26">
        <v>0.1192522449253057</v>
      </c>
      <c r="J36" s="26">
        <v>0.1239484271518017</v>
      </c>
      <c r="K36" s="26">
        <v>0.1284737460943837</v>
      </c>
      <c r="L36" s="26">
        <v>0.13282820175305279</v>
      </c>
      <c r="M36" s="26">
        <v>0.13701179412780801</v>
      </c>
      <c r="N36" s="26">
        <v>0.1410245232186508</v>
      </c>
      <c r="O36" s="26">
        <v>0.14486638902558019</v>
      </c>
      <c r="P36" s="26">
        <v>0.14853739154859619</v>
      </c>
      <c r="Q36" s="26">
        <v>0.1520375307876988</v>
      </c>
      <c r="R36" s="26">
        <v>0.1553668067428885</v>
      </c>
      <c r="S36" s="26">
        <v>0.15852521941416489</v>
      </c>
      <c r="T36" s="26">
        <v>0.16151276880152779</v>
      </c>
      <c r="U36" s="26">
        <v>0.16432945490497719</v>
      </c>
      <c r="V36" s="26">
        <v>0.1669752777245139</v>
      </c>
      <c r="W36" s="26">
        <v>0.16945023726013711</v>
      </c>
      <c r="X36" s="26">
        <v>0.17175433351184691</v>
      </c>
      <c r="Y36" s="26">
        <v>0.17388756647964379</v>
      </c>
      <c r="Z36" s="26">
        <v>0.17584993616352729</v>
      </c>
      <c r="AA36" s="26">
        <v>0.17584993616352729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</row>
    <row r="37" spans="1:87" s="6" customFormat="1" x14ac:dyDescent="0.3">
      <c r="A37" s="24"/>
      <c r="B37" s="25" t="s">
        <v>76</v>
      </c>
      <c r="C37" s="26">
        <v>0</v>
      </c>
      <c r="D37" s="26">
        <v>3.863314220507455E-2</v>
      </c>
      <c r="E37" s="26">
        <v>2.0257142857142859E-2</v>
      </c>
      <c r="F37" s="26">
        <v>2.2275841623837479E-2</v>
      </c>
      <c r="G37" s="26">
        <v>2.3516183077824979E-2</v>
      </c>
      <c r="H37" s="26">
        <v>2.4424602738397399E-2</v>
      </c>
      <c r="I37" s="26">
        <v>2.5146154850886549E-2</v>
      </c>
      <c r="J37" s="26">
        <v>2.574704152656378E-2</v>
      </c>
      <c r="K37" s="26">
        <v>2.6263246078166321E-2</v>
      </c>
      <c r="L37" s="26">
        <v>2.6716580914538091E-2</v>
      </c>
      <c r="M37" s="26">
        <v>2.7121301402000239E-2</v>
      </c>
      <c r="N37" s="26">
        <v>2.7487253202816739E-2</v>
      </c>
      <c r="O37" s="26">
        <v>2.7821530722489399E-2</v>
      </c>
      <c r="P37" s="26">
        <v>2.8129420492461778E-2</v>
      </c>
      <c r="Q37" s="26">
        <v>2.8414970841549911E-2</v>
      </c>
      <c r="R37" s="26">
        <v>2.8681352834332909E-2</v>
      </c>
      <c r="S37" s="26">
        <v>2.893109818355611E-2</v>
      </c>
      <c r="T37" s="26">
        <v>2.916626135474272E-2</v>
      </c>
      <c r="U37" s="26">
        <v>2.9388533177033691E-2</v>
      </c>
      <c r="V37" s="26">
        <v>2.9599322425237221E-2</v>
      </c>
      <c r="W37" s="26">
        <v>2.9799815655042309E-2</v>
      </c>
      <c r="X37" s="26">
        <v>2.9991021911889071E-2</v>
      </c>
      <c r="Y37" s="26">
        <v>3.017380669228344E-2</v>
      </c>
      <c r="Z37" s="26">
        <v>3.0348918123129211E-2</v>
      </c>
      <c r="AA37" s="26">
        <v>3.0517007410354711E-2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1:87" x14ac:dyDescent="0.3">
      <c r="B38" s="19"/>
      <c r="C38" s="23" t="s">
        <v>77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87" s="3" customFormat="1" ht="15.6" x14ac:dyDescent="0.3">
      <c r="A39" s="77" t="s">
        <v>24</v>
      </c>
      <c r="B39" s="27"/>
      <c r="C39" s="10">
        <v>0</v>
      </c>
      <c r="D39" s="10">
        <v>1</v>
      </c>
      <c r="E39" s="10">
        <v>2</v>
      </c>
      <c r="F39" s="10">
        <v>3</v>
      </c>
      <c r="G39" s="10">
        <v>4</v>
      </c>
      <c r="H39" s="10">
        <v>5</v>
      </c>
      <c r="I39" s="10">
        <v>6</v>
      </c>
      <c r="J39" s="10">
        <v>7</v>
      </c>
      <c r="K39" s="10">
        <v>8</v>
      </c>
      <c r="L39" s="10">
        <v>9</v>
      </c>
      <c r="M39" s="10">
        <v>10</v>
      </c>
      <c r="N39" s="10">
        <v>11</v>
      </c>
      <c r="O39" s="10">
        <v>12</v>
      </c>
      <c r="P39" s="10">
        <v>13</v>
      </c>
      <c r="Q39" s="10">
        <v>14</v>
      </c>
      <c r="R39" s="10">
        <v>15</v>
      </c>
      <c r="S39" s="10">
        <v>16</v>
      </c>
      <c r="T39" s="10">
        <v>17</v>
      </c>
      <c r="U39" s="10">
        <v>18</v>
      </c>
      <c r="V39" s="10">
        <v>19</v>
      </c>
      <c r="W39" s="10">
        <v>20</v>
      </c>
      <c r="X39" s="10">
        <v>21</v>
      </c>
      <c r="Y39" s="10">
        <v>22</v>
      </c>
      <c r="Z39" s="10">
        <v>23</v>
      </c>
      <c r="AA39" s="10">
        <v>24</v>
      </c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</row>
    <row r="40" spans="1:87" s="3" customFormat="1" x14ac:dyDescent="0.3">
      <c r="A40" s="29" t="s">
        <v>36</v>
      </c>
      <c r="B40" s="27" t="s">
        <v>37</v>
      </c>
      <c r="C40" s="30">
        <f>1-accnt_wro-accnt_clo</f>
        <v>1</v>
      </c>
      <c r="D40" s="31">
        <f>1-accnt_wro-accnt_clo</f>
        <v>0.96136685779492548</v>
      </c>
      <c r="E40" s="31">
        <f t="shared" ref="E40:AA40" si="0">1-accnt_wro-accnt_clo</f>
        <v>0.94189231201845114</v>
      </c>
      <c r="F40" s="31">
        <f t="shared" si="0"/>
        <v>0.92091086804921796</v>
      </c>
      <c r="G40" s="31">
        <f t="shared" si="0"/>
        <v>0.87004729423440219</v>
      </c>
      <c r="H40" s="31">
        <f t="shared" si="0"/>
        <v>0.84217298153259101</v>
      </c>
      <c r="I40" s="31">
        <f t="shared" si="0"/>
        <v>0.81395826579100039</v>
      </c>
      <c r="J40" s="31">
        <f t="shared" si="0"/>
        <v>0.7856505104486845</v>
      </c>
      <c r="K40" s="31">
        <f t="shared" si="0"/>
        <v>0.75744524468564245</v>
      </c>
      <c r="L40" s="31">
        <f t="shared" si="0"/>
        <v>0.72950158816159227</v>
      </c>
      <c r="M40" s="31">
        <f t="shared" si="0"/>
        <v>0.70195084999836121</v>
      </c>
      <c r="N40" s="31">
        <f t="shared" si="0"/>
        <v>0.67490188194498635</v>
      </c>
      <c r="O40" s="31">
        <f t="shared" si="0"/>
        <v>0.64844472700290612</v>
      </c>
      <c r="P40" s="31">
        <f t="shared" si="0"/>
        <v>0.62265330162793697</v>
      </c>
      <c r="Q40" s="31">
        <f t="shared" si="0"/>
        <v>0.59758749356482177</v>
      </c>
      <c r="R40" s="31">
        <f t="shared" si="0"/>
        <v>0.57329488492579772</v>
      </c>
      <c r="S40" s="31">
        <f t="shared" si="0"/>
        <v>0.54981222074652059</v>
      </c>
      <c r="T40" s="31">
        <f t="shared" si="0"/>
        <v>0.52716669443697528</v>
      </c>
      <c r="U40" s="31">
        <f t="shared" si="0"/>
        <v>0.5053770937945351</v>
      </c>
      <c r="V40" s="31">
        <f t="shared" si="0"/>
        <v>0.48445483499697128</v>
      </c>
      <c r="W40" s="31">
        <f t="shared" si="0"/>
        <v>0.46440490228272407</v>
      </c>
      <c r="X40" s="31">
        <f t="shared" si="0"/>
        <v>0.44522670515431229</v>
      </c>
      <c r="Y40" s="31">
        <f t="shared" si="0"/>
        <v>0.42691486137895734</v>
      </c>
      <c r="Z40" s="31">
        <f t="shared" si="0"/>
        <v>0.40945991191179792</v>
      </c>
      <c r="AA40" s="31">
        <f t="shared" si="0"/>
        <v>0</v>
      </c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</row>
    <row r="41" spans="1:87" s="3" customFormat="1" x14ac:dyDescent="0.3">
      <c r="A41" s="32" t="s">
        <v>9</v>
      </c>
      <c r="B41" s="33" t="s">
        <v>32</v>
      </c>
      <c r="C41" s="30">
        <v>1</v>
      </c>
      <c r="D41" s="26">
        <f t="shared" ref="D41:AA41" si="1">accnt_act-accnt_dlq</f>
        <v>0.87038949593936832</v>
      </c>
      <c r="E41" s="26">
        <f t="shared" si="1"/>
        <v>0.83880806823710341</v>
      </c>
      <c r="F41" s="26">
        <f t="shared" si="1"/>
        <v>0.80871308216041293</v>
      </c>
      <c r="G41" s="26">
        <f t="shared" si="1"/>
        <v>0.77490997989810739</v>
      </c>
      <c r="H41" s="26">
        <f t="shared" si="1"/>
        <v>0.74584085709814685</v>
      </c>
      <c r="I41" s="26">
        <f t="shared" si="1"/>
        <v>0.71689191531991492</v>
      </c>
      <c r="J41" s="26">
        <f t="shared" si="1"/>
        <v>0.68827036538755992</v>
      </c>
      <c r="K41" s="26">
        <f t="shared" si="1"/>
        <v>0.66013341663950087</v>
      </c>
      <c r="L41" s="26">
        <f t="shared" si="1"/>
        <v>0.63260320403009185</v>
      </c>
      <c r="M41" s="26">
        <f t="shared" si="1"/>
        <v>0.60577530465054585</v>
      </c>
      <c r="N41" s="26">
        <f t="shared" si="1"/>
        <v>0.57972416582432451</v>
      </c>
      <c r="O41" s="26">
        <f t="shared" si="1"/>
        <v>0.55450688091931699</v>
      </c>
      <c r="P41" s="26">
        <f t="shared" si="1"/>
        <v>0.53016600436500194</v>
      </c>
      <c r="Q41" s="26">
        <f t="shared" si="1"/>
        <v>0.50673176661361641</v>
      </c>
      <c r="R41" s="26">
        <f t="shared" si="1"/>
        <v>0.48422388933284483</v>
      </c>
      <c r="S41" s="26">
        <f t="shared" si="1"/>
        <v>0.46265311781608914</v>
      </c>
      <c r="T41" s="26">
        <f t="shared" si="1"/>
        <v>0.44202254199851043</v>
      </c>
      <c r="U41" s="26">
        <f t="shared" si="1"/>
        <v>0.42232875144981763</v>
      </c>
      <c r="V41" s="26">
        <f t="shared" si="1"/>
        <v>0.40356285437836847</v>
      </c>
      <c r="W41" s="26">
        <f t="shared" si="1"/>
        <v>0.38571138140614569</v>
      </c>
      <c r="X41" s="26">
        <f t="shared" si="1"/>
        <v>0.3687570891488578</v>
      </c>
      <c r="Y41" s="26">
        <f t="shared" si="1"/>
        <v>0.35267967503977599</v>
      </c>
      <c r="Z41" s="26">
        <f t="shared" si="1"/>
        <v>0.33745641254058478</v>
      </c>
      <c r="AA41" s="26">
        <f t="shared" si="1"/>
        <v>0</v>
      </c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</row>
    <row r="42" spans="1:87" s="3" customFormat="1" ht="14.25" customHeight="1" x14ac:dyDescent="0.3">
      <c r="A42" s="32" t="s">
        <v>10</v>
      </c>
      <c r="B42" s="33" t="s">
        <v>33</v>
      </c>
      <c r="C42" s="30">
        <v>0</v>
      </c>
      <c r="D42" s="26">
        <f>accnt_act*DLNQ_Ratio</f>
        <v>9.0977361855557215E-2</v>
      </c>
      <c r="E42" s="26">
        <f t="shared" ref="E42:AA42" si="2">accnt_act*DLNQ_Ratio</f>
        <v>0.10308424378134776</v>
      </c>
      <c r="F42" s="26">
        <f t="shared" si="2"/>
        <v>0.11219778588880508</v>
      </c>
      <c r="G42" s="26">
        <f t="shared" si="2"/>
        <v>9.5137314336294798E-2</v>
      </c>
      <c r="H42" s="26">
        <f t="shared" si="2"/>
        <v>9.6332124434444125E-2</v>
      </c>
      <c r="I42" s="26">
        <f t="shared" si="2"/>
        <v>9.7066350471085458E-2</v>
      </c>
      <c r="J42" s="26">
        <f t="shared" si="2"/>
        <v>9.7380145061124593E-2</v>
      </c>
      <c r="K42" s="26">
        <f t="shared" si="2"/>
        <v>9.7311828046141566E-2</v>
      </c>
      <c r="L42" s="26">
        <f t="shared" si="2"/>
        <v>9.6898384131500412E-2</v>
      </c>
      <c r="M42" s="26">
        <f t="shared" si="2"/>
        <v>9.6175545347815306E-2</v>
      </c>
      <c r="N42" s="26">
        <f t="shared" si="2"/>
        <v>9.5177716120661851E-2</v>
      </c>
      <c r="O42" s="26">
        <f t="shared" si="2"/>
        <v>9.3937846083589141E-2</v>
      </c>
      <c r="P42" s="26">
        <f t="shared" si="2"/>
        <v>9.2487297262935031E-2</v>
      </c>
      <c r="Q42" s="26">
        <f t="shared" si="2"/>
        <v>9.0855726951205348E-2</v>
      </c>
      <c r="R42" s="26">
        <f t="shared" si="2"/>
        <v>8.9070995592952909E-2</v>
      </c>
      <c r="S42" s="26">
        <f t="shared" si="2"/>
        <v>8.7159102930431442E-2</v>
      </c>
      <c r="T42" s="26">
        <f t="shared" si="2"/>
        <v>8.5144152438464835E-2</v>
      </c>
      <c r="U42" s="26">
        <f t="shared" si="2"/>
        <v>8.3048342344717488E-2</v>
      </c>
      <c r="V42" s="26">
        <f t="shared" si="2"/>
        <v>8.0891980618602838E-2</v>
      </c>
      <c r="W42" s="26">
        <f t="shared" si="2"/>
        <v>7.8693520876578382E-2</v>
      </c>
      <c r="X42" s="26">
        <f t="shared" si="2"/>
        <v>7.6469616005454474E-2</v>
      </c>
      <c r="Y42" s="26">
        <f t="shared" si="2"/>
        <v>7.4235186339181358E-2</v>
      </c>
      <c r="Z42" s="26">
        <f t="shared" si="2"/>
        <v>7.200349937121317E-2</v>
      </c>
      <c r="AA42" s="26">
        <f t="shared" si="2"/>
        <v>0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 spans="1:87" s="3" customFormat="1" x14ac:dyDescent="0.3">
      <c r="A43" s="29" t="s">
        <v>38</v>
      </c>
      <c r="B43" s="27" t="s">
        <v>39</v>
      </c>
      <c r="C43" s="30">
        <v>0</v>
      </c>
      <c r="D43" s="26">
        <f>prev accnt_act*CLO_Rate +prev accnt_clo</f>
        <v>3.863314220507455E-2</v>
      </c>
      <c r="E43" s="26">
        <f>prev accnt_act*CLO_Rate +prev accnt_clo</f>
        <v>5.8107687981548903E-2</v>
      </c>
      <c r="F43" s="26">
        <f>prev accnt_act*CLO_Rate +prev accnt_clo</f>
        <v>7.9089131950782043E-2</v>
      </c>
      <c r="G43" s="26">
        <f>prev accnt_act*CLO_Rate +prev accnt_clo</f>
        <v>0.10074544052218617</v>
      </c>
      <c r="H43" s="26">
        <f>prev accnt_act*CLO_Rate +prev accnt_clo</f>
        <v>0.121996000047479</v>
      </c>
      <c r="I43" s="26">
        <f>prev accnt_act*CLO_Rate +prev accnt_clo</f>
        <v>0.14317341225233035</v>
      </c>
      <c r="J43" s="26">
        <f>prev accnt_act*CLO_Rate +prev accnt_clo</f>
        <v>0.16413042952254109</v>
      </c>
      <c r="K43" s="26">
        <f>prev accnt_act*CLO_Rate +prev accnt_clo</f>
        <v>0.18476416220989186</v>
      </c>
      <c r="L43" s="26">
        <f>prev accnt_act*CLO_Rate +prev accnt_clo</f>
        <v>0.20500050937786793</v>
      </c>
      <c r="M43" s="26">
        <f>prev accnt_act*CLO_Rate +prev accnt_clo</f>
        <v>0.22478554182363633</v>
      </c>
      <c r="N43" s="26">
        <f>prev accnt_act*CLO_Rate +prev accnt_clo</f>
        <v>0.24408024257347372</v>
      </c>
      <c r="O43" s="26">
        <f>prev accnt_act*CLO_Rate +prev accnt_clo</f>
        <v>0.26285704601667209</v>
      </c>
      <c r="P43" s="26">
        <f>prev accnt_act*CLO_Rate +prev accnt_clo</f>
        <v>0.28109742040865643</v>
      </c>
      <c r="Q43" s="26">
        <f>prev accnt_act*CLO_Rate +prev accnt_clo</f>
        <v>0.29879009581880905</v>
      </c>
      <c r="R43" s="26">
        <f>prev accnt_act*CLO_Rate +prev accnt_clo</f>
        <v>0.31592971357112637</v>
      </c>
      <c r="S43" s="26">
        <f>prev accnt_act*CLO_Rate +prev accnt_clo</f>
        <v>0.33251576417504514</v>
      </c>
      <c r="T43" s="26">
        <f>prev accnt_act*CLO_Rate +prev accnt_clo</f>
        <v>0.34855173110136967</v>
      </c>
      <c r="U43" s="26">
        <f>prev accnt_act*CLO_Rate +prev accnt_clo</f>
        <v>0.36404438699065789</v>
      </c>
      <c r="V43" s="26">
        <f>prev accnt_act*CLO_Rate +prev accnt_clo</f>
        <v>0.37900320653621167</v>
      </c>
      <c r="W43" s="26">
        <f>prev accnt_act*CLO_Rate +prev accnt_clo</f>
        <v>0.39343987131231534</v>
      </c>
      <c r="X43" s="26">
        <f>prev accnt_act*CLO_Rate +prev accnt_clo</f>
        <v>0.4073678489126652</v>
      </c>
      <c r="Y43" s="26">
        <f>prev accnt_act*CLO_Rate +prev accnt_clo</f>
        <v>0.42080203344823369</v>
      </c>
      <c r="Z43" s="26">
        <f>prev accnt_act*CLO_Rate +prev accnt_clo</f>
        <v>0.43375843762177074</v>
      </c>
      <c r="AA43" s="26">
        <f>1-accnt_wro</f>
        <v>0.83910290137853016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 spans="1:87" s="3" customFormat="1" x14ac:dyDescent="0.3">
      <c r="A44" s="29" t="s">
        <v>90</v>
      </c>
      <c r="B44" s="34" t="s">
        <v>91</v>
      </c>
      <c r="C44" s="35">
        <v>0</v>
      </c>
      <c r="D44" s="36">
        <f>prev accnt_act*DEF_Rate+prev accnt_DEF</f>
        <v>0</v>
      </c>
      <c r="E44" s="36">
        <f>prev accnt_act*DEF_Rate+prev accnt_DEF</f>
        <v>0</v>
      </c>
      <c r="F44" s="36">
        <f>prev accnt_act*DEF_Rate+prev accnt_DEF</f>
        <v>0</v>
      </c>
      <c r="G44" s="36">
        <f>prev accnt_act*DEF_Rate+prev accnt_DEF</f>
        <v>2.9207265243411714E-2</v>
      </c>
      <c r="H44" s="36">
        <f>prev accnt_act*DEF_Rate+prev accnt_DEF</f>
        <v>3.5831018419929972E-2</v>
      </c>
      <c r="I44" s="36">
        <f>prev accnt_act*DEF_Rate+prev accnt_DEF</f>
        <v>4.2868321956669279E-2</v>
      </c>
      <c r="J44" s="36">
        <f>prev accnt_act*DEF_Rate+prev accnt_DEF</f>
        <v>5.0219060028774361E-2</v>
      </c>
      <c r="K44" s="36">
        <f>prev accnt_act*DEF_Rate+prev accnt_DEF</f>
        <v>5.7790593104465625E-2</v>
      </c>
      <c r="L44" s="36">
        <f>prev accnt_act*DEF_Rate+prev accnt_DEF</f>
        <v>6.5497902460539756E-2</v>
      </c>
      <c r="M44" s="36">
        <f>prev accnt_act*DEF_Rate+prev accnt_DEF</f>
        <v>7.3263608178002454E-2</v>
      </c>
      <c r="N44" s="36">
        <f>prev accnt_act*DEF_Rate+prev accnt_DEF</f>
        <v>8.1017875481539908E-2</v>
      </c>
      <c r="O44" s="36">
        <f>prev accnt_act*DEF_Rate+prev accnt_DEF</f>
        <v>8.8698226980421777E-2</v>
      </c>
      <c r="P44" s="36">
        <f>prev accnt_act*DEF_Rate+prev accnt_DEF</f>
        <v>9.6249277963406682E-2</v>
      </c>
      <c r="Q44" s="36">
        <f>prev accnt_act*DEF_Rate+prev accnt_DEF</f>
        <v>0.10362241061636927</v>
      </c>
      <c r="R44" s="36">
        <f>prev accnt_act*DEF_Rate+prev accnt_DEF</f>
        <v>0.11077540150307587</v>
      </c>
      <c r="S44" s="36">
        <f>prev accnt_act*DEF_Rate+prev accnt_DEF</f>
        <v>0.11767201507843429</v>
      </c>
      <c r="T44" s="36">
        <f>prev accnt_act*DEF_Rate+prev accnt_DEF</f>
        <v>0.12428157446165509</v>
      </c>
      <c r="U44" s="36">
        <f>prev accnt_act*DEF_Rate+prev accnt_DEF</f>
        <v>0.13057851921480698</v>
      </c>
      <c r="V44" s="36">
        <f>prev accnt_act*DEF_Rate+prev accnt_DEF</f>
        <v>0.13654195846681705</v>
      </c>
      <c r="W44" s="36">
        <f>prev accnt_act*DEF_Rate+prev accnt_DEF</f>
        <v>0.14215522640496056</v>
      </c>
      <c r="X44" s="36">
        <f>prev accnt_act*DEF_Rate+prev accnt_DEF</f>
        <v>0.14740544593302246</v>
      </c>
      <c r="Y44" s="36">
        <f>prev accnt_act*DEF_Rate+prev accnt_DEF</f>
        <v>0.15228310517280896</v>
      </c>
      <c r="Z44" s="36">
        <f>prev accnt_act*DEF_Rate+prev accnt_DEF</f>
        <v>0.1567816504664313</v>
      </c>
      <c r="AA44" s="36">
        <f>prev accnt_act*DEF_Rate+prev accnt_DEF</f>
        <v>0.16089709862146986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 spans="1:87" s="3" customFormat="1" ht="15.75" customHeight="1" x14ac:dyDescent="0.3">
      <c r="A45" s="28"/>
      <c r="B45" s="37"/>
      <c r="C45" s="38"/>
      <c r="D45" s="39"/>
      <c r="E45" s="39"/>
      <c r="F45" s="39"/>
      <c r="G45" s="39"/>
      <c r="H45" s="39"/>
      <c r="I45" s="39"/>
      <c r="J45" s="39"/>
      <c r="K45" s="39"/>
      <c r="L45" s="40"/>
      <c r="M45" s="40"/>
      <c r="N45" s="41"/>
      <c r="O45" s="41"/>
      <c r="P45" s="41"/>
      <c r="Q45" s="41"/>
      <c r="R45" s="42"/>
      <c r="S45" s="38"/>
      <c r="T45" s="38"/>
      <c r="U45" s="38"/>
      <c r="V45" s="38"/>
      <c r="W45" s="38"/>
      <c r="X45" s="38"/>
      <c r="Y45" s="38"/>
      <c r="Z45" s="38"/>
      <c r="AA45" s="3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 spans="1:87" s="3" customFormat="1" x14ac:dyDescent="0.3">
      <c r="A46" s="29" t="s">
        <v>103</v>
      </c>
      <c r="B46" s="27" t="s">
        <v>104</v>
      </c>
      <c r="C46" s="31">
        <v>0</v>
      </c>
      <c r="D46" s="43">
        <f>accnt_DEF-prev accnt_DEF</f>
        <v>0</v>
      </c>
      <c r="E46" s="43">
        <f>accnt_DEF-prev accnt_DEF</f>
        <v>0</v>
      </c>
      <c r="F46" s="43">
        <f>accnt_DEF-prev accnt_DEF</f>
        <v>0</v>
      </c>
      <c r="G46" s="43">
        <f>accnt_DEF-prev accnt_DEF</f>
        <v>2.9207265243411714E-2</v>
      </c>
      <c r="H46" s="43">
        <f>accnt_DEF-prev accnt_DEF</f>
        <v>6.6237531765182579E-3</v>
      </c>
      <c r="I46" s="43">
        <f>accnt_DEF-prev accnt_DEF</f>
        <v>7.0373035367393075E-3</v>
      </c>
      <c r="J46" s="43">
        <f>accnt_DEF-prev accnt_DEF</f>
        <v>7.3507380721050813E-3</v>
      </c>
      <c r="K46" s="43">
        <f>accnt_DEF-prev accnt_DEF</f>
        <v>7.5715330756912641E-3</v>
      </c>
      <c r="L46" s="43">
        <f>accnt_DEF-prev accnt_DEF</f>
        <v>7.707309356074131E-3</v>
      </c>
      <c r="M46" s="43">
        <f>accnt_DEF-prev accnt_DEF</f>
        <v>7.7657057174626981E-3</v>
      </c>
      <c r="N46" s="43">
        <f>accnt_DEF-prev accnt_DEF</f>
        <v>7.7542673035374543E-3</v>
      </c>
      <c r="O46" s="43">
        <f>accnt_DEF-prev accnt_DEF</f>
        <v>7.6803514988818683E-3</v>
      </c>
      <c r="P46" s="43">
        <f>accnt_DEF-prev accnt_DEF</f>
        <v>7.5510509829849054E-3</v>
      </c>
      <c r="Q46" s="43">
        <f>accnt_DEF-prev accnt_DEF</f>
        <v>7.3731326529625912E-3</v>
      </c>
      <c r="R46" s="43">
        <f>accnt_DEF-prev accnt_DEF</f>
        <v>7.152990886706595E-3</v>
      </c>
      <c r="S46" s="43">
        <f>accnt_DEF-prev accnt_DEF</f>
        <v>6.8966135753584235E-3</v>
      </c>
      <c r="T46" s="43">
        <f>accnt_DEF-prev accnt_DEF</f>
        <v>6.6095593832208033E-3</v>
      </c>
      <c r="U46" s="43">
        <f>accnt_DEF-prev accnt_DEF</f>
        <v>6.2969447531518868E-3</v>
      </c>
      <c r="V46" s="43">
        <f>accnt_DEF-prev accnt_DEF</f>
        <v>5.9634392520100665E-3</v>
      </c>
      <c r="W46" s="43">
        <f>accnt_DEF-prev accnt_DEF</f>
        <v>5.6132679381435124E-3</v>
      </c>
      <c r="X46" s="43">
        <f>accnt_DEF-prev accnt_DEF</f>
        <v>5.2502195280619002E-3</v>
      </c>
      <c r="Y46" s="43">
        <f>accnt_DEF-prev accnt_DEF</f>
        <v>4.8776592397865026E-3</v>
      </c>
      <c r="Z46" s="43">
        <f>accnt_DEF-prev accnt_DEF</f>
        <v>4.4985452936223413E-3</v>
      </c>
      <c r="AA46" s="43">
        <f>accnt_DEF-prev accnt_DEF</f>
        <v>4.1154481550385591E-3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 spans="1:87" x14ac:dyDescent="0.3">
      <c r="A47" s="29"/>
      <c r="B47" s="27"/>
      <c r="C47" s="44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87" ht="15.6" x14ac:dyDescent="0.3">
      <c r="A48" s="77" t="s">
        <v>79</v>
      </c>
      <c r="B48" s="27"/>
      <c r="C48" s="45"/>
      <c r="D48" s="9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87" x14ac:dyDescent="0.3">
      <c r="A49" s="47" t="s">
        <v>35</v>
      </c>
      <c r="B49" s="27" t="s">
        <v>82</v>
      </c>
      <c r="C49" s="48">
        <f>initial_amount</f>
        <v>500000</v>
      </c>
      <c r="D49" s="49">
        <f>prev PB_model+int_model-regular_payment</f>
        <v>483564.45137337502</v>
      </c>
      <c r="E49" s="49">
        <f>prev PB_model+int_model-regular_payment</f>
        <v>466800.19177421753</v>
      </c>
      <c r="F49" s="49">
        <f>prev PB_model+int_model-regular_payment</f>
        <v>449700.64698307693</v>
      </c>
      <c r="G49" s="49">
        <f>prev PB_model+int_model-regular_payment</f>
        <v>432259.11129611358</v>
      </c>
      <c r="H49" s="49">
        <f>prev PB_model+int_model-regular_payment</f>
        <v>414468.74489541096</v>
      </c>
      <c r="I49" s="49">
        <f>prev PB_model+int_model-regular_payment</f>
        <v>396322.57116669428</v>
      </c>
      <c r="J49" s="49">
        <f>prev PB_model+int_model-regular_payment</f>
        <v>377813.47396340326</v>
      </c>
      <c r="K49" s="49">
        <f>prev PB_model+int_model-regular_payment</f>
        <v>358934.19481604639</v>
      </c>
      <c r="L49" s="49">
        <f>prev PB_model+int_model-regular_payment</f>
        <v>339677.3300857424</v>
      </c>
      <c r="M49" s="49">
        <f>prev PB_model+int_model-regular_payment</f>
        <v>320035.32806083234</v>
      </c>
      <c r="N49" s="49">
        <f>prev PB_model+int_model-regular_payment</f>
        <v>300000.48599542398</v>
      </c>
      <c r="O49" s="49">
        <f>prev PB_model+int_model-regular_payment</f>
        <v>279564.94708870747</v>
      </c>
      <c r="P49" s="49">
        <f>prev PB_model+int_model-regular_payment</f>
        <v>258720.6974038567</v>
      </c>
      <c r="Q49" s="49">
        <f>prev PB_model+int_model-regular_payment</f>
        <v>237459.5627253089</v>
      </c>
      <c r="R49" s="49">
        <f>prev PB_model+int_model-regular_payment</f>
        <v>215773.20535319013</v>
      </c>
      <c r="S49" s="49">
        <f>prev PB_model+int_model-regular_payment</f>
        <v>193653.12083362899</v>
      </c>
      <c r="T49" s="49">
        <f>prev PB_model+int_model-regular_payment</f>
        <v>171090.63462367663</v>
      </c>
      <c r="U49" s="49">
        <f>prev PB_model+int_model-regular_payment</f>
        <v>148076.8986895252</v>
      </c>
      <c r="V49" s="49">
        <f>prev PB_model+int_model-regular_payment</f>
        <v>124602.88803669077</v>
      </c>
      <c r="W49" s="49">
        <f>prev PB_model+int_model-regular_payment</f>
        <v>100659.39717079964</v>
      </c>
      <c r="X49" s="49">
        <f>prev PB_model+int_model-regular_payment</f>
        <v>76237.036487590682</v>
      </c>
      <c r="Y49" s="49">
        <f>prev PB_model+int_model-regular_payment</f>
        <v>51326.228590717539</v>
      </c>
      <c r="Z49" s="49">
        <f>prev PB_model+int_model-regular_payment</f>
        <v>25917.204535906938</v>
      </c>
      <c r="AA49" s="49">
        <f>prev PB_model+int_model-regular_payment</f>
        <v>1.2732925824820995E-10</v>
      </c>
    </row>
    <row r="50" spans="1:87" x14ac:dyDescent="0.3">
      <c r="A50" s="47" t="s">
        <v>80</v>
      </c>
      <c r="B50" s="50" t="s">
        <v>81</v>
      </c>
      <c r="C50" s="51">
        <f>PB*accnt_cur</f>
        <v>500000</v>
      </c>
      <c r="D50" s="51">
        <f>prev PB_model*interest_rate/12</f>
        <v>10000</v>
      </c>
      <c r="E50" s="51">
        <f>prev PB_model*interest_rate/12</f>
        <v>9671.2890274674992</v>
      </c>
      <c r="F50" s="51">
        <f>prev PB_model*interest_rate/12</f>
        <v>9336.0038354843509</v>
      </c>
      <c r="G50" s="51">
        <f>prev PB_model*interest_rate/12</f>
        <v>8994.0129396615393</v>
      </c>
      <c r="H50" s="51">
        <f>prev PB_model*interest_rate/12</f>
        <v>8645.1822259222718</v>
      </c>
      <c r="I50" s="51">
        <f>prev PB_model*interest_rate/12</f>
        <v>8289.3748979082193</v>
      </c>
      <c r="J50" s="51">
        <f>prev PB_model*interest_rate/12</f>
        <v>7926.451423333885</v>
      </c>
      <c r="K50" s="51">
        <f>prev PB_model*interest_rate/12</f>
        <v>7556.2694792680641</v>
      </c>
      <c r="L50" s="51">
        <f>prev PB_model*interest_rate/12</f>
        <v>7178.6838963209275</v>
      </c>
      <c r="M50" s="51">
        <f>prev PB_model*interest_rate/12</f>
        <v>6793.5466017148474</v>
      </c>
      <c r="N50" s="51">
        <f>prev PB_model*interest_rate/12</f>
        <v>6400.7065612166471</v>
      </c>
      <c r="O50" s="51">
        <f>prev PB_model*interest_rate/12</f>
        <v>6000.0097199084785</v>
      </c>
      <c r="P50" s="51">
        <f>prev PB_model*interest_rate/12</f>
        <v>5591.2989417741492</v>
      </c>
      <c r="Q50" s="51">
        <f>prev PB_model*interest_rate/12</f>
        <v>5174.4139480771337</v>
      </c>
      <c r="R50" s="51">
        <f>prev PB_model*interest_rate/12</f>
        <v>4749.1912545061778</v>
      </c>
      <c r="S50" s="51">
        <f>prev PB_model*interest_rate/12</f>
        <v>4315.4641070638027</v>
      </c>
      <c r="T50" s="51">
        <f>prev PB_model*interest_rate/12</f>
        <v>3873.0624166725793</v>
      </c>
      <c r="U50" s="51">
        <f>prev PB_model*interest_rate/12</f>
        <v>3421.812692473532</v>
      </c>
      <c r="V50" s="51">
        <f>prev PB_model*interest_rate/12</f>
        <v>2961.5379737905041</v>
      </c>
      <c r="W50" s="51">
        <f>prev PB_model*interest_rate/12</f>
        <v>2492.057760733815</v>
      </c>
      <c r="X50" s="51">
        <f>prev PB_model*interest_rate/12</f>
        <v>2013.1879434159928</v>
      </c>
      <c r="Y50" s="51">
        <f>prev PB_model*interest_rate/12</f>
        <v>1524.7407297518137</v>
      </c>
      <c r="Z50" s="51">
        <f>prev PB_model*interest_rate/12</f>
        <v>1026.5245718143508</v>
      </c>
      <c r="AA50" s="51">
        <f>prev PB_model*interest_rate/12</f>
        <v>518.34409071813877</v>
      </c>
    </row>
    <row r="51" spans="1:87" x14ac:dyDescent="0.3">
      <c r="A51" s="47"/>
      <c r="B51" s="27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87" ht="15.6" x14ac:dyDescent="0.3">
      <c r="A52" s="77" t="s">
        <v>83</v>
      </c>
      <c r="B52" s="52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87" x14ac:dyDescent="0.3">
      <c r="A53" s="47" t="s">
        <v>84</v>
      </c>
      <c r="B53" s="27" t="s">
        <v>85</v>
      </c>
      <c r="C53" s="48">
        <f t="shared" ref="C53:AA53" si="3">PB_cur+PB_dlq</f>
        <v>500000</v>
      </c>
      <c r="D53" s="48">
        <f t="shared" si="3"/>
        <v>466378.10001284769</v>
      </c>
      <c r="E53" s="48">
        <f t="shared" si="3"/>
        <v>441403.64290420746</v>
      </c>
      <c r="F53" s="48">
        <f t="shared" si="3"/>
        <v>416052.74424075277</v>
      </c>
      <c r="G53" s="48">
        <f t="shared" si="3"/>
        <v>377745.21105450927</v>
      </c>
      <c r="H53" s="48">
        <f t="shared" si="3"/>
        <v>350768.16243048594</v>
      </c>
      <c r="I53" s="48">
        <f t="shared" si="3"/>
        <v>324351.41557953361</v>
      </c>
      <c r="J53" s="48">
        <f t="shared" si="3"/>
        <v>298631.76724434551</v>
      </c>
      <c r="K53" s="48">
        <f t="shared" si="3"/>
        <v>273710.17618450697</v>
      </c>
      <c r="L53" s="48">
        <f t="shared" si="3"/>
        <v>249661.11083584381</v>
      </c>
      <c r="M53" s="48">
        <f t="shared" si="3"/>
        <v>226538.15081827424</v>
      </c>
      <c r="N53" s="48">
        <f t="shared" si="3"/>
        <v>204377.76309334591</v>
      </c>
      <c r="O53" s="48">
        <f t="shared" si="3"/>
        <v>183202.08630297316</v>
      </c>
      <c r="P53" s="48">
        <f t="shared" si="3"/>
        <v>163021.12475481941</v>
      </c>
      <c r="Q53" s="48">
        <f t="shared" si="3"/>
        <v>143834.56075904286</v>
      </c>
      <c r="R53" s="48">
        <f t="shared" si="3"/>
        <v>125633.30037494685</v>
      </c>
      <c r="S53" s="48">
        <f t="shared" si="3"/>
        <v>108400.81914350211</v>
      </c>
      <c r="T53" s="48">
        <f t="shared" si="3"/>
        <v>92114.348068938867</v>
      </c>
      <c r="U53" s="48">
        <f t="shared" si="3"/>
        <v>76745.925338310393</v>
      </c>
      <c r="V53" s="48">
        <f t="shared" si="3"/>
        <v>62263.330778731077</v>
      </c>
      <c r="W53" s="48">
        <f t="shared" si="3"/>
        <v>48630.915105256288</v>
      </c>
      <c r="X53" s="48">
        <f t="shared" si="3"/>
        <v>35810.333109490777</v>
      </c>
      <c r="Y53" s="48">
        <f t="shared" si="3"/>
        <v>23761.188229994783</v>
      </c>
      <c r="Z53" s="48">
        <f t="shared" si="3"/>
        <v>12441.594933826202</v>
      </c>
      <c r="AA53" s="48">
        <f t="shared" si="3"/>
        <v>0</v>
      </c>
    </row>
    <row r="54" spans="1:87" x14ac:dyDescent="0.3">
      <c r="A54" s="32" t="s">
        <v>86</v>
      </c>
      <c r="B54" s="33" t="s">
        <v>44</v>
      </c>
      <c r="C54" s="48">
        <f t="shared" ref="C54:AA54" si="4">PB_model*accnt_cur</f>
        <v>500000</v>
      </c>
      <c r="D54" s="48">
        <f>PB_model*accnt_cur</f>
        <v>420889.41908506909</v>
      </c>
      <c r="E54" s="48">
        <f t="shared" si="4"/>
        <v>391555.7671148408</v>
      </c>
      <c r="F54" s="48">
        <f t="shared" si="4"/>
        <v>363678.79627121595</v>
      </c>
      <c r="G54" s="48">
        <f t="shared" si="4"/>
        <v>334961.89924524515</v>
      </c>
      <c r="H54" s="48">
        <f t="shared" si="4"/>
        <v>309127.7239331865</v>
      </c>
      <c r="I54" s="48">
        <f t="shared" si="4"/>
        <v>284120.44712820475</v>
      </c>
      <c r="J54" s="48">
        <f t="shared" si="4"/>
        <v>260037.81777313491</v>
      </c>
      <c r="K54" s="48">
        <f t="shared" si="4"/>
        <v>236944.45637266492</v>
      </c>
      <c r="L54" s="48">
        <f t="shared" si="4"/>
        <v>214880.96734862775</v>
      </c>
      <c r="M54" s="48">
        <f t="shared" si="4"/>
        <v>193869.49835498809</v>
      </c>
      <c r="N54" s="48">
        <f t="shared" si="4"/>
        <v>173917.53149058911</v>
      </c>
      <c r="O54" s="48">
        <f t="shared" si="4"/>
        <v>155020.68682453307</v>
      </c>
      <c r="P54" s="48">
        <f t="shared" si="4"/>
        <v>137164.91838912942</v>
      </c>
      <c r="Q54" s="48">
        <f t="shared" si="4"/>
        <v>120328.30371909264</v>
      </c>
      <c r="R54" s="48">
        <f t="shared" si="4"/>
        <v>104482.54070993634</v>
      </c>
      <c r="S54" s="48">
        <f t="shared" si="4"/>
        <v>89594.2201284943</v>
      </c>
      <c r="T54" s="48">
        <f t="shared" si="4"/>
        <v>75625.917228495906</v>
      </c>
      <c r="U54" s="48">
        <f t="shared" si="4"/>
        <v>62537.131742108315</v>
      </c>
      <c r="V54" s="48">
        <f t="shared" si="4"/>
        <v>50285.097159875186</v>
      </c>
      <c r="W54" s="48">
        <f t="shared" si="4"/>
        <v>38825.475134259003</v>
      </c>
      <c r="X54" s="48">
        <f t="shared" si="4"/>
        <v>28112.947660499201</v>
      </c>
      <c r="Y54" s="48">
        <f t="shared" si="4"/>
        <v>18101.717620391522</v>
      </c>
      <c r="Z54" s="48">
        <f t="shared" si="4"/>
        <v>8745.9268657677276</v>
      </c>
      <c r="AA54" s="48">
        <f t="shared" si="4"/>
        <v>0</v>
      </c>
    </row>
    <row r="55" spans="1:87" x14ac:dyDescent="0.3">
      <c r="A55" s="32" t="s">
        <v>87</v>
      </c>
      <c r="B55" s="33" t="s">
        <v>43</v>
      </c>
      <c r="C55" s="48">
        <f>0</f>
        <v>0</v>
      </c>
      <c r="D55" s="49">
        <f>prev PB_model*accnt_dlq</f>
        <v>45488.680927778609</v>
      </c>
      <c r="E55" s="49">
        <f>prev PB_model*accnt_dlq</f>
        <v>49847.875789366677</v>
      </c>
      <c r="F55" s="49">
        <f>prev PB_model*accnt_dlq</f>
        <v>52373.947969536806</v>
      </c>
      <c r="G55" s="49">
        <f>prev PB_model*accnt_dlq</f>
        <v>42783.311809264131</v>
      </c>
      <c r="H55" s="49">
        <f>prev PB_model*accnt_dlq</f>
        <v>41640.438497299445</v>
      </c>
      <c r="I55" s="49">
        <f>prev PB_model*accnt_dlq</f>
        <v>40230.968451328874</v>
      </c>
      <c r="J55" s="49">
        <f>prev PB_model*accnt_dlq</f>
        <v>38593.949471210566</v>
      </c>
      <c r="K55" s="49">
        <f>prev PB_model*accnt_dlq</f>
        <v>36765.719811842078</v>
      </c>
      <c r="L55" s="49">
        <f>prev PB_model*accnt_dlq</f>
        <v>34780.143487216068</v>
      </c>
      <c r="M55" s="49">
        <f>prev PB_model*accnt_dlq</f>
        <v>32668.652463286147</v>
      </c>
      <c r="N55" s="49">
        <f>prev PB_model*accnt_dlq</f>
        <v>30460.231602756787</v>
      </c>
      <c r="O55" s="49">
        <f>prev PB_model*accnt_dlq</f>
        <v>28181.399478440078</v>
      </c>
      <c r="P55" s="49">
        <f>prev PB_model*accnt_dlq</f>
        <v>25856.206365689992</v>
      </c>
      <c r="Q55" s="49">
        <f>prev PB_model*accnt_dlq</f>
        <v>23506.257039950226</v>
      </c>
      <c r="R55" s="49">
        <f>prev PB_model*accnt_dlq</f>
        <v>21150.759665010515</v>
      </c>
      <c r="S55" s="49">
        <f>prev PB_model*accnt_dlq</f>
        <v>18806.599015007818</v>
      </c>
      <c r="T55" s="49">
        <f>prev PB_model*accnt_dlq</f>
        <v>16488.430840442958</v>
      </c>
      <c r="U55" s="49">
        <f>prev PB_model*accnt_dlq</f>
        <v>14208.793596202071</v>
      </c>
      <c r="V55" s="49">
        <f>prev PB_model*accnt_dlq</f>
        <v>11978.233618855889</v>
      </c>
      <c r="W55" s="49">
        <f>prev PB_model*accnt_dlq</f>
        <v>9805.439970997284</v>
      </c>
      <c r="X55" s="49">
        <f>prev PB_model*accnt_dlq</f>
        <v>7697.3854489915793</v>
      </c>
      <c r="Y55" s="49">
        <f>prev PB_model*accnt_dlq</f>
        <v>5659.4706096032623</v>
      </c>
      <c r="Z55" s="49">
        <f>prev PB_model*accnt_dlq</f>
        <v>3695.6680680584736</v>
      </c>
      <c r="AA55" s="49">
        <f>prev PB_model*accnt_dlq</f>
        <v>0</v>
      </c>
    </row>
    <row r="56" spans="1:87" x14ac:dyDescent="0.3">
      <c r="A56" s="47" t="s">
        <v>88</v>
      </c>
      <c r="B56" s="50" t="s">
        <v>89</v>
      </c>
      <c r="C56" s="51">
        <v>0</v>
      </c>
      <c r="D56" s="51">
        <v>0</v>
      </c>
      <c r="E56" s="51">
        <v>0</v>
      </c>
      <c r="F56" s="51">
        <v>0</v>
      </c>
      <c r="G56" s="51">
        <f>prev_ PB_model *accnt_b_def+ prev PB_def</f>
        <v>14603.632621705858</v>
      </c>
      <c r="H56" s="51">
        <f>prev_ PB_model *accnt_b_def+ prev PB_def</f>
        <v>17806.64419254156</v>
      </c>
      <c r="I56" s="51">
        <f>prev_ PB_model *accnt_b_def+ prev PB_def</f>
        <v>21091.658833064848</v>
      </c>
      <c r="J56" s="51">
        <f>prev_ PB_model *accnt_b_def+ prev PB_def</f>
        <v>24397.290499893639</v>
      </c>
      <c r="K56" s="51">
        <f>prev_ PB_model *accnt_b_def+ prev PB_def</f>
        <v>27670.154658341075</v>
      </c>
      <c r="L56" s="51">
        <f>prev_ PB_model *accnt_b_def+ prev PB_def</f>
        <v>30864.593493673776</v>
      </c>
      <c r="M56" s="51">
        <f>prev_ PB_model *accnt_b_def+ prev PB_def</f>
        <v>33942.317950542492</v>
      </c>
      <c r="N56" s="51">
        <f>prev_ PB_model *accnt_b_def+ prev PB_def</f>
        <v>36871.984618532806</v>
      </c>
      <c r="O56" s="51">
        <f>prev_ PB_model *accnt_b_def+ prev PB_def</f>
        <v>39628.725399688185</v>
      </c>
      <c r="P56" s="51">
        <f>prev_ PB_model *accnt_b_def+ prev PB_def</f>
        <v>42193.646236929817</v>
      </c>
      <c r="Q56" s="51">
        <f>prev_ PB_model *accnt_b_def+ prev PB_def</f>
        <v>44553.309164356731</v>
      </c>
      <c r="R56" s="51">
        <f>prev_ PB_model *accnt_b_def+ prev PB_def</f>
        <v>46699.209906689546</v>
      </c>
      <c r="S56" s="51">
        <f>prev_ PB_model *accnt_b_def+ prev PB_def</f>
        <v>48627.261315975884</v>
      </c>
      <c r="T56" s="51">
        <f>prev_ PB_model *accnt_b_def+ prev PB_def</f>
        <v>50337.291129134974</v>
      </c>
      <c r="U56" s="51">
        <f>prev_ PB_model *accnt_b_def+ prev PB_def</f>
        <v>51832.560876723852</v>
      </c>
      <c r="V56" s="51">
        <f>prev_ PB_model *accnt_b_def+ prev PB_def</f>
        <v>53119.311279059097</v>
      </c>
      <c r="W56" s="51">
        <f>prev_ PB_model *accnt_b_def+ prev PB_def</f>
        <v>54206.338133355937</v>
      </c>
      <c r="X56" s="51">
        <f>prev_ PB_model *accnt_b_def+ prev PB_def</f>
        <v>55104.60152432567</v>
      </c>
      <c r="Y56" s="51">
        <f>prev_ PB_model *accnt_b_def+ prev PB_def</f>
        <v>55826.870177417564</v>
      </c>
      <c r="Z56" s="51">
        <f>prev_ PB_model *accnt_b_def+ prev PB_def</f>
        <v>56387.401912966772</v>
      </c>
      <c r="AA56" s="51">
        <f>prev_ PB_model *accnt_b_def+ prev PB_def</f>
        <v>56801.660443340632</v>
      </c>
    </row>
    <row r="57" spans="1:87" x14ac:dyDescent="0.3">
      <c r="A57" s="47"/>
      <c r="B57" s="27"/>
      <c r="C57" s="48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87" ht="15.6" x14ac:dyDescent="0.3">
      <c r="A58" s="77" t="s">
        <v>65</v>
      </c>
      <c r="B58" s="27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:87" x14ac:dyDescent="0.3">
      <c r="A59" s="29" t="s">
        <v>111</v>
      </c>
      <c r="B59" s="27" t="s">
        <v>11</v>
      </c>
      <c r="C59" s="53">
        <f t="shared" ref="C59:H59" si="5">GB_cur+GB_dlq</f>
        <v>500000</v>
      </c>
      <c r="D59" s="53">
        <f t="shared" si="5"/>
        <v>467287.87363140326</v>
      </c>
      <c r="E59" s="53">
        <f t="shared" si="5"/>
        <v>442400.60041999479</v>
      </c>
      <c r="F59" s="53">
        <f t="shared" si="5"/>
        <v>417100.22320014349</v>
      </c>
      <c r="G59" s="53">
        <f t="shared" si="5"/>
        <v>378600.87729069457</v>
      </c>
      <c r="H59" s="53">
        <f t="shared" si="5"/>
        <v>351600.97120043193</v>
      </c>
      <c r="I59" s="53">
        <f t="shared" ref="I59:AA59" si="6">GB_cur+GB_dlq</f>
        <v>325156.03494856018</v>
      </c>
      <c r="J59" s="53">
        <f t="shared" si="6"/>
        <v>299403.64623376972</v>
      </c>
      <c r="K59" s="53">
        <f t="shared" si="6"/>
        <v>274445.49058074388</v>
      </c>
      <c r="L59" s="53">
        <f t="shared" si="6"/>
        <v>250356.71370558813</v>
      </c>
      <c r="M59" s="53">
        <f t="shared" si="6"/>
        <v>227191.52386753995</v>
      </c>
      <c r="N59" s="53">
        <f t="shared" si="6"/>
        <v>204986.96772540105</v>
      </c>
      <c r="O59" s="53">
        <f t="shared" si="6"/>
        <v>183765.71429254196</v>
      </c>
      <c r="P59" s="53">
        <f t="shared" si="6"/>
        <v>163538.24888213322</v>
      </c>
      <c r="Q59" s="53">
        <f t="shared" si="6"/>
        <v>144304.68589984186</v>
      </c>
      <c r="R59" s="53">
        <f t="shared" si="6"/>
        <v>126056.31556824705</v>
      </c>
      <c r="S59" s="53">
        <f t="shared" si="6"/>
        <v>108776.95112380228</v>
      </c>
      <c r="T59" s="53">
        <f t="shared" si="6"/>
        <v>92444.116685747722</v>
      </c>
      <c r="U59" s="53">
        <f t="shared" si="6"/>
        <v>77030.101210234425</v>
      </c>
      <c r="V59" s="53">
        <f t="shared" si="6"/>
        <v>62502.895451108197</v>
      </c>
      <c r="W59" s="53">
        <f t="shared" si="6"/>
        <v>48827.023904676229</v>
      </c>
      <c r="X59" s="53">
        <f t="shared" si="6"/>
        <v>35964.280818470608</v>
      </c>
      <c r="Y59" s="53">
        <f t="shared" si="6"/>
        <v>23874.37764218685</v>
      </c>
      <c r="Z59" s="53">
        <f t="shared" si="6"/>
        <v>12515.50829518737</v>
      </c>
      <c r="AA59" s="53">
        <f t="shared" si="6"/>
        <v>0</v>
      </c>
    </row>
    <row r="60" spans="1:87" x14ac:dyDescent="0.3">
      <c r="A60" s="32" t="s">
        <v>115</v>
      </c>
      <c r="B60" s="33" t="s">
        <v>12</v>
      </c>
      <c r="C60" s="53">
        <f t="shared" ref="C60:AA60" si="7">PB_model*accnt_cur</f>
        <v>500000</v>
      </c>
      <c r="D60" s="53">
        <f t="shared" si="7"/>
        <v>420889.41908506909</v>
      </c>
      <c r="E60" s="53">
        <f t="shared" si="7"/>
        <v>391555.7671148408</v>
      </c>
      <c r="F60" s="53">
        <f t="shared" si="7"/>
        <v>363678.79627121595</v>
      </c>
      <c r="G60" s="53">
        <f t="shared" si="7"/>
        <v>334961.89924524515</v>
      </c>
      <c r="H60" s="53">
        <f t="shared" si="7"/>
        <v>309127.7239331865</v>
      </c>
      <c r="I60" s="53">
        <f t="shared" si="7"/>
        <v>284120.44712820475</v>
      </c>
      <c r="J60" s="53">
        <f t="shared" si="7"/>
        <v>260037.81777313491</v>
      </c>
      <c r="K60" s="53">
        <f t="shared" si="7"/>
        <v>236944.45637266492</v>
      </c>
      <c r="L60" s="53">
        <f t="shared" si="7"/>
        <v>214880.96734862775</v>
      </c>
      <c r="M60" s="53">
        <f t="shared" si="7"/>
        <v>193869.49835498809</v>
      </c>
      <c r="N60" s="53">
        <f t="shared" si="7"/>
        <v>173917.53149058911</v>
      </c>
      <c r="O60" s="53">
        <f t="shared" si="7"/>
        <v>155020.68682453307</v>
      </c>
      <c r="P60" s="53">
        <f t="shared" si="7"/>
        <v>137164.91838912942</v>
      </c>
      <c r="Q60" s="53">
        <f t="shared" si="7"/>
        <v>120328.30371909264</v>
      </c>
      <c r="R60" s="53">
        <f t="shared" si="7"/>
        <v>104482.54070993634</v>
      </c>
      <c r="S60" s="53">
        <f t="shared" si="7"/>
        <v>89594.2201284943</v>
      </c>
      <c r="T60" s="53">
        <f t="shared" si="7"/>
        <v>75625.917228495906</v>
      </c>
      <c r="U60" s="53">
        <f t="shared" si="7"/>
        <v>62537.131742108315</v>
      </c>
      <c r="V60" s="53">
        <f t="shared" si="7"/>
        <v>50285.097159875186</v>
      </c>
      <c r="W60" s="53">
        <f t="shared" si="7"/>
        <v>38825.475134259003</v>
      </c>
      <c r="X60" s="53">
        <f t="shared" si="7"/>
        <v>28112.947660499201</v>
      </c>
      <c r="Y60" s="53">
        <f t="shared" si="7"/>
        <v>18101.717620391522</v>
      </c>
      <c r="Z60" s="53">
        <f t="shared" si="7"/>
        <v>8745.9268657677276</v>
      </c>
      <c r="AA60" s="53">
        <f t="shared" si="7"/>
        <v>0</v>
      </c>
    </row>
    <row r="61" spans="1:87" x14ac:dyDescent="0.3">
      <c r="A61" s="32" t="s">
        <v>13</v>
      </c>
      <c r="B61" s="33" t="s">
        <v>14</v>
      </c>
      <c r="C61" s="48">
        <f>0</f>
        <v>0</v>
      </c>
      <c r="D61" s="49">
        <f>(PB_model+regular_payment)*accnt_dlq</f>
        <v>46398.454546334178</v>
      </c>
      <c r="E61" s="49">
        <f t="shared" ref="E61:AA61" si="8">(PB_model+regular_payment)*accnt_dlq</f>
        <v>50844.833305154003</v>
      </c>
      <c r="F61" s="49">
        <f t="shared" si="8"/>
        <v>53421.426928927547</v>
      </c>
      <c r="G61" s="49">
        <f t="shared" si="8"/>
        <v>43638.978045449425</v>
      </c>
      <c r="H61" s="49">
        <f t="shared" si="8"/>
        <v>42473.247267245446</v>
      </c>
      <c r="I61" s="49">
        <f t="shared" si="8"/>
        <v>41035.58782035546</v>
      </c>
      <c r="J61" s="49">
        <f t="shared" si="8"/>
        <v>39365.828460634781</v>
      </c>
      <c r="K61" s="49">
        <f t="shared" si="8"/>
        <v>37501.034208078927</v>
      </c>
      <c r="L61" s="49">
        <f t="shared" si="8"/>
        <v>35475.746356960393</v>
      </c>
      <c r="M61" s="49">
        <f t="shared" si="8"/>
        <v>33322.025512551874</v>
      </c>
      <c r="N61" s="49">
        <f t="shared" si="8"/>
        <v>31069.436234811921</v>
      </c>
      <c r="O61" s="49">
        <f t="shared" si="8"/>
        <v>28745.027468008877</v>
      </c>
      <c r="P61" s="49">
        <f t="shared" si="8"/>
        <v>26373.330493003792</v>
      </c>
      <c r="Q61" s="49">
        <f t="shared" si="8"/>
        <v>23976.382180749231</v>
      </c>
      <c r="R61" s="49">
        <f t="shared" si="8"/>
        <v>21573.774858310724</v>
      </c>
      <c r="S61" s="49">
        <f t="shared" si="8"/>
        <v>19182.730995307975</v>
      </c>
      <c r="T61" s="49">
        <f t="shared" si="8"/>
        <v>16818.199457251816</v>
      </c>
      <c r="U61" s="49">
        <f t="shared" si="8"/>
        <v>14492.969468126112</v>
      </c>
      <c r="V61" s="49">
        <f t="shared" si="8"/>
        <v>12217.798291233008</v>
      </c>
      <c r="W61" s="49">
        <f t="shared" si="8"/>
        <v>10001.54877041723</v>
      </c>
      <c r="X61" s="49">
        <f t="shared" si="8"/>
        <v>7851.3331579714104</v>
      </c>
      <c r="Y61" s="49">
        <f t="shared" si="8"/>
        <v>5772.6600217953273</v>
      </c>
      <c r="Z61" s="49">
        <f t="shared" si="8"/>
        <v>3769.581429419643</v>
      </c>
      <c r="AA61" s="49">
        <f t="shared" si="8"/>
        <v>0</v>
      </c>
    </row>
    <row r="62" spans="1:87" s="4" customFormat="1" x14ac:dyDescent="0.3">
      <c r="A62" s="51" t="s">
        <v>92</v>
      </c>
      <c r="B62" s="50" t="s">
        <v>93</v>
      </c>
      <c r="C62" s="51">
        <v>0</v>
      </c>
      <c r="D62" s="51">
        <v>0</v>
      </c>
      <c r="E62" s="51">
        <v>0</v>
      </c>
      <c r="F62" s="51">
        <v>0</v>
      </c>
      <c r="G62" s="51">
        <f>(PB_model +4*regular_payment)*accnt_b_def+ prev GB_DEF</f>
        <v>15713.546839878787</v>
      </c>
      <c r="H62" s="51">
        <f>(PB_model +4*regular_payment)*accnt_b_def+ prev GB_DEF</f>
        <v>19159.29570220174</v>
      </c>
      <c r="I62" s="51">
        <f>(PB_model +4*regular_payment)*accnt_b_def+ prev GB_DEF</f>
        <v>22692.477853345899</v>
      </c>
      <c r="J62" s="51">
        <f>(PB_model +4*regular_payment)*accnt_b_def+ prev GB_DEF</f>
        <v>26246.968915549838</v>
      </c>
      <c r="K62" s="51">
        <f>(PB_model +4*regular_payment)*accnt_b_def+ prev GB_DEF</f>
        <v>29765.281566798287</v>
      </c>
      <c r="L62" s="51">
        <f>(PB_model +4*regular_payment)*accnt_b_def+ prev GB_DEF</f>
        <v>33198.267636066164</v>
      </c>
      <c r="M62" s="51">
        <f>(PB_model +4*regular_payment)*accnt_b_def+ prev GB_DEF</f>
        <v>36504.730577434399</v>
      </c>
      <c r="N62" s="51">
        <f>(PB_model +4*regular_payment)*accnt_b_def+ prev GB_DEF</f>
        <v>39650.967778500111</v>
      </c>
      <c r="O62" s="51">
        <f>(PB_model +4*regular_payment)*accnt_b_def+ prev GB_DEF</f>
        <v>42610.262060980749</v>
      </c>
      <c r="P62" s="51">
        <f>(PB_model +4*regular_payment)*accnt_b_def+ prev GB_DEF</f>
        <v>45362.339939201971</v>
      </c>
      <c r="Q62" s="51">
        <f>(PB_model +4*regular_payment)*accnt_b_def+ prev GB_DEF</f>
        <v>47892.812022001963</v>
      </c>
      <c r="R62" s="51">
        <f>(PB_model +4*regular_payment)*accnt_b_def+ prev GB_DEF</f>
        <v>50192.608747134153</v>
      </c>
      <c r="S62" s="51">
        <f>(PB_model +4*regular_payment)*accnt_b_def+ prev GB_DEF</f>
        <v>52257.422543307599</v>
      </c>
      <c r="T62" s="51">
        <f>(PB_model +4*regular_payment)*accnt_b_def+ prev GB_DEF</f>
        <v>54087.165566668518</v>
      </c>
      <c r="U62" s="51">
        <f>(PB_model +4*regular_payment)*accnt_b_def+ prev GB_DEF</f>
        <v>55685.450373818996</v>
      </c>
      <c r="V62" s="51">
        <f>(PB_model +4*regular_payment)*accnt_b_def+ prev GB_DEF</f>
        <v>57059.099280564558</v>
      </c>
      <c r="W62" s="51">
        <f>(PB_model +4*regular_payment)*accnt_b_def+ prev GB_DEF</f>
        <v>58217.686717508535</v>
      </c>
      <c r="X62" s="51">
        <f>(PB_model +4*regular_payment)*accnt_b_def+ prev GB_DEF</f>
        <v>59173.117629775399</v>
      </c>
      <c r="Y62" s="51">
        <f>(PB_model +4*regular_payment)*accnt_b_def+ prev GB_DEF</f>
        <v>59939.243874974236</v>
      </c>
      <c r="Z62" s="51">
        <f>(PB_model +4*regular_payment)*accnt_b_def+ prev GB_DEF</f>
        <v>60531.519644897598</v>
      </c>
      <c r="AA62" s="51">
        <f>(PB_model +4*regular_payment)*accnt_b_def+ prev GB_DEF</f>
        <v>60966.696164189103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</row>
    <row r="63" spans="1:87" x14ac:dyDescent="0.3">
      <c r="A63" s="29"/>
      <c r="B63" s="27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 spans="1:87" ht="15.6" x14ac:dyDescent="0.3">
      <c r="A64" s="77" t="s">
        <v>96</v>
      </c>
      <c r="B64" s="27"/>
      <c r="C64" s="53"/>
      <c r="D64" s="53"/>
      <c r="E64" s="53"/>
      <c r="F64" s="53"/>
      <c r="G64" s="53"/>
      <c r="H64" s="53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spans="1:27" x14ac:dyDescent="0.3">
      <c r="A65" s="45" t="s">
        <v>94</v>
      </c>
      <c r="B65" s="27" t="s">
        <v>97</v>
      </c>
      <c r="C65" s="53">
        <f t="shared" ref="C65:AA65" si="9">interest+recovery_st+insurance</f>
        <v>0</v>
      </c>
      <c r="D65" s="53">
        <f t="shared" si="9"/>
        <v>14000</v>
      </c>
      <c r="E65" s="53">
        <f t="shared" si="9"/>
        <v>11659.452500321193</v>
      </c>
      <c r="F65" s="53">
        <f t="shared" si="9"/>
        <v>11035.091072605184</v>
      </c>
      <c r="G65" s="53">
        <f t="shared" si="9"/>
        <v>13544.027973994578</v>
      </c>
      <c r="H65" s="53">
        <f t="shared" si="9"/>
        <v>10132.780048827321</v>
      </c>
      <c r="I65" s="53">
        <f t="shared" si="9"/>
        <v>9475.8404909909805</v>
      </c>
      <c r="J65" s="53">
        <f t="shared" si="9"/>
        <v>8819.6836019291277</v>
      </c>
      <c r="K65" s="53">
        <f t="shared" si="9"/>
        <v>8169.4567113583271</v>
      </c>
      <c r="L65" s="53">
        <f t="shared" si="9"/>
        <v>7529.3516184662494</v>
      </c>
      <c r="M65" s="53">
        <f t="shared" si="9"/>
        <v>6902.820359169742</v>
      </c>
      <c r="N65" s="53">
        <f t="shared" si="9"/>
        <v>6292.7012106699985</v>
      </c>
      <c r="O65" s="53">
        <f t="shared" si="9"/>
        <v>5701.3029338297756</v>
      </c>
      <c r="P65" s="53">
        <f t="shared" si="9"/>
        <v>5130.4677332185729</v>
      </c>
      <c r="Q65" s="53">
        <f t="shared" si="9"/>
        <v>4581.6225354304834</v>
      </c>
      <c r="R65" s="53">
        <f t="shared" si="9"/>
        <v>4055.8233640025092</v>
      </c>
      <c r="S65" s="53">
        <f t="shared" si="9"/>
        <v>3553.7952686083604</v>
      </c>
      <c r="T65" s="53">
        <f t="shared" si="9"/>
        <v>3075.9690832597366</v>
      </c>
      <c r="U65" s="53">
        <f t="shared" si="9"/>
        <v>2622.5156631535669</v>
      </c>
      <c r="V65" s="53">
        <f t="shared" si="9"/>
        <v>2193.377914806872</v>
      </c>
      <c r="W65" s="53">
        <f t="shared" si="9"/>
        <v>1788.3007568570724</v>
      </c>
      <c r="X65" s="53">
        <f t="shared" si="9"/>
        <v>1406.8590600847799</v>
      </c>
      <c r="Y65" s="53">
        <f t="shared" si="9"/>
        <v>1048.4835767770369</v>
      </c>
      <c r="Z65" s="53">
        <f t="shared" si="9"/>
        <v>712.48485973454217</v>
      </c>
      <c r="AA65" s="53">
        <f t="shared" si="9"/>
        <v>398.07517720395595</v>
      </c>
    </row>
    <row r="66" spans="1:27" x14ac:dyDescent="0.3">
      <c r="A66" s="32" t="s">
        <v>34</v>
      </c>
      <c r="B66" s="33" t="s">
        <v>34</v>
      </c>
      <c r="C66" s="53">
        <f>0</f>
        <v>0</v>
      </c>
      <c r="D66" s="53">
        <f>prev PB_act*interest_rate/12</f>
        <v>10000</v>
      </c>
      <c r="E66" s="53">
        <f>prev PB_act*interest_rate/12</f>
        <v>9327.562000256954</v>
      </c>
      <c r="F66" s="53">
        <f>prev PB_act*interest_rate/12</f>
        <v>8828.0728580841478</v>
      </c>
      <c r="G66" s="53">
        <f>prev PB_act*interest_rate/12</f>
        <v>8321.0548848150556</v>
      </c>
      <c r="H66" s="53">
        <f>prev PB_act*interest_rate/12</f>
        <v>7554.9042210901853</v>
      </c>
      <c r="I66" s="53">
        <f>prev PB_act*interest_rate/12</f>
        <v>7015.3632486097185</v>
      </c>
      <c r="J66" s="53">
        <f>prev PB_act*interest_rate/12</f>
        <v>6487.0283115906723</v>
      </c>
      <c r="K66" s="53">
        <f>prev PB_act*interest_rate/12</f>
        <v>5972.6353448869095</v>
      </c>
      <c r="L66" s="53">
        <f>prev PB_act*interest_rate/12</f>
        <v>5474.2035236901393</v>
      </c>
      <c r="M66" s="53">
        <f>prev PB_act*interest_rate/12</f>
        <v>4993.2222167168757</v>
      </c>
      <c r="N66" s="53">
        <f>prev PB_act*interest_rate/12</f>
        <v>4530.7630163654849</v>
      </c>
      <c r="O66" s="53">
        <f>prev PB_act*interest_rate/12</f>
        <v>4087.5552618669185</v>
      </c>
      <c r="P66" s="53">
        <f>prev PB_act*interest_rate/12</f>
        <v>3664.0417260594627</v>
      </c>
      <c r="Q66" s="53">
        <f>prev PB_act*interest_rate/12</f>
        <v>3260.4224950963876</v>
      </c>
      <c r="R66" s="53">
        <f>prev PB_act*interest_rate/12</f>
        <v>2876.6912151808569</v>
      </c>
      <c r="S66" s="53">
        <f>prev PB_act*interest_rate/12</f>
        <v>2512.6660074989368</v>
      </c>
      <c r="T66" s="53">
        <f>prev PB_act*interest_rate/12</f>
        <v>2168.016382870042</v>
      </c>
      <c r="U66" s="53">
        <f>prev PB_act*interest_rate/12</f>
        <v>1842.2869613787773</v>
      </c>
      <c r="V66" s="53">
        <f>prev PB_act*interest_rate/12</f>
        <v>1534.9185067662077</v>
      </c>
      <c r="W66" s="53">
        <f>prev PB_act*interest_rate/12</f>
        <v>1245.2666155746215</v>
      </c>
      <c r="X66" s="53">
        <f>prev PB_act*interest_rate/12</f>
        <v>972.61830210512574</v>
      </c>
      <c r="Y66" s="53">
        <f>prev PB_act*interest_rate/12</f>
        <v>716.20666218981557</v>
      </c>
      <c r="Z66" s="53">
        <f>prev PB_act*interest_rate/12</f>
        <v>475.22376459989567</v>
      </c>
      <c r="AA66" s="53">
        <f>prev PB_act*interest_rate/12</f>
        <v>248.83189867652402</v>
      </c>
    </row>
    <row r="67" spans="1:27" x14ac:dyDescent="0.3">
      <c r="A67" s="32" t="s">
        <v>66</v>
      </c>
      <c r="B67" s="33" t="s">
        <v>106</v>
      </c>
      <c r="C67" s="53">
        <v>0</v>
      </c>
      <c r="D67" s="53">
        <f>(GB_DEF-prev GB_DEF)*recovery</f>
        <v>0</v>
      </c>
      <c r="E67" s="53">
        <f>(GB_DEF-prev GB_DEF)*recovery</f>
        <v>0</v>
      </c>
      <c r="F67" s="53">
        <f>(GB_DEF-prev GB_DEF)*recovery</f>
        <v>0</v>
      </c>
      <c r="G67" s="53">
        <f>(GB_DEF-prev GB_DEF)*recovery</f>
        <v>3142.7093679757577</v>
      </c>
      <c r="H67" s="53">
        <f>(GB_DEF-prev GB_DEF)*recovery</f>
        <v>689.14977246459057</v>
      </c>
      <c r="I67" s="53">
        <f>(GB_DEF-prev GB_DEF)*recovery</f>
        <v>706.63643022883195</v>
      </c>
      <c r="J67" s="53">
        <f>(GB_DEF-prev GB_DEF)*recovery</f>
        <v>710.8982124407878</v>
      </c>
      <c r="K67" s="53">
        <f>(GB_DEF-prev GB_DEF)*recovery</f>
        <v>703.66253024968978</v>
      </c>
      <c r="L67" s="53">
        <f>(GB_DEF-prev GB_DEF)*recovery</f>
        <v>686.59721385357557</v>
      </c>
      <c r="M67" s="53">
        <f>(GB_DEF-prev GB_DEF)*recovery</f>
        <v>661.29258827364686</v>
      </c>
      <c r="N67" s="53">
        <f>(GB_DEF-prev GB_DEF)*recovery</f>
        <v>629.24744021314257</v>
      </c>
      <c r="O67" s="53">
        <f>(GB_DEF-prev GB_DEF)*recovery</f>
        <v>591.8588564961276</v>
      </c>
      <c r="P67" s="53">
        <f>(GB_DEF-prev GB_DEF)*recovery</f>
        <v>550.41557564424443</v>
      </c>
      <c r="Q67" s="53">
        <f>(GB_DEF-prev GB_DEF)*recovery</f>
        <v>506.09441655999836</v>
      </c>
      <c r="R67" s="53">
        <f>(GB_DEF-prev GB_DEF)*recovery</f>
        <v>459.95934502643797</v>
      </c>
      <c r="S67" s="53">
        <f>(GB_DEF-prev GB_DEF)*recovery</f>
        <v>412.96275923468932</v>
      </c>
      <c r="T67" s="53">
        <f>(GB_DEF-prev GB_DEF)*recovery</f>
        <v>365.94860467218388</v>
      </c>
      <c r="U67" s="53">
        <f>(GB_DEF-prev GB_DEF)*recovery</f>
        <v>319.65696143009558</v>
      </c>
      <c r="V67" s="53">
        <f>(GB_DEF-prev GB_DEF)*recovery</f>
        <v>274.72978134911244</v>
      </c>
      <c r="W67" s="53">
        <f>(GB_DEF-prev GB_DEF)*recovery</f>
        <v>231.71748738879543</v>
      </c>
      <c r="X67" s="53">
        <f>(GB_DEF-prev GB_DEF)*recovery</f>
        <v>191.08618245337277</v>
      </c>
      <c r="Y67" s="53">
        <f>(GB_DEF-prev GB_DEF)*recovery</f>
        <v>153.22524903976736</v>
      </c>
      <c r="Z67" s="53">
        <f>(GB_DEF-prev GB_DEF)*recovery</f>
        <v>118.45515398467251</v>
      </c>
      <c r="AA67" s="53">
        <f>(GB_DEF-prev GB_DEF)*recovery</f>
        <v>87.035303858300907</v>
      </c>
    </row>
    <row r="68" spans="1:27" x14ac:dyDescent="0.3">
      <c r="A68" s="29" t="s">
        <v>122</v>
      </c>
      <c r="B68" s="27" t="s">
        <v>122</v>
      </c>
      <c r="C68" s="53">
        <v>0</v>
      </c>
      <c r="D68" s="81">
        <f>prev PB_act*0.01*0.8</f>
        <v>4000</v>
      </c>
      <c r="E68" s="81">
        <f>prev PB_act*0.01*0.5</f>
        <v>2331.8905000642385</v>
      </c>
      <c r="F68" s="81">
        <f>prev PB_act*0.01*0.5</f>
        <v>2207.0182145210374</v>
      </c>
      <c r="G68" s="81">
        <f>prev PB_act*0.01*0.5</f>
        <v>2080.2637212037639</v>
      </c>
      <c r="H68" s="81">
        <f>prev PB_act*0.01*0.5</f>
        <v>1888.7260552725463</v>
      </c>
      <c r="I68" s="81">
        <f>prev PB_act*0.01*0.5</f>
        <v>1753.8408121524299</v>
      </c>
      <c r="J68" s="81">
        <f>prev PB_act*0.01*0.5</f>
        <v>1621.7570778976681</v>
      </c>
      <c r="K68" s="81">
        <f>prev PB_act*0.01*0.5</f>
        <v>1493.1588362217276</v>
      </c>
      <c r="L68" s="81">
        <f>prev PB_act*0.01*0.5</f>
        <v>1368.5508809225348</v>
      </c>
      <c r="M68" s="81">
        <f>prev PB_act*0.01*0.5</f>
        <v>1248.3055541792191</v>
      </c>
      <c r="N68" s="81">
        <f>prev PB_act*0.01*0.5</f>
        <v>1132.6907540913712</v>
      </c>
      <c r="O68" s="81">
        <f>prev PB_act*0.01*0.5</f>
        <v>1021.8888154667296</v>
      </c>
      <c r="P68" s="81">
        <f>prev PB_act*0.01*0.5</f>
        <v>916.01043151486579</v>
      </c>
      <c r="Q68" s="81">
        <f>prev PB_act*0.01*0.5</f>
        <v>815.10562377409701</v>
      </c>
      <c r="R68" s="81">
        <f>prev PB_act*0.01*0.5</f>
        <v>719.17280379521424</v>
      </c>
      <c r="S68" s="81">
        <f>prev PB_act*0.01*0.5</f>
        <v>628.16650187473431</v>
      </c>
      <c r="T68" s="81">
        <f>prev PB_act*0.01*0.5</f>
        <v>542.00409571751061</v>
      </c>
      <c r="U68" s="81">
        <f>prev PB_act*0.01*0.5</f>
        <v>460.57174034469432</v>
      </c>
      <c r="V68" s="81">
        <f>prev PB_act*0.01*0.5</f>
        <v>383.72962669155197</v>
      </c>
      <c r="W68" s="81">
        <f>prev PB_act*0.01*0.5</f>
        <v>311.31665389365537</v>
      </c>
      <c r="X68" s="81">
        <f>prev PB_act*0.01*0.5</f>
        <v>243.15457552628143</v>
      </c>
      <c r="Y68" s="81">
        <f>prev PB_act*0.01*0.5</f>
        <v>179.05166554745389</v>
      </c>
      <c r="Z68" s="81">
        <f>prev PB_act*0.01*0.5</f>
        <v>118.80594114997392</v>
      </c>
      <c r="AA68" s="81">
        <f>prev PB_act*0.01*0.5</f>
        <v>62.207974669131012</v>
      </c>
    </row>
    <row r="69" spans="1:27" ht="15.6" x14ac:dyDescent="0.3">
      <c r="A69" s="77" t="s">
        <v>95</v>
      </c>
      <c r="B69" s="27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 spans="1:27" x14ac:dyDescent="0.3">
      <c r="A70" s="45" t="s">
        <v>95</v>
      </c>
      <c r="B70" s="54" t="s">
        <v>112</v>
      </c>
      <c r="C70" s="53">
        <f t="shared" ref="C70:AA70" si="10">Loan_Loss+Cost_of_Funds+Operation_cost+collect_cost</f>
        <v>0</v>
      </c>
      <c r="D70" s="53">
        <f t="shared" si="10"/>
        <v>6297.916666666667</v>
      </c>
      <c r="E70" s="53">
        <f t="shared" si="10"/>
        <v>5934.0479669298747</v>
      </c>
      <c r="F70" s="53">
        <f t="shared" si="10"/>
        <v>5629.6554624653718</v>
      </c>
      <c r="G70" s="53">
        <f t="shared" si="10"/>
        <v>21032.041669713224</v>
      </c>
      <c r="H70" s="53">
        <f t="shared" si="10"/>
        <v>8287.9992562854804</v>
      </c>
      <c r="I70" s="53">
        <f t="shared" si="10"/>
        <v>8027.2644269415887</v>
      </c>
      <c r="J70" s="53">
        <f t="shared" si="10"/>
        <v>7718.5187323368109</v>
      </c>
      <c r="K70" s="53">
        <f t="shared" si="10"/>
        <v>7360.6008419660375</v>
      </c>
      <c r="L70" s="53">
        <f t="shared" si="10"/>
        <v>6963.1528346211617</v>
      </c>
      <c r="M70" s="53">
        <f t="shared" si="10"/>
        <v>6535.0960439036999</v>
      </c>
      <c r="N70" s="53">
        <f t="shared" si="10"/>
        <v>6084.6311762062351</v>
      </c>
      <c r="O70" s="53">
        <f t="shared" si="10"/>
        <v>5619.2347498166864</v>
      </c>
      <c r="P70" s="53">
        <f t="shared" si="10"/>
        <v>5145.6606164640489</v>
      </c>
      <c r="Q70" s="53">
        <f t="shared" si="10"/>
        <v>4669.9494638538554</v>
      </c>
      <c r="R70" s="53">
        <f t="shared" si="10"/>
        <v>4197.4467399242121</v>
      </c>
      <c r="S70" s="53">
        <f t="shared" si="10"/>
        <v>3732.8283563039186</v>
      </c>
      <c r="T70" s="53">
        <f t="shared" si="10"/>
        <v>3280.1330603272654</v>
      </c>
      <c r="U70" s="53">
        <f t="shared" si="10"/>
        <v>2842.8001955887657</v>
      </c>
      <c r="V70" s="53">
        <f t="shared" si="10"/>
        <v>2423.7115559258145</v>
      </c>
      <c r="W70" s="53">
        <f t="shared" si="10"/>
        <v>2025.2361052416759</v>
      </c>
      <c r="X70" s="53">
        <f t="shared" si="10"/>
        <v>1649.2764473875463</v>
      </c>
      <c r="Y70" s="53">
        <f t="shared" si="10"/>
        <v>1297.3160644599848</v>
      </c>
      <c r="Z70" s="53">
        <f t="shared" si="10"/>
        <v>970.46648504034999</v>
      </c>
      <c r="AA70" s="53">
        <f t="shared" si="10"/>
        <v>669.51368772419551</v>
      </c>
    </row>
    <row r="71" spans="1:27" x14ac:dyDescent="0.3">
      <c r="A71" s="32" t="s">
        <v>16</v>
      </c>
      <c r="B71" s="33" t="s">
        <v>102</v>
      </c>
      <c r="C71" s="53">
        <f>Cost_of_Funds+operational_cost+collect_cost</f>
        <v>0</v>
      </c>
      <c r="D71" s="53">
        <f>GB_DEF-prev GB_DEF</f>
        <v>0</v>
      </c>
      <c r="E71" s="53">
        <f>GB_DEF-prev GB_DEF</f>
        <v>0</v>
      </c>
      <c r="F71" s="53">
        <f>GB_DEF-prev GB_DEF</f>
        <v>0</v>
      </c>
      <c r="G71" s="53">
        <f>GB_DEF-prev GB_DEF</f>
        <v>15713.546839878787</v>
      </c>
      <c r="H71" s="53">
        <f>GB_DEF-prev GB_DEF</f>
        <v>3445.7488623229528</v>
      </c>
      <c r="I71" s="53">
        <f>GB_DEF-prev GB_DEF</f>
        <v>3533.1821511441594</v>
      </c>
      <c r="J71" s="53">
        <f>GB_DEF-prev GB_DEF</f>
        <v>3554.4910622039388</v>
      </c>
      <c r="K71" s="53">
        <f>GB_DEF-prev GB_DEF</f>
        <v>3518.3126512484487</v>
      </c>
      <c r="L71" s="53">
        <f>GB_DEF-prev GB_DEF</f>
        <v>3432.9860692678776</v>
      </c>
      <c r="M71" s="53">
        <f>GB_DEF-prev GB_DEF</f>
        <v>3306.4629413682342</v>
      </c>
      <c r="N71" s="53">
        <f>GB_DEF-prev GB_DEF</f>
        <v>3146.2372010657127</v>
      </c>
      <c r="O71" s="53">
        <f>GB_DEF-prev GB_DEF</f>
        <v>2959.2942824806378</v>
      </c>
      <c r="P71" s="53">
        <f>GB_DEF-prev GB_DEF</f>
        <v>2752.0778782212219</v>
      </c>
      <c r="Q71" s="53">
        <f>GB_DEF-prev GB_DEF</f>
        <v>2530.4720827999918</v>
      </c>
      <c r="R71" s="53">
        <f>GB_DEF-prev GB_DEF</f>
        <v>2299.7967251321897</v>
      </c>
      <c r="S71" s="53">
        <f>GB_DEF-prev GB_DEF</f>
        <v>2064.8137961734465</v>
      </c>
      <c r="T71" s="53">
        <f>GB_DEF-prev GB_DEF</f>
        <v>1829.7430233609193</v>
      </c>
      <c r="U71" s="53">
        <f>GB_DEF-prev GB_DEF</f>
        <v>1598.2848071504777</v>
      </c>
      <c r="V71" s="53">
        <f>GB_DEF-prev GB_DEF</f>
        <v>1373.6489067455623</v>
      </c>
      <c r="W71" s="53">
        <f>GB_DEF-prev GB_DEF</f>
        <v>1158.5874369439771</v>
      </c>
      <c r="X71" s="53">
        <f>GB_DEF-prev GB_DEF</f>
        <v>955.43091226686374</v>
      </c>
      <c r="Y71" s="53">
        <f>GB_DEF-prev GB_DEF</f>
        <v>766.12624519883684</v>
      </c>
      <c r="Z71" s="53">
        <f>GB_DEF-prev GB_DEF</f>
        <v>592.27576992336253</v>
      </c>
      <c r="AA71" s="53">
        <f>GB_DEF-prev GB_DEF</f>
        <v>435.17651929150452</v>
      </c>
    </row>
    <row r="72" spans="1:27" x14ac:dyDescent="0.3">
      <c r="A72" s="32" t="s">
        <v>15</v>
      </c>
      <c r="B72" s="33" t="s">
        <v>98</v>
      </c>
      <c r="C72" s="53">
        <f>IF(statement_no=0,0,prev AT1_req*At1_int_rate/12)</f>
        <v>0</v>
      </c>
      <c r="D72" s="53">
        <f>(1-Equity_Req)*prev GB_act*CoF/12</f>
        <v>6197.916666666667</v>
      </c>
      <c r="E72" s="53">
        <f>(1-Equity_Req)*prev GB_act*CoF/12</f>
        <v>5792.4226002226033</v>
      </c>
      <c r="F72" s="53">
        <f>(1-Equity_Req)*prev GB_act*CoF/12</f>
        <v>5483.9241093728524</v>
      </c>
      <c r="G72" s="53">
        <f>(1-Equity_Req)*prev GB_act*CoF/12</f>
        <v>5170.3048500851128</v>
      </c>
      <c r="H72" s="53">
        <f>(1-Equity_Req)*prev GB_act*CoF/12</f>
        <v>4693.073374749235</v>
      </c>
      <c r="I72" s="53">
        <f>(1-Equity_Req)*prev GB_act*CoF/12</f>
        <v>4358.3870388386886</v>
      </c>
      <c r="J72" s="53">
        <f>(1-Equity_Req)*prev GB_act*CoF/12</f>
        <v>4030.5800165498604</v>
      </c>
      <c r="K72" s="53">
        <f>(1-Equity_Req)*prev GB_act*CoF/12</f>
        <v>3711.3576981061046</v>
      </c>
      <c r="L72" s="53">
        <f>(1-Equity_Req)*prev GB_act*CoF/12</f>
        <v>3401.9805603238042</v>
      </c>
      <c r="M72" s="53">
        <f>(1-Equity_Req)*prev GB_act*CoF/12</f>
        <v>3103.3800969755198</v>
      </c>
      <c r="N72" s="53">
        <f>(1-Equity_Req)*prev GB_act*CoF/12</f>
        <v>2816.2282646080471</v>
      </c>
      <c r="O72" s="53">
        <f>(1-Equity_Req)*prev GB_act*CoF/12</f>
        <v>2540.9842874294504</v>
      </c>
      <c r="P72" s="53">
        <f>(1-Equity_Req)*prev GB_act*CoF/12</f>
        <v>2277.9291667513012</v>
      </c>
      <c r="Q72" s="53">
        <f>(1-Equity_Req)*prev GB_act*CoF/12</f>
        <v>2027.19287676811</v>
      </c>
      <c r="R72" s="53">
        <f>(1-Equity_Req)*prev GB_act*CoF/12</f>
        <v>1788.7768356334566</v>
      </c>
      <c r="S72" s="53">
        <f>(1-Equity_Req)*prev GB_act*CoF/12</f>
        <v>1562.5730783980625</v>
      </c>
      <c r="T72" s="53">
        <f>(1-Equity_Req)*prev GB_act*CoF/12</f>
        <v>1348.3809566387993</v>
      </c>
      <c r="U72" s="53">
        <f>(1-Equity_Req)*prev GB_act*CoF/12</f>
        <v>1145.9218630837479</v>
      </c>
      <c r="V72" s="53">
        <f>(1-Equity_Req)*prev GB_act*CoF/12</f>
        <v>954.85229625186423</v>
      </c>
      <c r="W72" s="53">
        <f>(1-Equity_Req)*prev GB_act*CoF/12</f>
        <v>774.77547486269532</v>
      </c>
      <c r="X72" s="53">
        <f>(1-Equity_Req)*prev GB_act*CoF/12</f>
        <v>605.25165048504925</v>
      </c>
      <c r="Y72" s="53">
        <f>(1-Equity_Req)*prev GB_act*CoF/12</f>
        <v>445.80723097895861</v>
      </c>
      <c r="Z72" s="53">
        <f>(1-Equity_Req)*prev GB_act*CoF/12</f>
        <v>295.94280618960784</v>
      </c>
      <c r="AA72" s="53">
        <f>(1-Equity_Req)*prev GB_act*CoF/12</f>
        <v>155.14015490909344</v>
      </c>
    </row>
    <row r="73" spans="1:27" x14ac:dyDescent="0.3">
      <c r="A73" s="32" t="s">
        <v>99</v>
      </c>
      <c r="B73" s="33" t="s">
        <v>105</v>
      </c>
      <c r="C73" s="53">
        <f>0</f>
        <v>0</v>
      </c>
      <c r="D73" s="53">
        <f>prev accnt_act*oper_cost</f>
        <v>100</v>
      </c>
      <c r="E73" s="53">
        <f>prev accnt_act*oper_cost</f>
        <v>96.136685779492552</v>
      </c>
      <c r="F73" s="53">
        <f>prev accnt_act*oper_cost</f>
        <v>94.189231201845118</v>
      </c>
      <c r="G73" s="53">
        <f>prev accnt_act*oper_cost</f>
        <v>92.091086804921801</v>
      </c>
      <c r="H73" s="53">
        <f>prev accnt_act*oper_cost</f>
        <v>87.004729423440224</v>
      </c>
      <c r="I73" s="53">
        <f>prev accnt_act*oper_cost</f>
        <v>84.217298153259108</v>
      </c>
      <c r="J73" s="53">
        <f>prev accnt_act*oper_cost</f>
        <v>81.395826579100046</v>
      </c>
      <c r="K73" s="53">
        <f>prev accnt_act*oper_cost</f>
        <v>78.565051044868454</v>
      </c>
      <c r="L73" s="53">
        <f>prev accnt_act*oper_cost</f>
        <v>75.744524468564251</v>
      </c>
      <c r="M73" s="53">
        <f>prev accnt_act*oper_cost</f>
        <v>72.950158816159231</v>
      </c>
      <c r="N73" s="53">
        <f>prev accnt_act*oper_cost</f>
        <v>70.195084999836126</v>
      </c>
      <c r="O73" s="53">
        <f>prev accnt_act*oper_cost</f>
        <v>67.490188194498629</v>
      </c>
      <c r="P73" s="53">
        <f>prev accnt_act*oper_cost</f>
        <v>64.844472700290609</v>
      </c>
      <c r="Q73" s="53">
        <f>prev accnt_act*oper_cost</f>
        <v>62.265330162793695</v>
      </c>
      <c r="R73" s="53">
        <f>prev accnt_act*oper_cost</f>
        <v>59.758749356482177</v>
      </c>
      <c r="S73" s="53">
        <f>prev accnt_act*oper_cost</f>
        <v>57.32948849257977</v>
      </c>
      <c r="T73" s="53">
        <f>prev accnt_act*oper_cost</f>
        <v>54.981222074652059</v>
      </c>
      <c r="U73" s="53">
        <f>prev accnt_act*oper_cost</f>
        <v>52.716669443697526</v>
      </c>
      <c r="V73" s="53">
        <f>prev accnt_act*oper_cost</f>
        <v>50.53770937945351</v>
      </c>
      <c r="W73" s="53">
        <f>prev accnt_act*oper_cost</f>
        <v>48.445483499697126</v>
      </c>
      <c r="X73" s="53">
        <f>prev accnt_act*oper_cost</f>
        <v>46.440490228272409</v>
      </c>
      <c r="Y73" s="53">
        <f>prev accnt_act*oper_cost</f>
        <v>44.52267051543123</v>
      </c>
      <c r="Z73" s="53">
        <f>prev accnt_act*oper_cost</f>
        <v>42.691486137895737</v>
      </c>
      <c r="AA73" s="53">
        <f>prev accnt_act*oper_cost</f>
        <v>40.945991191179793</v>
      </c>
    </row>
    <row r="74" spans="1:27" x14ac:dyDescent="0.3">
      <c r="A74" s="32" t="s">
        <v>100</v>
      </c>
      <c r="B74" s="33" t="s">
        <v>101</v>
      </c>
      <c r="C74" s="53">
        <v>0</v>
      </c>
      <c r="D74" s="53">
        <f>(prev accnt_dlq+prev accnt_b_def)*collection_cost</f>
        <v>0</v>
      </c>
      <c r="E74" s="53">
        <f>(prev accnt_dlq+prev accnt_b_def)*collection_cost</f>
        <v>45.48868092777861</v>
      </c>
      <c r="F74" s="53">
        <f>(prev accnt_dlq+prev accnt_b_def)*collection_cost</f>
        <v>51.542121890673876</v>
      </c>
      <c r="G74" s="53">
        <f>(prev accnt_dlq+prev accnt_b_def)*collection_cost</f>
        <v>56.098892944402543</v>
      </c>
      <c r="H74" s="53">
        <f>(prev accnt_dlq+prev accnt_b_def)*collection_cost</f>
        <v>62.172289789853259</v>
      </c>
      <c r="I74" s="53">
        <f>(prev accnt_dlq+prev accnt_b_def)*collection_cost</f>
        <v>51.477938805481188</v>
      </c>
      <c r="J74" s="53">
        <f>(prev accnt_dlq+prev accnt_b_def)*collection_cost</f>
        <v>52.051827003912379</v>
      </c>
      <c r="K74" s="53">
        <f>(prev accnt_dlq+prev accnt_b_def)*collection_cost</f>
        <v>52.365441566614834</v>
      </c>
      <c r="L74" s="53">
        <f>(prev accnt_dlq+prev accnt_b_def)*collection_cost</f>
        <v>52.441680560916417</v>
      </c>
      <c r="M74" s="53">
        <f>(prev accnt_dlq+prev accnt_b_def)*collection_cost</f>
        <v>52.302846743787271</v>
      </c>
      <c r="N74" s="53">
        <f>(prev accnt_dlq+prev accnt_b_def)*collection_cost</f>
        <v>51.970625532639005</v>
      </c>
      <c r="O74" s="53">
        <f>(prev accnt_dlq+prev accnt_b_def)*collection_cost</f>
        <v>51.465991712099651</v>
      </c>
      <c r="P74" s="53">
        <f>(prev accnt_dlq+prev accnt_b_def)*collection_cost</f>
        <v>50.809098791235506</v>
      </c>
      <c r="Q74" s="53">
        <f>(prev accnt_dlq+prev accnt_b_def)*collection_cost</f>
        <v>50.019174122959967</v>
      </c>
      <c r="R74" s="53">
        <f>(prev accnt_dlq+prev accnt_b_def)*collection_cost</f>
        <v>49.114429802083968</v>
      </c>
      <c r="S74" s="53">
        <f>(prev accnt_dlq+prev accnt_b_def)*collection_cost</f>
        <v>48.111993239829751</v>
      </c>
      <c r="T74" s="53">
        <f>(prev accnt_dlq+prev accnt_b_def)*collection_cost</f>
        <v>47.02785825289493</v>
      </c>
      <c r="U74" s="53">
        <f>(prev accnt_dlq+prev accnt_b_def)*collection_cost</f>
        <v>45.876855910842821</v>
      </c>
      <c r="V74" s="53">
        <f>(prev accnt_dlq+prev accnt_b_def)*collection_cost</f>
        <v>44.672643548934687</v>
      </c>
      <c r="W74" s="53">
        <f>(prev accnt_dlq+prev accnt_b_def)*collection_cost</f>
        <v>43.427709935306453</v>
      </c>
      <c r="X74" s="53">
        <f>(prev accnt_dlq+prev accnt_b_def)*collection_cost</f>
        <v>42.153394407360949</v>
      </c>
      <c r="Y74" s="53">
        <f>(prev accnt_dlq+prev accnt_b_def)*collection_cost</f>
        <v>40.859917766758187</v>
      </c>
      <c r="Z74" s="53">
        <f>(prev accnt_dlq+prev accnt_b_def)*collection_cost</f>
        <v>39.556422789483932</v>
      </c>
      <c r="AA74" s="53">
        <f>(prev accnt_dlq+prev accnt_b_def)*collection_cost</f>
        <v>38.251022332417755</v>
      </c>
    </row>
    <row r="75" spans="1:27" x14ac:dyDescent="0.3">
      <c r="A75" s="55"/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spans="1:27" ht="15.6" x14ac:dyDescent="0.3">
      <c r="A76" s="77" t="s">
        <v>47</v>
      </c>
      <c r="B76" s="27"/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58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 spans="1:27" x14ac:dyDescent="0.3">
      <c r="A77" s="59" t="s">
        <v>42</v>
      </c>
      <c r="B77" s="60" t="s">
        <v>48</v>
      </c>
      <c r="C77" s="51">
        <f>C65</f>
        <v>0</v>
      </c>
      <c r="D77" s="51">
        <f>(prev GB_act- GB_act)+(prev GB_DEF - GB_DEF)+Gross_profit</f>
        <v>46712.126368596742</v>
      </c>
      <c r="E77" s="51">
        <f>(prev GB_act- GB_act)+(prev GB_DEF - GB_DEF)+Gross_profit</f>
        <v>36546.725711729654</v>
      </c>
      <c r="F77" s="51">
        <f>(prev GB_act- GB_act)+(prev GB_DEF - GB_DEF)+Gross_profit</f>
        <v>36335.468292456484</v>
      </c>
      <c r="G77" s="51">
        <f>(prev GB_act- GB_act)+(prev GB_DEF - GB_DEF)+Gross_profit</f>
        <v>36329.827043564714</v>
      </c>
      <c r="H77" s="51">
        <f>(prev GB_act- GB_act)+(prev GB_DEF - GB_DEF)+Gross_profit</f>
        <v>33686.937276767007</v>
      </c>
      <c r="I77" s="51">
        <f>(prev GB_act- GB_act)+(prev GB_DEF - GB_DEF)+Gross_profit</f>
        <v>32387.594591718575</v>
      </c>
      <c r="J77" s="51">
        <f>(prev GB_act- GB_act)+(prev GB_DEF - GB_DEF)+Gross_profit</f>
        <v>31017.581254515651</v>
      </c>
      <c r="K77" s="51">
        <f>(prev GB_act- GB_act)+(prev GB_DEF - GB_DEF)+Gross_profit</f>
        <v>29609.299713135719</v>
      </c>
      <c r="L77" s="51">
        <f>(prev GB_act- GB_act)+(prev GB_DEF - GB_DEF)+Gross_profit</f>
        <v>28185.142424354119</v>
      </c>
      <c r="M77" s="51">
        <f>(prev GB_act- GB_act)+(prev GB_DEF - GB_DEF)+Gross_profit</f>
        <v>26761.547255849695</v>
      </c>
      <c r="N77" s="51">
        <f>(prev GB_act- GB_act)+(prev GB_DEF - GB_DEF)+Gross_profit</f>
        <v>25351.020151743185</v>
      </c>
      <c r="O77" s="51">
        <f>(prev GB_act- GB_act)+(prev GB_DEF - GB_DEF)+Gross_profit</f>
        <v>23963.262084208221</v>
      </c>
      <c r="P77" s="51">
        <f>(prev GB_act- GB_act)+(prev GB_DEF - GB_DEF)+Gross_profit</f>
        <v>22605.855265406091</v>
      </c>
      <c r="Q77" s="51">
        <f>(prev GB_act- GB_act)+(prev GB_DEF - GB_DEF)+Gross_profit</f>
        <v>21284.713434921854</v>
      </c>
      <c r="R77" s="51">
        <f>(prev GB_act- GB_act)+(prev GB_DEF - GB_DEF)+Gross_profit</f>
        <v>20004.396970465128</v>
      </c>
      <c r="S77" s="51">
        <f>(prev GB_act- GB_act)+(prev GB_DEF - GB_DEF)+Gross_profit</f>
        <v>18768.345916879684</v>
      </c>
      <c r="T77" s="51">
        <f>(prev GB_act- GB_act)+(prev GB_DEF - GB_DEF)+Gross_profit</f>
        <v>17579.060497953378</v>
      </c>
      <c r="U77" s="51">
        <f>(prev GB_act- GB_act)+(prev GB_DEF - GB_DEF)+Gross_profit</f>
        <v>16438.246331516388</v>
      </c>
      <c r="V77" s="51">
        <f>(prev GB_act- GB_act)+(prev GB_DEF - GB_DEF)+Gross_profit</f>
        <v>15346.934767187537</v>
      </c>
      <c r="W77" s="51">
        <f>(prev GB_act- GB_act)+(prev GB_DEF - GB_DEF)+Gross_profit</f>
        <v>14305.584866345063</v>
      </c>
      <c r="X77" s="51">
        <f>(prev GB_act- GB_act)+(prev GB_DEF - GB_DEF)+Gross_profit</f>
        <v>13314.171234023537</v>
      </c>
      <c r="Y77" s="51">
        <f>(prev GB_act- GB_act)+(prev GB_DEF - GB_DEF)+Gross_profit</f>
        <v>12372.260507861958</v>
      </c>
      <c r="Z77" s="51">
        <f>(prev GB_act- GB_act)+(prev GB_DEF - GB_DEF)+Gross_profit</f>
        <v>11479.07843681066</v>
      </c>
      <c r="AA77" s="51">
        <f>(prev GB_act- GB_act)+(prev GB_DEF - GB_DEF)+Gross_profit</f>
        <v>12478.406953099822</v>
      </c>
    </row>
    <row r="78" spans="1:27" x14ac:dyDescent="0.3">
      <c r="A78" s="29"/>
      <c r="B78" s="27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 spans="1:27" ht="15.6" x14ac:dyDescent="0.3">
      <c r="A79" s="77" t="s">
        <v>41</v>
      </c>
      <c r="B79" s="27"/>
      <c r="C79" s="45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 x14ac:dyDescent="0.3">
      <c r="A80" s="29" t="s">
        <v>17</v>
      </c>
      <c r="B80" s="27" t="s">
        <v>18</v>
      </c>
      <c r="C80" s="53">
        <f>Gross_profit-Loan_Loss</f>
        <v>0</v>
      </c>
      <c r="D80" s="53">
        <f t="shared" ref="D80:AA80" si="11">Gross_profit-Gross_Loss</f>
        <v>7702.083333333333</v>
      </c>
      <c r="E80" s="53">
        <f t="shared" si="11"/>
        <v>5725.4045333913182</v>
      </c>
      <c r="F80" s="53">
        <f t="shared" si="11"/>
        <v>5405.4356101398125</v>
      </c>
      <c r="G80" s="53">
        <f t="shared" si="11"/>
        <v>-7488.013695718646</v>
      </c>
      <c r="H80" s="53">
        <f t="shared" si="11"/>
        <v>1844.7807925418401</v>
      </c>
      <c r="I80" s="53">
        <f t="shared" si="11"/>
        <v>1448.5760640493918</v>
      </c>
      <c r="J80" s="53">
        <f t="shared" si="11"/>
        <v>1101.1648695923168</v>
      </c>
      <c r="K80" s="53">
        <f t="shared" si="11"/>
        <v>808.85586939228961</v>
      </c>
      <c r="L80" s="53">
        <f t="shared" si="11"/>
        <v>566.19878384508775</v>
      </c>
      <c r="M80" s="53">
        <f t="shared" si="11"/>
        <v>367.72431526604214</v>
      </c>
      <c r="N80" s="53">
        <f t="shared" si="11"/>
        <v>208.07003446376348</v>
      </c>
      <c r="O80" s="53">
        <f t="shared" si="11"/>
        <v>82.068184013089194</v>
      </c>
      <c r="P80" s="53">
        <f t="shared" si="11"/>
        <v>-15.192883245475969</v>
      </c>
      <c r="Q80" s="53">
        <f t="shared" si="11"/>
        <v>-88.32692842337201</v>
      </c>
      <c r="R80" s="53">
        <f t="shared" si="11"/>
        <v>-141.62337592170297</v>
      </c>
      <c r="S80" s="53">
        <f t="shared" si="11"/>
        <v>-179.03308769555815</v>
      </c>
      <c r="T80" s="53">
        <f t="shared" si="11"/>
        <v>-204.16397706752878</v>
      </c>
      <c r="U80" s="53">
        <f t="shared" si="11"/>
        <v>-220.2845324351988</v>
      </c>
      <c r="V80" s="53">
        <f t="shared" si="11"/>
        <v>-230.33364111894252</v>
      </c>
      <c r="W80" s="53">
        <f t="shared" si="11"/>
        <v>-236.93534838460346</v>
      </c>
      <c r="X80" s="53">
        <f t="shared" si="11"/>
        <v>-242.41738730276643</v>
      </c>
      <c r="Y80" s="53">
        <f t="shared" si="11"/>
        <v>-248.83248768294789</v>
      </c>
      <c r="Z80" s="53">
        <f t="shared" si="11"/>
        <v>-257.98162530580782</v>
      </c>
      <c r="AA80" s="53">
        <f t="shared" si="11"/>
        <v>-271.43851052023956</v>
      </c>
    </row>
    <row r="81" spans="1:87" x14ac:dyDescent="0.3">
      <c r="A81" s="29" t="s">
        <v>19</v>
      </c>
      <c r="B81" s="27" t="s">
        <v>19</v>
      </c>
      <c r="C81" s="53">
        <f t="shared" ref="C81:AA81" si="12">Net_Income_Bax*tax_rate</f>
        <v>0</v>
      </c>
      <c r="D81" s="53">
        <f>Net_Income_Bax*tax_rate</f>
        <v>1540.4166666666667</v>
      </c>
      <c r="E81" s="53">
        <f t="shared" si="12"/>
        <v>1145.0809066782638</v>
      </c>
      <c r="F81" s="53">
        <f>Net_Income_Bax*tax_rate</f>
        <v>1081.0871220279626</v>
      </c>
      <c r="G81" s="53">
        <f t="shared" si="12"/>
        <v>-1497.6027391437292</v>
      </c>
      <c r="H81" s="53">
        <f t="shared" si="12"/>
        <v>368.95615850836805</v>
      </c>
      <c r="I81" s="53">
        <f>Net_Income_Bax*tax_rate</f>
        <v>289.71521280987838</v>
      </c>
      <c r="J81" s="53">
        <f t="shared" si="12"/>
        <v>220.23297391846336</v>
      </c>
      <c r="K81" s="53">
        <f t="shared" si="12"/>
        <v>161.77117387845794</v>
      </c>
      <c r="L81" s="53">
        <f t="shared" si="12"/>
        <v>113.23975676901756</v>
      </c>
      <c r="M81" s="53">
        <f t="shared" si="12"/>
        <v>73.544863053208431</v>
      </c>
      <c r="N81" s="53">
        <f t="shared" si="12"/>
        <v>41.614006892752698</v>
      </c>
      <c r="O81" s="53">
        <f t="shared" si="12"/>
        <v>16.413636802617841</v>
      </c>
      <c r="P81" s="53">
        <f t="shared" si="12"/>
        <v>-3.038576649095194</v>
      </c>
      <c r="Q81" s="53">
        <f t="shared" si="12"/>
        <v>-17.665385684674401</v>
      </c>
      <c r="R81" s="53">
        <f t="shared" si="12"/>
        <v>-28.324675184340595</v>
      </c>
      <c r="S81" s="53">
        <f t="shared" si="12"/>
        <v>-35.806617539111635</v>
      </c>
      <c r="T81" s="53">
        <f t="shared" si="12"/>
        <v>-40.832795413505757</v>
      </c>
      <c r="U81" s="53">
        <f t="shared" si="12"/>
        <v>-44.056906487039761</v>
      </c>
      <c r="V81" s="53">
        <f t="shared" si="12"/>
        <v>-46.066728223788509</v>
      </c>
      <c r="W81" s="53">
        <f t="shared" si="12"/>
        <v>-47.387069676920696</v>
      </c>
      <c r="X81" s="53">
        <f t="shared" si="12"/>
        <v>-48.483477460553289</v>
      </c>
      <c r="Y81" s="53">
        <f t="shared" si="12"/>
        <v>-49.766497536589583</v>
      </c>
      <c r="Z81" s="53">
        <f t="shared" si="12"/>
        <v>-51.596325061161565</v>
      </c>
      <c r="AA81" s="53">
        <f t="shared" si="12"/>
        <v>-54.287702104047916</v>
      </c>
    </row>
    <row r="82" spans="1:87" s="5" customFormat="1" x14ac:dyDescent="0.3">
      <c r="A82" s="61" t="s">
        <v>40</v>
      </c>
      <c r="B82" s="62" t="s">
        <v>20</v>
      </c>
      <c r="C82" s="63">
        <f t="shared" ref="C82:AA82" si="13">Net_Income_Bax-Tax</f>
        <v>0</v>
      </c>
      <c r="D82" s="63">
        <f t="shared" si="13"/>
        <v>6161.6666666666661</v>
      </c>
      <c r="E82" s="63">
        <f t="shared" si="13"/>
        <v>4580.3236267130542</v>
      </c>
      <c r="F82" s="63">
        <f t="shared" si="13"/>
        <v>4324.3484881118502</v>
      </c>
      <c r="G82" s="63">
        <f t="shared" si="13"/>
        <v>-5990.4109565749168</v>
      </c>
      <c r="H82" s="63">
        <f t="shared" si="13"/>
        <v>1475.8246340334722</v>
      </c>
      <c r="I82" s="63">
        <f t="shared" si="13"/>
        <v>1158.8608512395135</v>
      </c>
      <c r="J82" s="63">
        <f t="shared" si="13"/>
        <v>880.93189567385343</v>
      </c>
      <c r="K82" s="63">
        <f t="shared" si="13"/>
        <v>647.08469551383166</v>
      </c>
      <c r="L82" s="63">
        <f t="shared" si="13"/>
        <v>452.95902707607019</v>
      </c>
      <c r="M82" s="63">
        <f t="shared" si="13"/>
        <v>294.17945221283372</v>
      </c>
      <c r="N82" s="63">
        <f t="shared" si="13"/>
        <v>166.45602757101079</v>
      </c>
      <c r="O82" s="63">
        <f t="shared" si="13"/>
        <v>65.65454721047135</v>
      </c>
      <c r="P82" s="63">
        <f t="shared" si="13"/>
        <v>-12.154306596380774</v>
      </c>
      <c r="Q82" s="63">
        <f t="shared" si="13"/>
        <v>-70.661542738697605</v>
      </c>
      <c r="R82" s="63">
        <f t="shared" si="13"/>
        <v>-113.29870073736238</v>
      </c>
      <c r="S82" s="63">
        <f t="shared" si="13"/>
        <v>-143.22647015644651</v>
      </c>
      <c r="T82" s="63">
        <f t="shared" si="13"/>
        <v>-163.33118165402303</v>
      </c>
      <c r="U82" s="63">
        <f t="shared" si="13"/>
        <v>-176.22762594815904</v>
      </c>
      <c r="V82" s="63">
        <f t="shared" si="13"/>
        <v>-184.26691289515401</v>
      </c>
      <c r="W82" s="63">
        <f t="shared" si="13"/>
        <v>-189.54827870768275</v>
      </c>
      <c r="X82" s="63">
        <f t="shared" si="13"/>
        <v>-193.93390984221315</v>
      </c>
      <c r="Y82" s="63">
        <f t="shared" si="13"/>
        <v>-199.0659901463583</v>
      </c>
      <c r="Z82" s="63">
        <f t="shared" si="13"/>
        <v>-206.38530024464626</v>
      </c>
      <c r="AA82" s="63">
        <f t="shared" si="13"/>
        <v>-217.15080841619164</v>
      </c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</row>
    <row r="83" spans="1:87" x14ac:dyDescent="0.3">
      <c r="A83" s="29"/>
      <c r="B83" s="27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</row>
    <row r="84" spans="1:87" ht="15.6" x14ac:dyDescent="0.3">
      <c r="A84" s="77" t="s">
        <v>64</v>
      </c>
      <c r="B84" s="27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 spans="1:87" s="2" customFormat="1" x14ac:dyDescent="0.3">
      <c r="A85" s="45" t="s">
        <v>51</v>
      </c>
      <c r="B85" s="27" t="s">
        <v>52</v>
      </c>
      <c r="C85" s="53">
        <f t="shared" ref="C85:AA85" si="14">GB_act</f>
        <v>500000</v>
      </c>
      <c r="D85" s="53">
        <f t="shared" si="14"/>
        <v>467287.87363140326</v>
      </c>
      <c r="E85" s="53">
        <f t="shared" si="14"/>
        <v>442400.60041999479</v>
      </c>
      <c r="F85" s="53">
        <f t="shared" si="14"/>
        <v>417100.22320014349</v>
      </c>
      <c r="G85" s="53">
        <f t="shared" si="14"/>
        <v>378600.87729069457</v>
      </c>
      <c r="H85" s="53">
        <f t="shared" si="14"/>
        <v>351600.97120043193</v>
      </c>
      <c r="I85" s="53">
        <f t="shared" si="14"/>
        <v>325156.03494856018</v>
      </c>
      <c r="J85" s="53">
        <f t="shared" si="14"/>
        <v>299403.64623376972</v>
      </c>
      <c r="K85" s="53">
        <f t="shared" si="14"/>
        <v>274445.49058074388</v>
      </c>
      <c r="L85" s="53">
        <f t="shared" si="14"/>
        <v>250356.71370558813</v>
      </c>
      <c r="M85" s="53">
        <f t="shared" si="14"/>
        <v>227191.52386753995</v>
      </c>
      <c r="N85" s="53">
        <f t="shared" si="14"/>
        <v>204986.96772540105</v>
      </c>
      <c r="O85" s="53">
        <f t="shared" si="14"/>
        <v>183765.71429254196</v>
      </c>
      <c r="P85" s="53">
        <f t="shared" si="14"/>
        <v>163538.24888213322</v>
      </c>
      <c r="Q85" s="53">
        <f t="shared" si="14"/>
        <v>144304.68589984186</v>
      </c>
      <c r="R85" s="53">
        <f t="shared" si="14"/>
        <v>126056.31556824705</v>
      </c>
      <c r="S85" s="53">
        <f t="shared" si="14"/>
        <v>108776.95112380228</v>
      </c>
      <c r="T85" s="53">
        <f t="shared" si="14"/>
        <v>92444.116685747722</v>
      </c>
      <c r="U85" s="53">
        <f t="shared" si="14"/>
        <v>77030.101210234425</v>
      </c>
      <c r="V85" s="53">
        <f t="shared" si="14"/>
        <v>62502.895451108197</v>
      </c>
      <c r="W85" s="53">
        <f t="shared" si="14"/>
        <v>48827.023904676229</v>
      </c>
      <c r="X85" s="53">
        <f t="shared" si="14"/>
        <v>35964.280818470608</v>
      </c>
      <c r="Y85" s="53">
        <f t="shared" si="14"/>
        <v>23874.37764218685</v>
      </c>
      <c r="Z85" s="53">
        <f t="shared" si="14"/>
        <v>12515.50829518737</v>
      </c>
      <c r="AA85" s="53">
        <f t="shared" si="14"/>
        <v>0</v>
      </c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</row>
    <row r="86" spans="1:87" s="2" customFormat="1" x14ac:dyDescent="0.3">
      <c r="A86" s="45" t="s">
        <v>50</v>
      </c>
      <c r="B86" s="27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</row>
    <row r="87" spans="1:87" s="2" customFormat="1" x14ac:dyDescent="0.3">
      <c r="A87" s="29" t="s">
        <v>55</v>
      </c>
      <c r="B87" s="27" t="s">
        <v>54</v>
      </c>
      <c r="C87" s="53">
        <f t="shared" ref="C87:AA87" si="15">GB_act*Equity_Req</f>
        <v>62500</v>
      </c>
      <c r="D87" s="53">
        <f t="shared" si="15"/>
        <v>58410.984203925407</v>
      </c>
      <c r="E87" s="53">
        <f t="shared" si="15"/>
        <v>55300.075052499349</v>
      </c>
      <c r="F87" s="53">
        <f t="shared" si="15"/>
        <v>52137.527900017936</v>
      </c>
      <c r="G87" s="53">
        <f t="shared" si="15"/>
        <v>47325.109661336821</v>
      </c>
      <c r="H87" s="53">
        <f t="shared" si="15"/>
        <v>43950.121400053991</v>
      </c>
      <c r="I87" s="53">
        <f t="shared" si="15"/>
        <v>40644.504368570022</v>
      </c>
      <c r="J87" s="53">
        <f t="shared" si="15"/>
        <v>37425.455779221214</v>
      </c>
      <c r="K87" s="53">
        <f t="shared" si="15"/>
        <v>34305.686322592985</v>
      </c>
      <c r="L87" s="53">
        <f t="shared" si="15"/>
        <v>31294.589213198517</v>
      </c>
      <c r="M87" s="53">
        <f t="shared" si="15"/>
        <v>28398.940483442493</v>
      </c>
      <c r="N87" s="53">
        <f t="shared" si="15"/>
        <v>25623.370965675131</v>
      </c>
      <c r="O87" s="53">
        <f t="shared" si="15"/>
        <v>22970.714286567745</v>
      </c>
      <c r="P87" s="53">
        <f t="shared" si="15"/>
        <v>20442.281110266653</v>
      </c>
      <c r="Q87" s="53">
        <f t="shared" si="15"/>
        <v>18038.085737480233</v>
      </c>
      <c r="R87" s="53">
        <f t="shared" si="15"/>
        <v>15757.039446030882</v>
      </c>
      <c r="S87" s="53">
        <f t="shared" si="15"/>
        <v>13597.118890475285</v>
      </c>
      <c r="T87" s="53">
        <f t="shared" si="15"/>
        <v>11555.514585718465</v>
      </c>
      <c r="U87" s="53">
        <f t="shared" si="15"/>
        <v>9628.7626512793031</v>
      </c>
      <c r="V87" s="53">
        <f t="shared" si="15"/>
        <v>7812.8619313885247</v>
      </c>
      <c r="W87" s="53">
        <f t="shared" si="15"/>
        <v>6103.3779880845286</v>
      </c>
      <c r="X87" s="53">
        <f t="shared" si="15"/>
        <v>4495.535102308826</v>
      </c>
      <c r="Y87" s="53">
        <f t="shared" si="15"/>
        <v>2984.2972052733562</v>
      </c>
      <c r="Z87" s="53">
        <f t="shared" si="15"/>
        <v>1564.4385368984213</v>
      </c>
      <c r="AA87" s="53">
        <f t="shared" si="15"/>
        <v>0</v>
      </c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</row>
    <row r="88" spans="1:87" s="2" customFormat="1" x14ac:dyDescent="0.3">
      <c r="A88" s="29" t="s">
        <v>61</v>
      </c>
      <c r="B88" s="27" t="s">
        <v>56</v>
      </c>
      <c r="C88" s="53">
        <f t="shared" ref="C88:AA88" si="16">GB_act*(1-Equity_Req)</f>
        <v>437500</v>
      </c>
      <c r="D88" s="53">
        <f t="shared" si="16"/>
        <v>408876.88942747784</v>
      </c>
      <c r="E88" s="53">
        <f t="shared" si="16"/>
        <v>387100.52536749543</v>
      </c>
      <c r="F88" s="53">
        <f t="shared" si="16"/>
        <v>364962.69530012558</v>
      </c>
      <c r="G88" s="53">
        <f t="shared" si="16"/>
        <v>331275.76762935775</v>
      </c>
      <c r="H88" s="53">
        <f t="shared" si="16"/>
        <v>307650.84980037797</v>
      </c>
      <c r="I88" s="53">
        <f t="shared" si="16"/>
        <v>284511.53057999013</v>
      </c>
      <c r="J88" s="53">
        <f t="shared" si="16"/>
        <v>261978.19045454852</v>
      </c>
      <c r="K88" s="53">
        <f t="shared" si="16"/>
        <v>240139.80425815089</v>
      </c>
      <c r="L88" s="53">
        <f t="shared" si="16"/>
        <v>219062.12449238962</v>
      </c>
      <c r="M88" s="53">
        <f t="shared" si="16"/>
        <v>198792.58338409744</v>
      </c>
      <c r="N88" s="53">
        <f t="shared" si="16"/>
        <v>179363.59675972592</v>
      </c>
      <c r="O88" s="53">
        <f t="shared" si="16"/>
        <v>160795.0000059742</v>
      </c>
      <c r="P88" s="53">
        <f t="shared" si="16"/>
        <v>143095.96777186656</v>
      </c>
      <c r="Q88" s="53">
        <f t="shared" si="16"/>
        <v>126266.60016236163</v>
      </c>
      <c r="R88" s="53">
        <f t="shared" si="16"/>
        <v>110299.27612221616</v>
      </c>
      <c r="S88" s="53">
        <f t="shared" si="16"/>
        <v>95179.832233327004</v>
      </c>
      <c r="T88" s="53">
        <f t="shared" si="16"/>
        <v>80888.602100029253</v>
      </c>
      <c r="U88" s="53">
        <f t="shared" si="16"/>
        <v>67401.338558955118</v>
      </c>
      <c r="V88" s="53">
        <f t="shared" si="16"/>
        <v>54690.033519719669</v>
      </c>
      <c r="W88" s="53">
        <f t="shared" si="16"/>
        <v>42723.645916591704</v>
      </c>
      <c r="X88" s="53">
        <f t="shared" si="16"/>
        <v>31468.745716161782</v>
      </c>
      <c r="Y88" s="53">
        <f t="shared" si="16"/>
        <v>20890.080436913493</v>
      </c>
      <c r="Z88" s="53">
        <f t="shared" si="16"/>
        <v>10951.069758288948</v>
      </c>
      <c r="AA88" s="53">
        <f t="shared" si="16"/>
        <v>0</v>
      </c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2" customFormat="1" x14ac:dyDescent="0.3">
      <c r="A89" s="29"/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>
        <f t="shared" ref="X89:AA89" si="17">assets-Eq_req-AT1_req</f>
        <v>0</v>
      </c>
      <c r="Y89" s="29">
        <f t="shared" si="17"/>
        <v>0</v>
      </c>
      <c r="Z89" s="29">
        <f t="shared" si="17"/>
        <v>0</v>
      </c>
      <c r="AA89" s="29">
        <f t="shared" si="17"/>
        <v>0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2" customFormat="1" x14ac:dyDescent="0.3">
      <c r="A90" s="45" t="s">
        <v>53</v>
      </c>
      <c r="B90" s="27" t="s">
        <v>60</v>
      </c>
      <c r="C90" s="53">
        <v>500000</v>
      </c>
      <c r="D90" s="53">
        <f>assets-prev assets</f>
        <v>-32712.126368596742</v>
      </c>
      <c r="E90" s="53">
        <f>assets-prev assets</f>
        <v>-24887.273211408465</v>
      </c>
      <c r="F90" s="53">
        <f>assets-prev assets</f>
        <v>-25300.377219851303</v>
      </c>
      <c r="G90" s="53">
        <f>assets-prev assets</f>
        <v>-38499.345909448923</v>
      </c>
      <c r="H90" s="53">
        <f>assets-prev assets</f>
        <v>-26999.906090262637</v>
      </c>
      <c r="I90" s="53">
        <f>assets-prev assets</f>
        <v>-26444.936251871753</v>
      </c>
      <c r="J90" s="53">
        <f>assets-prev assets</f>
        <v>-25752.388714790461</v>
      </c>
      <c r="K90" s="53">
        <f>assets-prev assets</f>
        <v>-24958.155653025839</v>
      </c>
      <c r="L90" s="53">
        <f>assets-prev assets</f>
        <v>-24088.776875155745</v>
      </c>
      <c r="M90" s="53">
        <f>assets-prev assets</f>
        <v>-23165.189838048187</v>
      </c>
      <c r="N90" s="53">
        <f>assets-prev assets</f>
        <v>-22204.556142138899</v>
      </c>
      <c r="O90" s="53">
        <f>assets-prev assets</f>
        <v>-21221.253432859085</v>
      </c>
      <c r="P90" s="53">
        <f>assets-prev assets</f>
        <v>-20227.465410408739</v>
      </c>
      <c r="Q90" s="53">
        <f>assets-prev assets</f>
        <v>-19233.562982291362</v>
      </c>
      <c r="R90" s="53">
        <f>assets-prev assets</f>
        <v>-18248.370331594808</v>
      </c>
      <c r="S90" s="53">
        <f>assets-prev assets</f>
        <v>-17279.364444444771</v>
      </c>
      <c r="T90" s="53">
        <f>assets-prev assets</f>
        <v>-16332.83443805456</v>
      </c>
      <c r="U90" s="53">
        <f>assets-prev assets</f>
        <v>-15414.015475513297</v>
      </c>
      <c r="V90" s="53">
        <f>assets-prev assets</f>
        <v>-14527.205759126227</v>
      </c>
      <c r="W90" s="53">
        <f>assets-prev assets</f>
        <v>-13675.871546431968</v>
      </c>
      <c r="X90" s="53">
        <f>assets-prev assets</f>
        <v>-12862.743086205621</v>
      </c>
      <c r="Y90" s="53">
        <f>assets-prev assets</f>
        <v>-12089.903176283759</v>
      </c>
      <c r="Z90" s="53">
        <f>assets-prev assets</f>
        <v>-11358.86934699948</v>
      </c>
      <c r="AA90" s="53">
        <f>assets-prev assets</f>
        <v>-12515.50829518737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2" customFormat="1" x14ac:dyDescent="0.3">
      <c r="A91" s="45" t="s">
        <v>57</v>
      </c>
      <c r="B91" s="27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2" customFormat="1" x14ac:dyDescent="0.3">
      <c r="A92" s="29" t="s">
        <v>58</v>
      </c>
      <c r="B92" s="27" t="s">
        <v>59</v>
      </c>
      <c r="C92" s="53">
        <f>C87</f>
        <v>62500</v>
      </c>
      <c r="D92" s="53">
        <f>Eq_req-prev Eq_req</f>
        <v>-4089.0157960745928</v>
      </c>
      <c r="E92" s="53">
        <f>Eq_req-prev Eq_req</f>
        <v>-3110.9091514260581</v>
      </c>
      <c r="F92" s="53">
        <f>Eq_req-prev Eq_req</f>
        <v>-3162.5471524814129</v>
      </c>
      <c r="G92" s="53">
        <f>Eq_req-prev Eq_req</f>
        <v>-4812.4182386811153</v>
      </c>
      <c r="H92" s="53">
        <f>Eq_req-prev Eq_req</f>
        <v>-3374.9882612828296</v>
      </c>
      <c r="I92" s="53">
        <f>Eq_req-prev Eq_req</f>
        <v>-3305.6170314839692</v>
      </c>
      <c r="J92" s="53">
        <f>Eq_req-prev Eq_req</f>
        <v>-3219.0485893488076</v>
      </c>
      <c r="K92" s="53">
        <f>Eq_req-prev Eq_req</f>
        <v>-3119.7694566282298</v>
      </c>
      <c r="L92" s="53">
        <f>Eq_req-prev Eq_req</f>
        <v>-3011.0971093944681</v>
      </c>
      <c r="M92" s="53">
        <f>Eq_req-prev Eq_req</f>
        <v>-2895.6487297560234</v>
      </c>
      <c r="N92" s="53">
        <f>Eq_req-prev Eq_req</f>
        <v>-2775.5695177673624</v>
      </c>
      <c r="O92" s="53">
        <f>Eq_req-prev Eq_req</f>
        <v>-2652.6566791073856</v>
      </c>
      <c r="P92" s="53">
        <f>Eq_req-prev Eq_req</f>
        <v>-2528.4331763010923</v>
      </c>
      <c r="Q92" s="53">
        <f>Eq_req-prev Eq_req</f>
        <v>-2404.1953727864202</v>
      </c>
      <c r="R92" s="53">
        <f>Eq_req-prev Eq_req</f>
        <v>-2281.046291449351</v>
      </c>
      <c r="S92" s="53">
        <f>Eq_req-prev Eq_req</f>
        <v>-2159.9205555555964</v>
      </c>
      <c r="T92" s="53">
        <f>Eq_req-prev Eq_req</f>
        <v>-2041.6043047568201</v>
      </c>
      <c r="U92" s="53">
        <f>Eq_req-prev Eq_req</f>
        <v>-1926.7519344391621</v>
      </c>
      <c r="V92" s="53">
        <f>Eq_req-prev Eq_req</f>
        <v>-1815.9007198907784</v>
      </c>
      <c r="W92" s="53">
        <f>Eq_req-prev Eq_req</f>
        <v>-1709.4839433039961</v>
      </c>
      <c r="X92" s="53">
        <f>Eq_req-prev Eq_req</f>
        <v>-1607.8428857757026</v>
      </c>
      <c r="Y92" s="53">
        <f>Eq_req-prev Eq_req</f>
        <v>-1511.2378970354698</v>
      </c>
      <c r="Z92" s="53">
        <f>Eq_req-prev Eq_req</f>
        <v>-1419.858668374935</v>
      </c>
      <c r="AA92" s="53">
        <f>Eq_req-prev Eq_req</f>
        <v>-1564.4385368984213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2" customFormat="1" x14ac:dyDescent="0.3">
      <c r="A93" s="29" t="s">
        <v>62</v>
      </c>
      <c r="B93" s="27" t="s">
        <v>63</v>
      </c>
      <c r="C93" s="53">
        <f>C88</f>
        <v>437500</v>
      </c>
      <c r="D93" s="53">
        <f>Fund_req-prev Fund_req</f>
        <v>-28623.110572522157</v>
      </c>
      <c r="E93" s="53">
        <f>Fund_req-prev Fund_req</f>
        <v>-21776.364059982414</v>
      </c>
      <c r="F93" s="53">
        <f>Fund_req-prev Fund_req</f>
        <v>-22137.830067369854</v>
      </c>
      <c r="G93" s="53">
        <f>Fund_req-prev Fund_req</f>
        <v>-33686.927670767822</v>
      </c>
      <c r="H93" s="53">
        <f>Fund_req-prev Fund_req</f>
        <v>-23624.917828979786</v>
      </c>
      <c r="I93" s="53">
        <f>Fund_req-prev Fund_req</f>
        <v>-23139.319220387843</v>
      </c>
      <c r="J93" s="53">
        <f>Fund_req-prev Fund_req</f>
        <v>-22533.340125441609</v>
      </c>
      <c r="K93" s="53">
        <f>Fund_req-prev Fund_req</f>
        <v>-21838.386196397623</v>
      </c>
      <c r="L93" s="53">
        <f>Fund_req-prev Fund_req</f>
        <v>-21077.679765761277</v>
      </c>
      <c r="M93" s="53">
        <f>Fund_req-prev Fund_req</f>
        <v>-20269.541108292178</v>
      </c>
      <c r="N93" s="53">
        <f>Fund_req-prev Fund_req</f>
        <v>-19428.986624371522</v>
      </c>
      <c r="O93" s="53">
        <f>Fund_req-prev Fund_req</f>
        <v>-18568.596753751714</v>
      </c>
      <c r="P93" s="53">
        <f>Fund_req-prev Fund_req</f>
        <v>-17699.032234107639</v>
      </c>
      <c r="Q93" s="53">
        <f>Fund_req-prev Fund_req</f>
        <v>-16829.36760950493</v>
      </c>
      <c r="R93" s="53">
        <f>Fund_req-prev Fund_req</f>
        <v>-15967.324040145468</v>
      </c>
      <c r="S93" s="53">
        <f>Fund_req-prev Fund_req</f>
        <v>-15119.44388888916</v>
      </c>
      <c r="T93" s="53">
        <f>Fund_req-prev Fund_req</f>
        <v>-14291.230133297751</v>
      </c>
      <c r="U93" s="53">
        <f>Fund_req-prev Fund_req</f>
        <v>-13487.263541074135</v>
      </c>
      <c r="V93" s="53">
        <f>Fund_req-prev Fund_req</f>
        <v>-12711.305039235449</v>
      </c>
      <c r="W93" s="53">
        <f>Fund_req-prev Fund_req</f>
        <v>-11966.387603127965</v>
      </c>
      <c r="X93" s="53">
        <f>Fund_req-prev Fund_req</f>
        <v>-11254.900200429922</v>
      </c>
      <c r="Y93" s="53">
        <f>Fund_req-prev Fund_req</f>
        <v>-10578.665279248289</v>
      </c>
      <c r="Z93" s="53">
        <f>Fund_req-prev Fund_req</f>
        <v>-9939.0106786245451</v>
      </c>
      <c r="AA93" s="53">
        <f>Fund_req-prev Fund_req</f>
        <v>-10951.069758288948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x14ac:dyDescent="0.3">
      <c r="A94" s="29"/>
      <c r="B94" s="27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 spans="1:87" ht="15.6" x14ac:dyDescent="0.3">
      <c r="A95" s="77" t="s">
        <v>21</v>
      </c>
      <c r="B95" s="27"/>
      <c r="C95" s="10"/>
      <c r="E95" s="58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87" x14ac:dyDescent="0.3">
      <c r="A96" s="9" t="s">
        <v>22</v>
      </c>
      <c r="B96" s="64" t="s">
        <v>23</v>
      </c>
      <c r="C96" s="65">
        <f>1/(1+discount_rate_month)^(statement_no)</f>
        <v>1</v>
      </c>
      <c r="D96" s="65">
        <f>1/(1+discount_rate_month)^(statement_no)</f>
        <v>0.97837358933250107</v>
      </c>
      <c r="E96" s="65">
        <f t="shared" ref="E96:AA96" si="18">1/(1+discount_rate_month)^(statement_no)</f>
        <v>0.95721488030336144</v>
      </c>
      <c r="F96" s="65">
        <f t="shared" si="18"/>
        <v>0.93651375820488014</v>
      </c>
      <c r="G96" s="65">
        <f t="shared" si="18"/>
        <v>0.91626032707417848</v>
      </c>
      <c r="H96" s="65">
        <f t="shared" si="18"/>
        <v>0.89644490496253548</v>
      </c>
      <c r="I96" s="65">
        <f t="shared" si="18"/>
        <v>0.87705801930702865</v>
      </c>
      <c r="J96" s="65">
        <f t="shared" si="18"/>
        <v>0.85809040240227163</v>
      </c>
      <c r="K96" s="65">
        <f t="shared" si="18"/>
        <v>0.83953298697008061</v>
      </c>
      <c r="L96" s="65">
        <f t="shared" si="18"/>
        <v>0.8213769018249536</v>
      </c>
      <c r="M96" s="65">
        <f t="shared" si="18"/>
        <v>0.80361346763328922</v>
      </c>
      <c r="N96" s="65">
        <f t="shared" si="18"/>
        <v>0.78623419276431894</v>
      </c>
      <c r="O96" s="65">
        <f t="shared" si="18"/>
        <v>0.76923076923076805</v>
      </c>
      <c r="P96" s="65">
        <f t="shared" si="18"/>
        <v>0.75259506871730741</v>
      </c>
      <c r="Q96" s="65">
        <f t="shared" si="18"/>
        <v>0.73631913869489241</v>
      </c>
      <c r="R96" s="65">
        <f t="shared" si="18"/>
        <v>0.72039519861913748</v>
      </c>
      <c r="S96" s="65">
        <f t="shared" si="18"/>
        <v>0.70481563621090548</v>
      </c>
      <c r="T96" s="65">
        <f t="shared" si="18"/>
        <v>0.68957300381733388</v>
      </c>
      <c r="U96" s="65">
        <f t="shared" si="18"/>
        <v>0.67466001485155946</v>
      </c>
      <c r="V96" s="65">
        <f t="shared" si="18"/>
        <v>0.66006954030943865</v>
      </c>
      <c r="W96" s="65">
        <f t="shared" si="18"/>
        <v>0.64579460536159949</v>
      </c>
      <c r="X96" s="65">
        <f t="shared" si="18"/>
        <v>0.63182838601919411</v>
      </c>
      <c r="Y96" s="65">
        <f t="shared" si="18"/>
        <v>0.61816420587176002</v>
      </c>
      <c r="Z96" s="65">
        <f t="shared" si="18"/>
        <v>0.60479553289562893</v>
      </c>
      <c r="AA96" s="65">
        <f t="shared" si="18"/>
        <v>0.59171597633135908</v>
      </c>
    </row>
    <row r="97" spans="1:87" x14ac:dyDescent="0.3">
      <c r="B97" s="66">
        <f>((1+discount_rate)^(1/12)-1)</f>
        <v>2.2104450593615876E-2</v>
      </c>
      <c r="C97" s="10"/>
      <c r="D97" s="9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87" x14ac:dyDescent="0.3">
      <c r="A98" s="9" t="s">
        <v>107</v>
      </c>
      <c r="B98" s="68">
        <f>SUMPRODUCT(Cash_flow_to_Client,coeff_discount)</f>
        <v>25606.929743248893</v>
      </c>
      <c r="C98" s="69">
        <f>initial_amount-repayment</f>
        <v>500000</v>
      </c>
      <c r="D98" s="67">
        <f>-repayment</f>
        <v>-46712.126368596742</v>
      </c>
      <c r="E98" s="67">
        <f>-repayment</f>
        <v>-36546.725711729654</v>
      </c>
      <c r="F98" s="67">
        <f>-repayment</f>
        <v>-36335.468292456484</v>
      </c>
      <c r="G98" s="67">
        <f t="shared" ref="G98:AA98" si="19">-repayment</f>
        <v>-36329.827043564714</v>
      </c>
      <c r="H98" s="67">
        <f t="shared" si="19"/>
        <v>-33686.937276767007</v>
      </c>
      <c r="I98" s="67">
        <f t="shared" si="19"/>
        <v>-32387.594591718575</v>
      </c>
      <c r="J98" s="67">
        <f t="shared" si="19"/>
        <v>-31017.581254515651</v>
      </c>
      <c r="K98" s="67">
        <f t="shared" si="19"/>
        <v>-29609.299713135719</v>
      </c>
      <c r="L98" s="67">
        <f t="shared" si="19"/>
        <v>-28185.142424354119</v>
      </c>
      <c r="M98" s="67">
        <f t="shared" si="19"/>
        <v>-26761.547255849695</v>
      </c>
      <c r="N98" s="67">
        <f t="shared" si="19"/>
        <v>-25351.020151743185</v>
      </c>
      <c r="O98" s="67">
        <f t="shared" si="19"/>
        <v>-23963.262084208221</v>
      </c>
      <c r="P98" s="67">
        <f t="shared" si="19"/>
        <v>-22605.855265406091</v>
      </c>
      <c r="Q98" s="67">
        <f t="shared" si="19"/>
        <v>-21284.713434921854</v>
      </c>
      <c r="R98" s="67">
        <f t="shared" si="19"/>
        <v>-20004.396970465128</v>
      </c>
      <c r="S98" s="67">
        <f t="shared" si="19"/>
        <v>-18768.345916879684</v>
      </c>
      <c r="T98" s="67">
        <f t="shared" si="19"/>
        <v>-17579.060497953378</v>
      </c>
      <c r="U98" s="67">
        <f t="shared" si="19"/>
        <v>-16438.246331516388</v>
      </c>
      <c r="V98" s="67">
        <f t="shared" si="19"/>
        <v>-15346.934767187537</v>
      </c>
      <c r="W98" s="67">
        <f t="shared" si="19"/>
        <v>-14305.584866345063</v>
      </c>
      <c r="X98" s="67">
        <f t="shared" si="19"/>
        <v>-13314.171234023537</v>
      </c>
      <c r="Y98" s="67">
        <f t="shared" si="19"/>
        <v>-12372.260507861958</v>
      </c>
      <c r="Z98" s="67">
        <f t="shared" si="19"/>
        <v>-11479.07843681066</v>
      </c>
      <c r="AA98" s="67">
        <f t="shared" si="19"/>
        <v>-12478.406953099822</v>
      </c>
    </row>
    <row r="99" spans="1:87" x14ac:dyDescent="0.3">
      <c r="A99" s="9" t="s">
        <v>108</v>
      </c>
      <c r="B99" s="68">
        <f>SUMPRODUCT(to_bondholders,coeff_discount)</f>
        <v>-30762.346909741103</v>
      </c>
      <c r="C99" s="69">
        <f>Cost_of_Funds-Fund_req_chng</f>
        <v>-437500</v>
      </c>
      <c r="D99" s="69">
        <f t="shared" ref="D99:AA99" si="20">Cost_of_Funds-Fund_req_chng</f>
        <v>34821.027239188821</v>
      </c>
      <c r="E99" s="69">
        <f t="shared" si="20"/>
        <v>27568.786660205016</v>
      </c>
      <c r="F99" s="69">
        <f t="shared" si="20"/>
        <v>27621.754176742706</v>
      </c>
      <c r="G99" s="69">
        <f t="shared" si="20"/>
        <v>38857.232520852936</v>
      </c>
      <c r="H99" s="69">
        <f t="shared" si="20"/>
        <v>28317.99120372902</v>
      </c>
      <c r="I99" s="69">
        <f t="shared" si="20"/>
        <v>27497.706259226532</v>
      </c>
      <c r="J99" s="69">
        <f t="shared" si="20"/>
        <v>26563.920141991468</v>
      </c>
      <c r="K99" s="69">
        <f t="shared" si="20"/>
        <v>25549.743894503728</v>
      </c>
      <c r="L99" s="69">
        <f t="shared" si="20"/>
        <v>24479.660326085082</v>
      </c>
      <c r="M99" s="69">
        <f t="shared" si="20"/>
        <v>23372.921205267699</v>
      </c>
      <c r="N99" s="69">
        <f t="shared" si="20"/>
        <v>22245.214888979568</v>
      </c>
      <c r="O99" s="69">
        <f t="shared" si="20"/>
        <v>21109.581041181165</v>
      </c>
      <c r="P99" s="69">
        <f t="shared" si="20"/>
        <v>19976.961400858941</v>
      </c>
      <c r="Q99" s="69">
        <f t="shared" si="20"/>
        <v>18856.56048627304</v>
      </c>
      <c r="R99" s="69">
        <f t="shared" si="20"/>
        <v>17756.100875778924</v>
      </c>
      <c r="S99" s="69">
        <f t="shared" si="20"/>
        <v>16682.016967287222</v>
      </c>
      <c r="T99" s="69">
        <f t="shared" si="20"/>
        <v>15639.61108993655</v>
      </c>
      <c r="U99" s="69">
        <f t="shared" si="20"/>
        <v>14633.185404157883</v>
      </c>
      <c r="V99" s="69">
        <f t="shared" si="20"/>
        <v>13666.157335487313</v>
      </c>
      <c r="W99" s="69">
        <f t="shared" si="20"/>
        <v>12741.163077990661</v>
      </c>
      <c r="X99" s="69">
        <f t="shared" si="20"/>
        <v>11860.151850914972</v>
      </c>
      <c r="Y99" s="69">
        <f t="shared" si="20"/>
        <v>11024.472510227248</v>
      </c>
      <c r="Z99" s="69">
        <f t="shared" si="20"/>
        <v>10234.953484814152</v>
      </c>
      <c r="AA99" s="69">
        <f t="shared" si="20"/>
        <v>11106.209913198041</v>
      </c>
    </row>
    <row r="100" spans="1:87" x14ac:dyDescent="0.3">
      <c r="A100" s="9" t="s">
        <v>109</v>
      </c>
      <c r="B100" s="68">
        <f>SUMPRODUCT(cost_tax,coeff_discount)</f>
        <v>5209.1949016950375</v>
      </c>
      <c r="C100" s="69">
        <f t="shared" ref="C100:AA100" si="21">Operation_cost+collect_cost+Tax</f>
        <v>0</v>
      </c>
      <c r="D100" s="69">
        <f t="shared" si="21"/>
        <v>1640.4166666666667</v>
      </c>
      <c r="E100" s="69">
        <f t="shared" si="21"/>
        <v>1286.706273385535</v>
      </c>
      <c r="F100" s="69">
        <f t="shared" si="21"/>
        <v>1226.8184751204815</v>
      </c>
      <c r="G100" s="69">
        <f t="shared" si="21"/>
        <v>-1349.4127593944049</v>
      </c>
      <c r="H100" s="69">
        <f t="shared" si="21"/>
        <v>518.13317772166147</v>
      </c>
      <c r="I100" s="69">
        <f t="shared" si="21"/>
        <v>425.41044976861866</v>
      </c>
      <c r="J100" s="69">
        <f t="shared" si="21"/>
        <v>353.68062750147578</v>
      </c>
      <c r="K100" s="69">
        <f t="shared" si="21"/>
        <v>292.7016664899412</v>
      </c>
      <c r="L100" s="69">
        <f t="shared" si="21"/>
        <v>241.42596179849824</v>
      </c>
      <c r="M100" s="69">
        <f t="shared" si="21"/>
        <v>198.79786861315495</v>
      </c>
      <c r="N100" s="69">
        <f t="shared" si="21"/>
        <v>163.77971742522783</v>
      </c>
      <c r="O100" s="69">
        <f t="shared" si="21"/>
        <v>135.36981670921611</v>
      </c>
      <c r="P100" s="69">
        <f t="shared" si="21"/>
        <v>112.61499484243093</v>
      </c>
      <c r="Q100" s="69">
        <f t="shared" si="21"/>
        <v>94.619118601079251</v>
      </c>
      <c r="R100" s="69">
        <f t="shared" si="21"/>
        <v>80.548503974225554</v>
      </c>
      <c r="S100" s="69">
        <f t="shared" si="21"/>
        <v>69.634864193297886</v>
      </c>
      <c r="T100" s="69">
        <f t="shared" si="21"/>
        <v>61.17628491404124</v>
      </c>
      <c r="U100" s="69">
        <f t="shared" si="21"/>
        <v>54.536618867500586</v>
      </c>
      <c r="V100" s="69">
        <f t="shared" si="21"/>
        <v>49.143624704599695</v>
      </c>
      <c r="W100" s="69">
        <f t="shared" si="21"/>
        <v>44.486123758082876</v>
      </c>
      <c r="X100" s="69">
        <f t="shared" si="21"/>
        <v>40.11040717508007</v>
      </c>
      <c r="Y100" s="69">
        <f t="shared" si="21"/>
        <v>35.616090745599834</v>
      </c>
      <c r="Z100" s="69">
        <f t="shared" si="21"/>
        <v>30.651583866218104</v>
      </c>
      <c r="AA100" s="69">
        <f t="shared" si="21"/>
        <v>24.909311419549631</v>
      </c>
    </row>
    <row r="101" spans="1:87" s="7" customFormat="1" x14ac:dyDescent="0.3">
      <c r="A101" s="70" t="s">
        <v>110</v>
      </c>
      <c r="B101" s="71">
        <f>SUMPRODUCT(shareholders,coeff_discount)</f>
        <v>-53.777735202739564</v>
      </c>
      <c r="C101" s="72">
        <f t="shared" ref="C101:AA101" si="22">Net_Income_Atax-Eq_req_chng</f>
        <v>-62500</v>
      </c>
      <c r="D101" s="72">
        <f t="shared" si="22"/>
        <v>10250.682462741259</v>
      </c>
      <c r="E101" s="72">
        <f t="shared" si="22"/>
        <v>7691.2327781391123</v>
      </c>
      <c r="F101" s="72">
        <f t="shared" si="22"/>
        <v>7486.8956405932631</v>
      </c>
      <c r="G101" s="72">
        <f t="shared" si="22"/>
        <v>-1177.9927178938015</v>
      </c>
      <c r="H101" s="72">
        <f t="shared" si="22"/>
        <v>4850.8128953163014</v>
      </c>
      <c r="I101" s="72">
        <f t="shared" si="22"/>
        <v>4464.4778827234823</v>
      </c>
      <c r="J101" s="72">
        <f t="shared" si="22"/>
        <v>4099.980485022661</v>
      </c>
      <c r="K101" s="72">
        <f t="shared" si="22"/>
        <v>3766.8541521420616</v>
      </c>
      <c r="L101" s="72">
        <f t="shared" si="22"/>
        <v>3464.0561364705381</v>
      </c>
      <c r="M101" s="72">
        <f t="shared" si="22"/>
        <v>3189.8281819688573</v>
      </c>
      <c r="N101" s="72">
        <f t="shared" si="22"/>
        <v>2942.0255453383734</v>
      </c>
      <c r="O101" s="72">
        <f t="shared" si="22"/>
        <v>2718.3112263178568</v>
      </c>
      <c r="P101" s="72">
        <f t="shared" si="22"/>
        <v>2516.2788697047117</v>
      </c>
      <c r="Q101" s="72">
        <f t="shared" si="22"/>
        <v>2333.5338300477224</v>
      </c>
      <c r="R101" s="72">
        <f t="shared" si="22"/>
        <v>2167.7475907119888</v>
      </c>
      <c r="S101" s="72">
        <f t="shared" si="22"/>
        <v>2016.6940853991498</v>
      </c>
      <c r="T101" s="72">
        <f t="shared" si="22"/>
        <v>1878.2731231027969</v>
      </c>
      <c r="U101" s="72">
        <f t="shared" si="22"/>
        <v>1750.524308491003</v>
      </c>
      <c r="V101" s="72">
        <f t="shared" si="22"/>
        <v>1631.6338069956244</v>
      </c>
      <c r="W101" s="72">
        <f t="shared" si="22"/>
        <v>1519.9356645963132</v>
      </c>
      <c r="X101" s="72">
        <f t="shared" si="22"/>
        <v>1413.9089759334895</v>
      </c>
      <c r="Y101" s="72">
        <f t="shared" si="22"/>
        <v>1312.1719068891116</v>
      </c>
      <c r="Z101" s="72">
        <f t="shared" si="22"/>
        <v>1213.4733681302887</v>
      </c>
      <c r="AA101" s="72">
        <f t="shared" si="22"/>
        <v>1347.2877284822296</v>
      </c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</row>
    <row r="102" spans="1:87" x14ac:dyDescent="0.3">
      <c r="A102" s="73"/>
      <c r="C102" s="74">
        <v>-62499.841999999997</v>
      </c>
      <c r="D102" s="74">
        <v>7013.8196294079262</v>
      </c>
      <c r="E102" s="74">
        <v>5791.9432377544508</v>
      </c>
      <c r="F102" s="74">
        <v>5689.4548950202461</v>
      </c>
      <c r="G102" s="74">
        <v>-5229.1033213884366</v>
      </c>
      <c r="H102" s="74">
        <v>2796.0011834785464</v>
      </c>
      <c r="I102" s="74">
        <v>2506.3731006017915</v>
      </c>
      <c r="J102" s="74">
        <v>2246.329156959358</v>
      </c>
      <c r="K102" s="74">
        <v>2023.4347139357185</v>
      </c>
      <c r="L102" s="74">
        <v>1834.9851537589602</v>
      </c>
      <c r="M102" s="74">
        <v>1677.726406278432</v>
      </c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1:87" x14ac:dyDescent="0.3"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87" x14ac:dyDescent="0.3">
      <c r="A104" s="9" t="s">
        <v>45</v>
      </c>
      <c r="B104" s="75" t="s">
        <v>46</v>
      </c>
      <c r="C104" s="58">
        <f>CFtS*coeff_discount</f>
        <v>-62500</v>
      </c>
      <c r="D104" s="58">
        <f>prev C104 + CFtS*coeff_discount</f>
        <v>-52471.003005820116</v>
      </c>
      <c r="E104" s="58">
        <f>prev D104 + CFtS*coeff_discount</f>
        <v>-45108.840542708393</v>
      </c>
      <c r="F104" s="58">
        <f>prev E104 + CFtS*coeff_discount</f>
        <v>-38097.259769048658</v>
      </c>
      <c r="G104" s="58">
        <f>prev F104 + CFtS*coeff_discount</f>
        <v>-39176.607762037034</v>
      </c>
      <c r="H104" s="58">
        <f>prev G104 + CFtS*coeff_discount</f>
        <v>-34828.121257104169</v>
      </c>
      <c r="I104" s="58">
        <f>prev H104 + CFtS*coeff_discount</f>
        <v>-30912.515128042673</v>
      </c>
      <c r="J104" s="58">
        <f>prev I104 + CFtS*coeff_discount</f>
        <v>-27394.361223808115</v>
      </c>
      <c r="K104" s="58">
        <f>prev J104 + CFtS*coeff_discount</f>
        <v>-24231.962905979639</v>
      </c>
      <c r="L104" s="58">
        <f>prev K104 + CFtS*coeff_discount</f>
        <v>-21386.667208857751</v>
      </c>
      <c r="M104" s="58">
        <f>prev L104 + CFtS*coeff_discount</f>
        <v>-18823.278322391365</v>
      </c>
      <c r="N104" s="58">
        <f>prev M104 + CFtS*coeff_discount</f>
        <v>-16510.157242660243</v>
      </c>
      <c r="O104" s="58">
        <f>prev N104 + CFtS*coeff_discount</f>
        <v>-14419.148607031126</v>
      </c>
      <c r="P104" s="58">
        <f>prev O104 + CFtS*coeff_discount</f>
        <v>-12525.409538173799</v>
      </c>
      <c r="Q104" s="58">
        <f>prev P104 + CFtS*coeff_discount</f>
        <v>-10807.183918317667</v>
      </c>
      <c r="R104" s="58">
        <f>prev Q104 + CFtS*coeff_discount</f>
        <v>-9245.5489621505476</v>
      </c>
      <c r="S104" s="58">
        <f>prev R104 + CFtS*coeff_discount</f>
        <v>-7824.1514373071759</v>
      </c>
      <c r="T104" s="58">
        <f>prev S104 + CFtS*coeff_discount</f>
        <v>-6528.9449978198154</v>
      </c>
      <c r="U104" s="58">
        <f>prev T104 + CFtS*coeff_discount</f>
        <v>-5347.9362418552591</v>
      </c>
      <c r="V104" s="58">
        <f>prev U104 + CFtS*coeff_discount</f>
        <v>-4270.9444649183179</v>
      </c>
      <c r="W104" s="58">
        <f>prev V104 + CFtS*coeff_discount</f>
        <v>-3289.3782122253215</v>
      </c>
      <c r="X104" s="58">
        <f>prev W104 + CFtS*coeff_discount</f>
        <v>-2396.0303859832134</v>
      </c>
      <c r="Y104" s="58">
        <f>prev X104 + CFtS*coeff_discount</f>
        <v>-1584.8926811938727</v>
      </c>
      <c r="Z104" s="58">
        <f>prev Y104 + CFtS*coeff_discount</f>
        <v>-850.98940886086109</v>
      </c>
      <c r="AA104" s="58">
        <f>prev Z104 + CFtS*coeff_discount</f>
        <v>-53.777735202739564</v>
      </c>
    </row>
    <row r="105" spans="1:87" x14ac:dyDescent="0.3"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spans="1:87" x14ac:dyDescent="0.3">
      <c r="D106" s="46"/>
      <c r="E106" s="76"/>
      <c r="F106" s="40"/>
      <c r="G106" s="40"/>
      <c r="H106" s="40"/>
      <c r="I106" s="41"/>
      <c r="J106" s="41"/>
      <c r="K106" s="28"/>
    </row>
    <row r="107" spans="1:87" x14ac:dyDescent="0.3">
      <c r="D107" s="46"/>
      <c r="E107" s="76"/>
      <c r="F107" s="40"/>
      <c r="G107" s="40"/>
      <c r="H107" s="40"/>
      <c r="I107" s="41"/>
      <c r="J107" s="41"/>
      <c r="K107" s="28"/>
    </row>
    <row r="108" spans="1:87" x14ac:dyDescent="0.3">
      <c r="D108" s="46"/>
      <c r="E108" s="76"/>
      <c r="F108" s="40"/>
      <c r="G108" s="40"/>
      <c r="H108" s="40"/>
      <c r="I108" s="41"/>
      <c r="J108" s="41"/>
      <c r="K108" s="28"/>
    </row>
    <row r="109" spans="1:87" x14ac:dyDescent="0.3">
      <c r="D109" s="46"/>
      <c r="E109" s="76"/>
      <c r="F109" s="41"/>
      <c r="G109" s="41"/>
      <c r="H109" s="41"/>
      <c r="I109" s="41"/>
      <c r="J109" s="41"/>
      <c r="K109" s="28"/>
    </row>
    <row r="110" spans="1:87" x14ac:dyDescent="0.3">
      <c r="D110" s="46"/>
      <c r="E110" s="76"/>
      <c r="F110" s="41"/>
      <c r="G110" s="41"/>
      <c r="H110" s="41"/>
      <c r="I110" s="41"/>
      <c r="J110" s="41"/>
      <c r="K110" s="28"/>
    </row>
    <row r="111" spans="1:87" x14ac:dyDescent="0.3">
      <c r="D111" s="46"/>
      <c r="E111" s="76"/>
      <c r="F111" s="41"/>
      <c r="G111" s="41"/>
      <c r="H111" s="41"/>
      <c r="I111" s="41"/>
      <c r="J111" s="41"/>
      <c r="K111" s="28"/>
    </row>
    <row r="112" spans="1:87" x14ac:dyDescent="0.3">
      <c r="D112" s="46"/>
      <c r="E112" s="76"/>
      <c r="F112" s="41"/>
      <c r="G112" s="41"/>
      <c r="H112" s="41"/>
      <c r="I112" s="41"/>
      <c r="J112" s="41"/>
      <c r="K112" s="28"/>
    </row>
    <row r="113" spans="4:11" x14ac:dyDescent="0.3">
      <c r="D113" s="58"/>
      <c r="E113" s="76"/>
      <c r="F113" s="28"/>
      <c r="G113" s="28"/>
      <c r="H113" s="28"/>
      <c r="I113" s="28"/>
      <c r="J113" s="41"/>
      <c r="K113" s="28"/>
    </row>
    <row r="114" spans="4:11" x14ac:dyDescent="0.3">
      <c r="D114" s="58"/>
      <c r="E114" s="76"/>
      <c r="F114" s="28"/>
      <c r="G114" s="28"/>
      <c r="H114" s="28"/>
      <c r="I114" s="28"/>
      <c r="J114" s="28"/>
      <c r="K114" s="28"/>
    </row>
    <row r="115" spans="4:11" x14ac:dyDescent="0.3">
      <c r="D115" s="58"/>
      <c r="E115" s="76"/>
      <c r="F115" s="28"/>
      <c r="G115" s="28"/>
      <c r="H115" s="28"/>
      <c r="I115" s="28"/>
      <c r="J115" s="28"/>
      <c r="K115" s="28"/>
    </row>
    <row r="116" spans="4:11" x14ac:dyDescent="0.3">
      <c r="E116" s="76"/>
    </row>
    <row r="117" spans="4:11" x14ac:dyDescent="0.3">
      <c r="E117" s="76"/>
    </row>
    <row r="118" spans="4:11" x14ac:dyDescent="0.3">
      <c r="E118" s="67"/>
    </row>
    <row r="119" spans="4:11" x14ac:dyDescent="0.3">
      <c r="E119" s="67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zoomScale="115" workbookViewId="0">
      <selection activeCell="J14" sqref="J14"/>
    </sheetView>
  </sheetViews>
  <sheetFormatPr defaultColWidth="8.77734375" defaultRowHeight="14.4" x14ac:dyDescent="0.3"/>
  <sheetData>
    <row r="3" spans="1:1" x14ac:dyDescent="0.3">
      <c r="A3" t="s">
        <v>119</v>
      </c>
    </row>
    <row r="4" spans="1:1" x14ac:dyDescent="0.3">
      <c r="A4" t="s">
        <v>121</v>
      </c>
    </row>
    <row r="5" spans="1:1" x14ac:dyDescent="0.3">
      <c r="A5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22"/>
  <sheetViews>
    <sheetView tabSelected="1" topLeftCell="A52" zoomScaleNormal="100" workbookViewId="0">
      <pane xSplit="1" topLeftCell="B1" activePane="topRight" state="frozen"/>
      <selection activeCell="A12" sqref="A12"/>
      <selection pane="topRight" activeCell="I22" sqref="I22"/>
    </sheetView>
  </sheetViews>
  <sheetFormatPr defaultColWidth="9.109375" defaultRowHeight="14.4" x14ac:dyDescent="0.3"/>
  <cols>
    <col min="1" max="1" width="40" style="9" customWidth="1"/>
    <col min="2" max="2" width="19.44140625" style="9" customWidth="1"/>
    <col min="3" max="3" width="19.6640625" style="9" customWidth="1"/>
    <col min="4" max="4" width="11.44140625" style="10" customWidth="1"/>
    <col min="5" max="5" width="16" style="9" customWidth="1"/>
    <col min="6" max="7" width="17.5546875" style="9" customWidth="1"/>
    <col min="8" max="8" width="12.6640625" style="9" bestFit="1" customWidth="1"/>
    <col min="9" max="9" width="13" style="9" bestFit="1" customWidth="1"/>
    <col min="10" max="10" width="14.109375" style="9" bestFit="1" customWidth="1"/>
    <col min="11" max="11" width="10" style="9" customWidth="1"/>
    <col min="12" max="15" width="13" style="9" bestFit="1" customWidth="1"/>
    <col min="16" max="16" width="12.77734375" style="9" bestFit="1" customWidth="1"/>
    <col min="17" max="27" width="11.77734375" style="9" bestFit="1" customWidth="1"/>
    <col min="28" max="87" width="9.109375" style="9"/>
    <col min="88" max="16384" width="9.109375" style="1"/>
  </cols>
  <sheetData>
    <row r="2" spans="1:87" x14ac:dyDescent="0.3">
      <c r="CE2" s="1"/>
      <c r="CF2" s="1"/>
      <c r="CG2" s="1"/>
      <c r="CH2" s="1"/>
      <c r="CI2" s="1"/>
    </row>
    <row r="3" spans="1:87" x14ac:dyDescent="0.3">
      <c r="CE3" s="1"/>
      <c r="CF3" s="1"/>
      <c r="CG3" s="1"/>
      <c r="CH3" s="1"/>
      <c r="CI3" s="1"/>
    </row>
    <row r="4" spans="1:87" x14ac:dyDescent="0.3">
      <c r="CE4" s="1"/>
      <c r="CF4" s="1"/>
      <c r="CG4" s="1"/>
      <c r="CH4" s="1"/>
      <c r="CI4" s="1"/>
    </row>
    <row r="5" spans="1:87" x14ac:dyDescent="0.3">
      <c r="CE5" s="1"/>
      <c r="CF5" s="1"/>
      <c r="CG5" s="1"/>
      <c r="CH5" s="1"/>
      <c r="CI5" s="1"/>
    </row>
    <row r="6" spans="1:87" x14ac:dyDescent="0.3">
      <c r="E6" s="84"/>
      <c r="F6" s="88"/>
      <c r="G6" s="87" t="s">
        <v>123</v>
      </c>
      <c r="H6" s="85"/>
      <c r="I6" s="86"/>
      <c r="CE6" s="1"/>
      <c r="CF6" s="1"/>
      <c r="CG6" s="1"/>
      <c r="CH6" s="1"/>
      <c r="CI6" s="1"/>
    </row>
    <row r="7" spans="1:87" ht="15.6" x14ac:dyDescent="0.3">
      <c r="A7" s="77" t="s">
        <v>0</v>
      </c>
      <c r="B7" s="11"/>
      <c r="C7" s="11"/>
      <c r="E7" s="83"/>
      <c r="F7" s="89">
        <v>0.01</v>
      </c>
      <c r="G7" s="90">
        <v>-0.01</v>
      </c>
      <c r="H7" s="92" t="s">
        <v>124</v>
      </c>
      <c r="I7" s="93" t="s">
        <v>125</v>
      </c>
      <c r="CE7" s="1"/>
      <c r="CF7" s="1"/>
      <c r="CG7" s="1"/>
      <c r="CH7" s="1"/>
      <c r="CI7" s="1"/>
    </row>
    <row r="8" spans="1:87" x14ac:dyDescent="0.3">
      <c r="A8" s="13" t="s">
        <v>1</v>
      </c>
      <c r="B8" s="12" t="s">
        <v>25</v>
      </c>
      <c r="C8" s="14">
        <v>0.05</v>
      </c>
      <c r="E8" s="83" t="s">
        <v>1</v>
      </c>
      <c r="F8" s="91">
        <v>-3007</v>
      </c>
      <c r="G8" s="91">
        <v>3051</v>
      </c>
      <c r="H8" s="92" t="s">
        <v>128</v>
      </c>
      <c r="I8" s="92" t="s">
        <v>128</v>
      </c>
      <c r="CE8" s="1"/>
      <c r="CF8" s="1"/>
      <c r="CG8" s="1"/>
      <c r="CH8" s="1"/>
      <c r="CI8" s="1"/>
    </row>
    <row r="9" spans="1:87" x14ac:dyDescent="0.3">
      <c r="A9" s="15" t="s">
        <v>67</v>
      </c>
      <c r="B9" s="12" t="s">
        <v>113</v>
      </c>
      <c r="C9" s="14">
        <v>0.15</v>
      </c>
      <c r="E9" s="83" t="s">
        <v>67</v>
      </c>
      <c r="F9" s="91">
        <v>9</v>
      </c>
      <c r="G9" s="91">
        <v>-9</v>
      </c>
      <c r="H9" s="92" t="s">
        <v>128</v>
      </c>
      <c r="I9" s="92" t="s">
        <v>128</v>
      </c>
      <c r="CE9" s="1"/>
      <c r="CF9" s="1"/>
      <c r="CG9" s="1"/>
      <c r="CH9" s="1"/>
      <c r="CI9" s="1"/>
    </row>
    <row r="10" spans="1:87" x14ac:dyDescent="0.3">
      <c r="A10" s="15" t="s">
        <v>68</v>
      </c>
      <c r="B10" s="12" t="s">
        <v>70</v>
      </c>
      <c r="C10" s="16">
        <v>500000</v>
      </c>
      <c r="E10" s="83" t="s">
        <v>26</v>
      </c>
      <c r="F10" s="92">
        <v>-258</v>
      </c>
      <c r="G10" s="92">
        <v>259</v>
      </c>
      <c r="H10" s="92" t="s">
        <v>128</v>
      </c>
      <c r="I10" s="92" t="s">
        <v>128</v>
      </c>
      <c r="CE10" s="1"/>
      <c r="CF10" s="1"/>
      <c r="CG10" s="1"/>
      <c r="CH10" s="1"/>
      <c r="CI10" s="1"/>
    </row>
    <row r="11" spans="1:87" x14ac:dyDescent="0.3">
      <c r="A11" s="15" t="s">
        <v>69</v>
      </c>
      <c r="B11" s="12" t="s">
        <v>69</v>
      </c>
      <c r="C11" s="16">
        <v>24</v>
      </c>
      <c r="E11" s="83" t="s">
        <v>27</v>
      </c>
      <c r="F11" s="92">
        <v>-364</v>
      </c>
      <c r="G11" s="92">
        <v>370</v>
      </c>
      <c r="H11" s="92" t="s">
        <v>128</v>
      </c>
      <c r="I11" s="92" t="s">
        <v>128</v>
      </c>
      <c r="CE11" s="1"/>
      <c r="CF11" s="1"/>
      <c r="CG11" s="1"/>
      <c r="CH11" s="1"/>
      <c r="CI11" s="1"/>
    </row>
    <row r="12" spans="1:87" x14ac:dyDescent="0.3">
      <c r="A12" s="17" t="s">
        <v>5</v>
      </c>
      <c r="B12" s="12" t="s">
        <v>71</v>
      </c>
      <c r="C12" s="18">
        <f>initial_amount * (interest_rate/12)/(1-POWER(1+interest_rate/12,-initial_term))</f>
        <v>26435.54862662495</v>
      </c>
      <c r="E12" s="83" t="s">
        <v>126</v>
      </c>
      <c r="F12" s="92">
        <v>-484</v>
      </c>
      <c r="G12" s="92">
        <v>484</v>
      </c>
      <c r="H12" s="92" t="s">
        <v>128</v>
      </c>
      <c r="I12" s="92" t="s">
        <v>128</v>
      </c>
      <c r="CE12" s="1"/>
      <c r="CF12" s="1"/>
      <c r="CG12" s="1"/>
      <c r="CH12" s="1"/>
      <c r="CI12" s="1"/>
    </row>
    <row r="13" spans="1:87" x14ac:dyDescent="0.3">
      <c r="A13" s="19"/>
      <c r="B13" s="19"/>
      <c r="C13" s="19"/>
      <c r="E13" s="83" t="s">
        <v>49</v>
      </c>
      <c r="F13" s="92">
        <v>-2620</v>
      </c>
      <c r="G13" s="92">
        <v>2621</v>
      </c>
      <c r="H13" s="92" t="s">
        <v>128</v>
      </c>
      <c r="I13" s="92" t="s">
        <v>128</v>
      </c>
      <c r="CE13" s="1"/>
      <c r="CF13" s="1"/>
      <c r="CG13" s="1"/>
      <c r="CH13" s="1"/>
      <c r="CI13" s="1"/>
    </row>
    <row r="14" spans="1:87" ht="15.6" x14ac:dyDescent="0.3">
      <c r="A14" s="77" t="s">
        <v>2</v>
      </c>
      <c r="B14" s="19"/>
      <c r="C14" s="19"/>
      <c r="E14" s="83" t="s">
        <v>127</v>
      </c>
      <c r="F14" s="92">
        <v>2948</v>
      </c>
      <c r="G14" s="92">
        <v>-2935</v>
      </c>
      <c r="H14" s="92" t="s">
        <v>128</v>
      </c>
      <c r="I14" s="92" t="s">
        <v>128</v>
      </c>
      <c r="CE14" s="1"/>
      <c r="CF14" s="1"/>
      <c r="CG14" s="1"/>
      <c r="CH14" s="1"/>
      <c r="CI14" s="1"/>
    </row>
    <row r="15" spans="1:87" x14ac:dyDescent="0.3">
      <c r="A15" s="13" t="s">
        <v>6</v>
      </c>
      <c r="B15" s="12" t="s">
        <v>72</v>
      </c>
      <c r="C15" s="20">
        <v>0.24</v>
      </c>
      <c r="E15" s="83" t="s">
        <v>29</v>
      </c>
      <c r="F15" s="92" t="s">
        <v>128</v>
      </c>
      <c r="G15" s="92" t="s">
        <v>128</v>
      </c>
      <c r="H15" s="92">
        <v>-115</v>
      </c>
      <c r="I15" s="92">
        <v>116</v>
      </c>
      <c r="CE15" s="1"/>
      <c r="CF15" s="1"/>
      <c r="CG15" s="1"/>
      <c r="CH15" s="1"/>
      <c r="CI15" s="1"/>
    </row>
    <row r="16" spans="1:87" x14ac:dyDescent="0.3">
      <c r="A16" s="17" t="s">
        <v>114</v>
      </c>
      <c r="B16" s="21" t="s">
        <v>114</v>
      </c>
      <c r="C16" s="14">
        <v>0.01</v>
      </c>
      <c r="E16" s="83" t="s">
        <v>28</v>
      </c>
      <c r="F16" s="92" t="s">
        <v>128</v>
      </c>
      <c r="G16" s="92" t="s">
        <v>128</v>
      </c>
      <c r="H16" s="92">
        <v>-1063</v>
      </c>
      <c r="I16" s="92">
        <v>1064</v>
      </c>
      <c r="CE16" s="1"/>
      <c r="CF16" s="1"/>
      <c r="CG16" s="1"/>
      <c r="CH16" s="1"/>
      <c r="CI16" s="1"/>
    </row>
    <row r="17" spans="1:87" x14ac:dyDescent="0.3">
      <c r="A17" s="19"/>
      <c r="B17" s="19"/>
      <c r="C17" s="19"/>
      <c r="CE17" s="1"/>
      <c r="CF17" s="1"/>
      <c r="CG17" s="1"/>
      <c r="CH17" s="1"/>
      <c r="CI17" s="1"/>
    </row>
    <row r="18" spans="1:87" ht="15.6" x14ac:dyDescent="0.3">
      <c r="A18" s="77" t="s">
        <v>31</v>
      </c>
      <c r="B18" s="19"/>
      <c r="C18" s="19"/>
      <c r="CE18" s="1"/>
      <c r="CF18" s="1"/>
      <c r="CG18" s="1"/>
      <c r="CH18" s="1"/>
      <c r="CI18" s="1"/>
    </row>
    <row r="19" spans="1:87" x14ac:dyDescent="0.3">
      <c r="A19" s="13" t="s">
        <v>15</v>
      </c>
      <c r="B19" s="12" t="s">
        <v>49</v>
      </c>
      <c r="C19" s="20">
        <v>0.17</v>
      </c>
    </row>
    <row r="20" spans="1:87" x14ac:dyDescent="0.3">
      <c r="A20" s="15" t="s">
        <v>7</v>
      </c>
      <c r="B20" s="12" t="s">
        <v>26</v>
      </c>
      <c r="C20" s="20">
        <v>0.2</v>
      </c>
    </row>
    <row r="21" spans="1:87" x14ac:dyDescent="0.3">
      <c r="A21" s="15" t="s">
        <v>30</v>
      </c>
      <c r="B21" s="12" t="s">
        <v>27</v>
      </c>
      <c r="C21" s="20">
        <v>0.3</v>
      </c>
    </row>
    <row r="22" spans="1:87" x14ac:dyDescent="0.3">
      <c r="A22" s="17" t="s">
        <v>55</v>
      </c>
      <c r="B22" s="12" t="s">
        <v>73</v>
      </c>
      <c r="C22" s="22">
        <v>0.125</v>
      </c>
    </row>
    <row r="23" spans="1:87" x14ac:dyDescent="0.3">
      <c r="A23" s="19"/>
      <c r="B23" s="19"/>
      <c r="C23" s="19"/>
    </row>
    <row r="24" spans="1:87" ht="15.6" x14ac:dyDescent="0.3">
      <c r="A24" s="77" t="s">
        <v>8</v>
      </c>
      <c r="B24" s="19"/>
      <c r="C24" s="19"/>
    </row>
    <row r="25" spans="1:87" x14ac:dyDescent="0.3">
      <c r="A25" s="13" t="s">
        <v>3</v>
      </c>
      <c r="B25" s="12" t="s">
        <v>28</v>
      </c>
      <c r="C25" s="16">
        <v>100</v>
      </c>
    </row>
    <row r="26" spans="1:87" x14ac:dyDescent="0.3">
      <c r="A26" s="15" t="s">
        <v>4</v>
      </c>
      <c r="B26" s="12" t="s">
        <v>29</v>
      </c>
      <c r="C26" s="16">
        <v>500</v>
      </c>
    </row>
    <row r="27" spans="1:87" x14ac:dyDescent="0.3">
      <c r="A27" s="17" t="s">
        <v>66</v>
      </c>
      <c r="B27" s="12" t="s">
        <v>74</v>
      </c>
      <c r="C27" s="20">
        <v>0.2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87" x14ac:dyDescent="0.3">
      <c r="A28" s="19"/>
      <c r="B28" s="2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87" x14ac:dyDescent="0.3">
      <c r="A29" s="19"/>
      <c r="B29" s="23"/>
      <c r="C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87" x14ac:dyDescent="0.3">
      <c r="A30" s="19"/>
      <c r="B30" s="23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87" x14ac:dyDescent="0.3">
      <c r="A31" s="19"/>
      <c r="B31" s="23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87" x14ac:dyDescent="0.3">
      <c r="A32" s="19"/>
      <c r="B32" s="2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87" x14ac:dyDescent="0.3">
      <c r="A33" s="19"/>
      <c r="B33" s="23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87" x14ac:dyDescent="0.3">
      <c r="A34" s="19"/>
      <c r="C34" s="10">
        <v>0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</row>
    <row r="35" spans="1:87" s="6" customFormat="1" x14ac:dyDescent="0.3">
      <c r="A35" s="24"/>
      <c r="B35" s="25" t="s">
        <v>75</v>
      </c>
      <c r="C35" s="26">
        <v>0</v>
      </c>
      <c r="D35" s="26">
        <v>0</v>
      </c>
      <c r="E35" s="26">
        <v>0</v>
      </c>
      <c r="F35" s="26">
        <v>0</v>
      </c>
      <c r="G35" s="26">
        <v>2.4982879923231002E-2</v>
      </c>
      <c r="H35" s="26">
        <v>4.8803983239302804E-3</v>
      </c>
      <c r="I35" s="26">
        <v>5.5710663546813203E-3</v>
      </c>
      <c r="J35" s="26">
        <v>6.2014518040146302E-3</v>
      </c>
      <c r="K35" s="26">
        <v>6.7715546719302197E-3</v>
      </c>
      <c r="L35" s="26">
        <v>7.2813749584280897E-3</v>
      </c>
      <c r="M35" s="26">
        <v>7.7309126635082296E-3</v>
      </c>
      <c r="N35" s="26">
        <v>8.1201677871706492E-3</v>
      </c>
      <c r="O35" s="26">
        <v>8.4491403294153396E-3</v>
      </c>
      <c r="P35" s="26">
        <v>8.7178302902423104E-3</v>
      </c>
      <c r="Q35" s="26">
        <v>8.9262376696515495E-3</v>
      </c>
      <c r="R35" s="26">
        <v>9.0743624676430795E-3</v>
      </c>
      <c r="S35" s="26">
        <v>9.1622046842168708E-3</v>
      </c>
      <c r="T35" s="26">
        <v>9.1897643193729495E-3</v>
      </c>
      <c r="U35" s="26">
        <v>9.1570413731112896E-3</v>
      </c>
      <c r="V35" s="26">
        <v>9.0640358454319205E-3</v>
      </c>
      <c r="W35" s="26">
        <v>8.9107477363348196E-3</v>
      </c>
      <c r="X35" s="26">
        <v>8.6971770458199905E-3</v>
      </c>
      <c r="Y35" s="26">
        <v>8.4233237738874402E-3</v>
      </c>
      <c r="Z35" s="26">
        <v>8.0891879205371702E-3</v>
      </c>
      <c r="AA35" s="26">
        <v>7.6947694857691798E-3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87" s="6" customFormat="1" x14ac:dyDescent="0.3">
      <c r="A36" s="24"/>
      <c r="B36" s="25" t="s">
        <v>78</v>
      </c>
      <c r="C36" s="26">
        <v>0</v>
      </c>
      <c r="D36" s="26">
        <v>7.5868618784402903E-2</v>
      </c>
      <c r="E36" s="26">
        <v>8.8055109453583899E-2</v>
      </c>
      <c r="F36" s="26">
        <v>9.7826998807379703E-2</v>
      </c>
      <c r="G36" s="26">
        <v>8.4008029992233502E-2</v>
      </c>
      <c r="H36" s="26">
        <v>9.0208247418297999E-2</v>
      </c>
      <c r="I36" s="26">
        <v>9.6038934272266396E-2</v>
      </c>
      <c r="J36" s="26">
        <v>0.101500090554138</v>
      </c>
      <c r="K36" s="26">
        <v>0.106591716263914</v>
      </c>
      <c r="L36" s="26">
        <v>0.11131381140159501</v>
      </c>
      <c r="M36" s="26">
        <v>0.11566637596717901</v>
      </c>
      <c r="N36" s="26">
        <v>0.119649409960667</v>
      </c>
      <c r="O36" s="26">
        <v>0.123262913382059</v>
      </c>
      <c r="P36" s="26">
        <v>0.126506886231354</v>
      </c>
      <c r="Q36" s="26">
        <v>0.12938132850855399</v>
      </c>
      <c r="R36" s="26">
        <v>0.131886240213658</v>
      </c>
      <c r="S36" s="26">
        <v>0.13402162134666501</v>
      </c>
      <c r="T36" s="26">
        <v>0.13578747190757701</v>
      </c>
      <c r="U36" s="26">
        <v>0.13718379189639199</v>
      </c>
      <c r="V36" s="26">
        <v>0.13821058131311201</v>
      </c>
      <c r="W36" s="26">
        <v>0.13886784015773501</v>
      </c>
      <c r="X36" s="26">
        <v>0.139155568430262</v>
      </c>
      <c r="Y36" s="26">
        <v>0.139073766130693</v>
      </c>
      <c r="Z36" s="26">
        <v>0.13862243325902801</v>
      </c>
      <c r="AA36" s="26">
        <v>0.13862243325902801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</row>
    <row r="37" spans="1:87" s="6" customFormat="1" x14ac:dyDescent="0.3">
      <c r="A37" s="24"/>
      <c r="B37" s="25" t="s">
        <v>76</v>
      </c>
      <c r="C37" s="26">
        <v>0</v>
      </c>
      <c r="D37" s="26">
        <v>3.5389410827823299E-2</v>
      </c>
      <c r="E37" s="26">
        <v>2.28304079654096E-2</v>
      </c>
      <c r="F37" s="26">
        <v>2.3083539506010799E-2</v>
      </c>
      <c r="G37" s="26">
        <v>2.3386009030250801E-2</v>
      </c>
      <c r="H37" s="26">
        <v>2.3737816538129699E-2</v>
      </c>
      <c r="I37" s="26">
        <v>2.4138962029647298E-2</v>
      </c>
      <c r="J37" s="26">
        <v>2.4589445504803801E-2</v>
      </c>
      <c r="K37" s="26">
        <v>2.5089266963599199E-2</v>
      </c>
      <c r="L37" s="26">
        <v>2.56384264060333E-2</v>
      </c>
      <c r="M37" s="26">
        <v>2.6236923832106299E-2</v>
      </c>
      <c r="N37" s="26">
        <v>2.6884759241818101E-2</v>
      </c>
      <c r="O37" s="26">
        <v>2.7581932635168699E-2</v>
      </c>
      <c r="P37" s="26">
        <v>2.8328444012158199E-2</v>
      </c>
      <c r="Q37" s="26">
        <v>2.9124293372786401E-2</v>
      </c>
      <c r="R37" s="26">
        <v>2.99694807170535E-2</v>
      </c>
      <c r="S37" s="26">
        <v>3.0864006044959501E-2</v>
      </c>
      <c r="T37" s="26">
        <v>3.1807869356504197E-2</v>
      </c>
      <c r="U37" s="26">
        <v>3.2801070651687803E-2</v>
      </c>
      <c r="V37" s="26">
        <v>3.38436099305102E-2</v>
      </c>
      <c r="W37" s="26">
        <v>3.4935487192971501E-2</v>
      </c>
      <c r="X37" s="26">
        <v>3.6076702439071497E-2</v>
      </c>
      <c r="Y37" s="26">
        <v>3.7267255668810402E-2</v>
      </c>
      <c r="Z37" s="26">
        <v>3.8507146882188099E-2</v>
      </c>
      <c r="AA37" s="26">
        <v>3.9796376079204603E-2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1:87" x14ac:dyDescent="0.3">
      <c r="A38" s="19"/>
      <c r="B38" s="23"/>
      <c r="C38" s="80"/>
      <c r="D38" s="80"/>
      <c r="E38" s="80"/>
      <c r="F38" s="80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spans="1:87" x14ac:dyDescent="0.3">
      <c r="A39" s="19"/>
      <c r="B39" s="23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 spans="1:87" x14ac:dyDescent="0.3">
      <c r="B40" s="23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 spans="1:87" x14ac:dyDescent="0.3">
      <c r="B41" s="19"/>
      <c r="C41" s="23" t="s">
        <v>77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87" s="3" customFormat="1" ht="15.6" x14ac:dyDescent="0.3">
      <c r="A42" s="77" t="s">
        <v>24</v>
      </c>
      <c r="B42" s="27"/>
      <c r="C42" s="10">
        <v>0</v>
      </c>
      <c r="D42" s="10">
        <v>1</v>
      </c>
      <c r="E42" s="10">
        <v>2</v>
      </c>
      <c r="F42" s="10">
        <v>3</v>
      </c>
      <c r="G42" s="10">
        <v>4</v>
      </c>
      <c r="H42" s="10">
        <v>5</v>
      </c>
      <c r="I42" s="10">
        <v>6</v>
      </c>
      <c r="J42" s="10">
        <v>7</v>
      </c>
      <c r="K42" s="10">
        <v>8</v>
      </c>
      <c r="L42" s="10">
        <v>9</v>
      </c>
      <c r="M42" s="10">
        <v>10</v>
      </c>
      <c r="N42" s="10">
        <v>11</v>
      </c>
      <c r="O42" s="10">
        <v>12</v>
      </c>
      <c r="P42" s="10">
        <v>13</v>
      </c>
      <c r="Q42" s="10">
        <v>14</v>
      </c>
      <c r="R42" s="10">
        <v>15</v>
      </c>
      <c r="S42" s="10">
        <v>16</v>
      </c>
      <c r="T42" s="10">
        <v>17</v>
      </c>
      <c r="U42" s="10">
        <v>18</v>
      </c>
      <c r="V42" s="10">
        <v>19</v>
      </c>
      <c r="W42" s="10">
        <v>20</v>
      </c>
      <c r="X42" s="10">
        <v>21</v>
      </c>
      <c r="Y42" s="10">
        <v>22</v>
      </c>
      <c r="Z42" s="10">
        <v>23</v>
      </c>
      <c r="AA42" s="10">
        <v>24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 spans="1:87" s="3" customFormat="1" x14ac:dyDescent="0.3">
      <c r="A43" s="29" t="s">
        <v>36</v>
      </c>
      <c r="B43" s="27" t="s">
        <v>37</v>
      </c>
      <c r="C43" s="30">
        <f>1-accnt_wro-accnt_clo</f>
        <v>1</v>
      </c>
      <c r="D43" s="31">
        <f>1-accnt_wro-accnt_clo</f>
        <v>0.96461058917217668</v>
      </c>
      <c r="E43" s="31">
        <f t="shared" ref="E43:AA43" si="0">1-accnt_wro-accnt_clo</f>
        <v>0.94258813589362178</v>
      </c>
      <c r="F43" s="31">
        <f t="shared" si="0"/>
        <v>0.92082986542082435</v>
      </c>
      <c r="G43" s="31">
        <f t="shared" si="0"/>
        <v>0.87629034791523486</v>
      </c>
      <c r="H43" s="31">
        <f t="shared" si="0"/>
        <v>0.85121248245704739</v>
      </c>
      <c r="I43" s="31">
        <f t="shared" si="0"/>
        <v>0.82592293544215367</v>
      </c>
      <c r="J43" s="31">
        <f t="shared" si="0"/>
        <v>0.80049202715195644</v>
      </c>
      <c r="K43" s="31">
        <f t="shared" si="0"/>
        <v>0.7749876934542046</v>
      </c>
      <c r="L43" s="31">
        <f t="shared" si="0"/>
        <v>0.74947525252579006</v>
      </c>
      <c r="M43" s="31">
        <f t="shared" si="0"/>
        <v>0.72401719969048461</v>
      </c>
      <c r="N43" s="31">
        <f t="shared" si="0"/>
        <v>0.69867303044758644</v>
      </c>
      <c r="O43" s="31">
        <f t="shared" si="0"/>
        <v>0.67349909150914244</v>
      </c>
      <c r="P43" s="31">
        <f t="shared" si="0"/>
        <v>0.64854845942267725</v>
      </c>
      <c r="Q43" s="31">
        <f t="shared" si="0"/>
        <v>0.62387084613488941</v>
      </c>
      <c r="R43" s="31">
        <f t="shared" si="0"/>
        <v>0.59951253065089471</v>
      </c>
      <c r="S43" s="31">
        <f t="shared" si="0"/>
        <v>0.5755163157642802</v>
      </c>
      <c r="T43" s="31">
        <f t="shared" si="0"/>
        <v>0.5519215086760858</v>
      </c>
      <c r="U43" s="31">
        <f t="shared" si="0"/>
        <v>0.52876392418615836</v>
      </c>
      <c r="V43" s="31">
        <f t="shared" si="0"/>
        <v>0.50607590902808175</v>
      </c>
      <c r="W43" s="31">
        <f t="shared" si="0"/>
        <v>0.48388638582877413</v>
      </c>
      <c r="X43" s="31">
        <f t="shared" si="0"/>
        <v>0.46222091510529689</v>
      </c>
      <c r="Y43" s="31">
        <f t="shared" si="0"/>
        <v>0.44110177366360181</v>
      </c>
      <c r="Z43" s="31">
        <f t="shared" si="0"/>
        <v>0.42054804773589666</v>
      </c>
      <c r="AA43" s="31">
        <f t="shared" si="0"/>
        <v>0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 spans="1:87" s="3" customFormat="1" x14ac:dyDescent="0.3">
      <c r="A44" s="32" t="s">
        <v>9</v>
      </c>
      <c r="B44" s="33" t="s">
        <v>32</v>
      </c>
      <c r="C44" s="30">
        <v>1</v>
      </c>
      <c r="D44" s="26">
        <f>accnt_act-accnt_dlq</f>
        <v>0.89142691610687452</v>
      </c>
      <c r="E44" s="26">
        <f t="shared" ref="E44:AA44" si="1">accnt_act-accnt_dlq</f>
        <v>0.85958843441785926</v>
      </c>
      <c r="F44" s="26">
        <f t="shared" si="1"/>
        <v>0.8307478432745018</v>
      </c>
      <c r="G44" s="26">
        <f t="shared" si="1"/>
        <v>0.80267492208566704</v>
      </c>
      <c r="H44" s="26">
        <f t="shared" si="1"/>
        <v>0.77442609623401837</v>
      </c>
      <c r="I44" s="26">
        <f t="shared" si="1"/>
        <v>0.7466021769312674</v>
      </c>
      <c r="J44" s="26">
        <f t="shared" si="1"/>
        <v>0.71924201390816733</v>
      </c>
      <c r="K44" s="26">
        <f t="shared" si="1"/>
        <v>0.6923804251255089</v>
      </c>
      <c r="L44" s="26">
        <f t="shared" si="1"/>
        <v>0.6660483056159715</v>
      </c>
      <c r="M44" s="26">
        <f t="shared" si="1"/>
        <v>0.64027275406438089</v>
      </c>
      <c r="N44" s="26">
        <f t="shared" si="1"/>
        <v>0.61507721459910158</v>
      </c>
      <c r="O44" s="26">
        <f t="shared" si="1"/>
        <v>0.59048163132955556</v>
      </c>
      <c r="P44" s="26">
        <f t="shared" si="1"/>
        <v>0.56650261325097273</v>
      </c>
      <c r="Q44" s="26">
        <f t="shared" si="1"/>
        <v>0.5431536072442017</v>
      </c>
      <c r="R44" s="26">
        <f t="shared" si="1"/>
        <v>0.52044507702237286</v>
      </c>
      <c r="S44" s="26">
        <f t="shared" si="1"/>
        <v>0.49838468601409214</v>
      </c>
      <c r="T44" s="26">
        <f t="shared" si="1"/>
        <v>0.4769774823215443</v>
      </c>
      <c r="U44" s="26">
        <f t="shared" si="1"/>
        <v>0.4562260840482848</v>
      </c>
      <c r="V44" s="26">
        <f t="shared" si="1"/>
        <v>0.43613086345274898</v>
      </c>
      <c r="W44" s="26">
        <f t="shared" si="1"/>
        <v>0.41669012854699983</v>
      </c>
      <c r="X44" s="26">
        <f t="shared" si="1"/>
        <v>0.3979003009234634</v>
      </c>
      <c r="Y44" s="26">
        <f t="shared" si="1"/>
        <v>0.37975608875327616</v>
      </c>
      <c r="Z44" s="26">
        <f t="shared" si="1"/>
        <v>0.36225065405641277</v>
      </c>
      <c r="AA44" s="26">
        <f t="shared" si="1"/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 spans="1:87" s="3" customFormat="1" ht="14.25" customHeight="1" x14ac:dyDescent="0.3">
      <c r="A45" s="32" t="s">
        <v>10</v>
      </c>
      <c r="B45" s="33" t="s">
        <v>33</v>
      </c>
      <c r="C45" s="30">
        <v>0</v>
      </c>
      <c r="D45" s="26">
        <f>accnt_act*DLNQ_Ratio</f>
        <v>7.3183673065302157E-2</v>
      </c>
      <c r="E45" s="26">
        <f t="shared" ref="E45:AA45" si="2">accnt_act*DLNQ_Ratio</f>
        <v>8.299970147576248E-2</v>
      </c>
      <c r="F45" s="26">
        <f t="shared" si="2"/>
        <v>9.0082022146322591E-2</v>
      </c>
      <c r="G45" s="26">
        <f t="shared" si="2"/>
        <v>7.3615425829567774E-2</v>
      </c>
      <c r="H45" s="26">
        <f t="shared" si="2"/>
        <v>7.6786386223028982E-2</v>
      </c>
      <c r="I45" s="26">
        <f t="shared" si="2"/>
        <v>7.9320758510886324E-2</v>
      </c>
      <c r="J45" s="26">
        <f t="shared" si="2"/>
        <v>8.1250013243789068E-2</v>
      </c>
      <c r="K45" s="26">
        <f t="shared" si="2"/>
        <v>8.2607268328695735E-2</v>
      </c>
      <c r="L45" s="26">
        <f t="shared" si="2"/>
        <v>8.3426946909818583E-2</v>
      </c>
      <c r="M45" s="26">
        <f t="shared" si="2"/>
        <v>8.3744445626103711E-2</v>
      </c>
      <c r="N45" s="26">
        <f t="shared" si="2"/>
        <v>8.3595815848484856E-2</v>
      </c>
      <c r="O45" s="26">
        <f t="shared" si="2"/>
        <v>8.3017460179586847E-2</v>
      </c>
      <c r="P45" s="26">
        <f t="shared" si="2"/>
        <v>8.2045846171704545E-2</v>
      </c>
      <c r="Q45" s="26">
        <f t="shared" si="2"/>
        <v>8.0717238890687673E-2</v>
      </c>
      <c r="R45" s="26">
        <f t="shared" si="2"/>
        <v>7.9067453628521897E-2</v>
      </c>
      <c r="S45" s="26">
        <f t="shared" si="2"/>
        <v>7.7131629750188058E-2</v>
      </c>
      <c r="T45" s="26">
        <f t="shared" si="2"/>
        <v>7.4944026354541518E-2</v>
      </c>
      <c r="U45" s="26">
        <f t="shared" si="2"/>
        <v>7.2537840137873538E-2</v>
      </c>
      <c r="V45" s="26">
        <f t="shared" si="2"/>
        <v>6.9945045575332765E-2</v>
      </c>
      <c r="W45" s="26">
        <f t="shared" si="2"/>
        <v>6.7196257281774294E-2</v>
      </c>
      <c r="X45" s="26">
        <f t="shared" si="2"/>
        <v>6.4320614181833463E-2</v>
      </c>
      <c r="Y45" s="26">
        <f t="shared" si="2"/>
        <v>6.1345684910325639E-2</v>
      </c>
      <c r="Z45" s="26">
        <f t="shared" si="2"/>
        <v>5.8297393679483861E-2</v>
      </c>
      <c r="AA45" s="26">
        <f t="shared" si="2"/>
        <v>0</v>
      </c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 spans="1:87" s="3" customFormat="1" x14ac:dyDescent="0.3">
      <c r="A46" s="29" t="s">
        <v>38</v>
      </c>
      <c r="B46" s="27" t="s">
        <v>39</v>
      </c>
      <c r="C46" s="30">
        <v>0</v>
      </c>
      <c r="D46" s="26">
        <f>prev accnt_act*CLO_Rate +prev accnt_clo</f>
        <v>3.5389410827823299E-2</v>
      </c>
      <c r="E46" s="26">
        <f>prev accnt_act*CLO_Rate +prev accnt_clo</f>
        <v>5.7411864106378205E-2</v>
      </c>
      <c r="F46" s="26">
        <f>prev accnt_act*CLO_Rate +prev accnt_clo</f>
        <v>7.9170134579175697E-2</v>
      </c>
      <c r="G46" s="26">
        <f>prev accnt_act*CLO_Rate +prev accnt_clo</f>
        <v>0.10070467012723172</v>
      </c>
      <c r="H46" s="26">
        <f>prev accnt_act*CLO_Rate +prev accnt_clo</f>
        <v>0.12150588964017742</v>
      </c>
      <c r="I46" s="26">
        <f>prev accnt_act*CLO_Rate +prev accnt_clo</f>
        <v>0.1420532754333699</v>
      </c>
      <c r="J46" s="26">
        <f>prev accnt_act*CLO_Rate +prev accnt_clo</f>
        <v>0.16236226244559232</v>
      </c>
      <c r="K46" s="26">
        <f>prev accnt_act*CLO_Rate +prev accnt_clo</f>
        <v>0.18244602061704046</v>
      </c>
      <c r="L46" s="26">
        <f>prev accnt_act*CLO_Rate +prev accnt_clo</f>
        <v>0.20231548556124757</v>
      </c>
      <c r="M46" s="26">
        <f>prev accnt_act*CLO_Rate +prev accnt_clo</f>
        <v>0.22197941067581536</v>
      </c>
      <c r="N46" s="26">
        <f>prev accnt_act*CLO_Rate +prev accnt_clo</f>
        <v>0.24144443877642938</v>
      </c>
      <c r="O46" s="26">
        <f>prev accnt_act*CLO_Rate +prev accnt_clo</f>
        <v>0.26071519123624387</v>
      </c>
      <c r="P46" s="26">
        <f>prev accnt_act*CLO_Rate +prev accnt_clo</f>
        <v>0.2797943725423</v>
      </c>
      <c r="Q46" s="26">
        <f>prev accnt_act*CLO_Rate +prev accnt_clo</f>
        <v>0.2986828881409947</v>
      </c>
      <c r="R46" s="26">
        <f>prev accnt_act*CLO_Rate +prev accnt_clo</f>
        <v>0.31737997343416613</v>
      </c>
      <c r="S46" s="26">
        <f>prev accnt_act*CLO_Rate +prev accnt_clo</f>
        <v>0.33588333180420432</v>
      </c>
      <c r="T46" s="26">
        <f>prev accnt_act*CLO_Rate +prev accnt_clo</f>
        <v>0.35418927958857116</v>
      </c>
      <c r="U46" s="26">
        <f>prev accnt_act*CLO_Rate +prev accnt_clo</f>
        <v>0.37229289598884158</v>
      </c>
      <c r="V46" s="26">
        <f>prev accnt_act*CLO_Rate +prev accnt_clo</f>
        <v>0.39018817598432376</v>
      </c>
      <c r="W46" s="26">
        <f>prev accnt_act*CLO_Rate +prev accnt_clo</f>
        <v>0.40786818442284573</v>
      </c>
      <c r="X46" s="26">
        <f>prev accnt_act*CLO_Rate +prev accnt_clo</f>
        <v>0.42532520957870817</v>
      </c>
      <c r="Y46" s="26">
        <f>prev accnt_act*CLO_Rate +prev accnt_clo</f>
        <v>0.44255091459740881</v>
      </c>
      <c r="Z46" s="26">
        <f>prev accnt_act*CLO_Rate +prev accnt_clo</f>
        <v>0.45953648538586683</v>
      </c>
      <c r="AA46" s="26">
        <f>1-accnt_wro</f>
        <v>0.87684851283674559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 spans="1:87" s="3" customFormat="1" x14ac:dyDescent="0.3">
      <c r="A47" s="29" t="s">
        <v>90</v>
      </c>
      <c r="B47" s="34" t="s">
        <v>91</v>
      </c>
      <c r="C47" s="35">
        <v>0</v>
      </c>
      <c r="D47" s="36">
        <f>prev accnt_act*DEF_Rate+prev accnt_DEF</f>
        <v>0</v>
      </c>
      <c r="E47" s="36">
        <f>prev accnt_act*DEF_Rate+prev accnt_DEF</f>
        <v>0</v>
      </c>
      <c r="F47" s="36">
        <f>prev accnt_act*DEF_Rate+prev accnt_DEF</f>
        <v>0</v>
      </c>
      <c r="G47" s="36">
        <f>prev accnt_act*DEF_Rate+prev accnt_DEF</f>
        <v>2.3004981957533418E-2</v>
      </c>
      <c r="H47" s="36">
        <f>prev accnt_act*DEF_Rate+prev accnt_DEF</f>
        <v>2.7281627902775211E-2</v>
      </c>
      <c r="I47" s="36">
        <f>prev accnt_act*DEF_Rate+prev accnt_DEF</f>
        <v>3.2023789124476433E-2</v>
      </c>
      <c r="J47" s="36">
        <f>prev accnt_act*DEF_Rate+prev accnt_DEF</f>
        <v>3.7145710402451237E-2</v>
      </c>
      <c r="K47" s="36">
        <f>prev accnt_act*DEF_Rate+prev accnt_DEF</f>
        <v>4.2566285928754957E-2</v>
      </c>
      <c r="L47" s="36">
        <f>prev accnt_act*DEF_Rate+prev accnt_DEF</f>
        <v>4.8209261912962348E-2</v>
      </c>
      <c r="M47" s="36">
        <f>prev accnt_act*DEF_Rate+prev accnt_DEF</f>
        <v>5.4003389633700008E-2</v>
      </c>
      <c r="N47" s="36">
        <f>prev accnt_act*DEF_Rate+prev accnt_DEF</f>
        <v>5.9882530775984183E-2</v>
      </c>
      <c r="O47" s="36">
        <f>prev accnt_act*DEF_Rate+prev accnt_DEF</f>
        <v>6.5785717254613713E-2</v>
      </c>
      <c r="P47" s="36">
        <f>prev accnt_act*DEF_Rate+prev accnt_DEF</f>
        <v>7.1657168035022797E-2</v>
      </c>
      <c r="Q47" s="36">
        <f>prev accnt_act*DEF_Rate+prev accnt_DEF</f>
        <v>7.7446265724115976E-2</v>
      </c>
      <c r="R47" s="36">
        <f>prev accnt_act*DEF_Rate+prev accnt_DEF</f>
        <v>8.3107495914939142E-2</v>
      </c>
      <c r="S47" s="36">
        <f>prev accnt_act*DEF_Rate+prev accnt_DEF</f>
        <v>8.8600352431515483E-2</v>
      </c>
      <c r="T47" s="36">
        <f>prev accnt_act*DEF_Rate+prev accnt_DEF</f>
        <v>9.3889211735343037E-2</v>
      </c>
      <c r="U47" s="36">
        <f>prev accnt_act*DEF_Rate+prev accnt_DEF</f>
        <v>9.8943179824999949E-2</v>
      </c>
      <c r="V47" s="36">
        <f>prev accnt_act*DEF_Rate+prev accnt_DEF</f>
        <v>0.10373591498759453</v>
      </c>
      <c r="W47" s="36">
        <f>prev accnt_act*DEF_Rate+prev accnt_DEF</f>
        <v>0.1082454297483801</v>
      </c>
      <c r="X47" s="36">
        <f>prev accnt_act*DEF_Rate+prev accnt_DEF</f>
        <v>0.11245387531599491</v>
      </c>
      <c r="Y47" s="36">
        <f>prev accnt_act*DEF_Rate+prev accnt_DEF</f>
        <v>0.11634731173898936</v>
      </c>
      <c r="Z47" s="36">
        <f>prev accnt_act*DEF_Rate+prev accnt_DEF</f>
        <v>0.1199154668782365</v>
      </c>
      <c r="AA47" s="36">
        <f>prev accnt_act*DEF_Rate+prev accnt_DEF</f>
        <v>0.12315148716325447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</row>
    <row r="48" spans="1:87" s="3" customFormat="1" ht="15.75" customHeight="1" x14ac:dyDescent="0.3">
      <c r="A48" s="28"/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40"/>
      <c r="M48" s="40"/>
      <c r="N48" s="41"/>
      <c r="O48" s="41"/>
      <c r="P48" s="41"/>
      <c r="Q48" s="41"/>
      <c r="R48" s="42"/>
      <c r="S48" s="38"/>
      <c r="T48" s="38"/>
      <c r="U48" s="38"/>
      <c r="V48" s="38"/>
      <c r="W48" s="38"/>
      <c r="X48" s="38"/>
      <c r="Y48" s="38"/>
      <c r="Z48" s="38"/>
      <c r="AA48" s="3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</row>
    <row r="49" spans="1:87" s="3" customFormat="1" x14ac:dyDescent="0.3">
      <c r="A49" s="29" t="s">
        <v>103</v>
      </c>
      <c r="B49" s="27" t="s">
        <v>104</v>
      </c>
      <c r="C49" s="31">
        <v>0</v>
      </c>
      <c r="D49" s="43">
        <f>accnt_DEF-prev accnt_DEF</f>
        <v>0</v>
      </c>
      <c r="E49" s="43">
        <f>accnt_DEF-prev accnt_DEF</f>
        <v>0</v>
      </c>
      <c r="F49" s="43">
        <f>accnt_DEF-prev accnt_DEF</f>
        <v>0</v>
      </c>
      <c r="G49" s="43">
        <f>accnt_DEF-prev accnt_DEF</f>
        <v>2.3004981957533418E-2</v>
      </c>
      <c r="H49" s="43">
        <f>accnt_DEF-prev accnt_DEF</f>
        <v>4.2766459452417936E-3</v>
      </c>
      <c r="I49" s="43">
        <f>accnt_DEF-prev accnt_DEF</f>
        <v>4.7421612217012216E-3</v>
      </c>
      <c r="J49" s="43">
        <f>accnt_DEF-prev accnt_DEF</f>
        <v>5.1219212779748044E-3</v>
      </c>
      <c r="K49" s="43">
        <f>accnt_DEF-prev accnt_DEF</f>
        <v>5.4205755263037197E-3</v>
      </c>
      <c r="L49" s="43">
        <f>accnt_DEF-prev accnt_DEF</f>
        <v>5.6429759842073907E-3</v>
      </c>
      <c r="M49" s="43">
        <f>accnt_DEF-prev accnt_DEF</f>
        <v>5.7941277207376601E-3</v>
      </c>
      <c r="N49" s="43">
        <f>accnt_DEF-prev accnt_DEF</f>
        <v>5.8791411422841749E-3</v>
      </c>
      <c r="O49" s="43">
        <f>accnt_DEF-prev accnt_DEF</f>
        <v>5.9031864786295296E-3</v>
      </c>
      <c r="P49" s="43">
        <f>accnt_DEF-prev accnt_DEF</f>
        <v>5.8714507804090849E-3</v>
      </c>
      <c r="Q49" s="43">
        <f>accnt_DEF-prev accnt_DEF</f>
        <v>5.7890976890931783E-3</v>
      </c>
      <c r="R49" s="43">
        <f>accnt_DEF-prev accnt_DEF</f>
        <v>5.661230190823166E-3</v>
      </c>
      <c r="S49" s="43">
        <f>accnt_DEF-prev accnt_DEF</f>
        <v>5.4928565165763416E-3</v>
      </c>
      <c r="T49" s="43">
        <f>accnt_DEF-prev accnt_DEF</f>
        <v>5.2888593038275533E-3</v>
      </c>
      <c r="U49" s="43">
        <f>accnt_DEF-prev accnt_DEF</f>
        <v>5.0539680896569128E-3</v>
      </c>
      <c r="V49" s="43">
        <f>accnt_DEF-prev accnt_DEF</f>
        <v>4.792735162594583E-3</v>
      </c>
      <c r="W49" s="43">
        <f>accnt_DEF-prev accnt_DEF</f>
        <v>4.5095147607855657E-3</v>
      </c>
      <c r="X49" s="43">
        <f>accnt_DEF-prev accnt_DEF</f>
        <v>4.2084455676148075E-3</v>
      </c>
      <c r="Y49" s="43">
        <f>accnt_DEF-prev accnt_DEF</f>
        <v>3.893436422994459E-3</v>
      </c>
      <c r="Z49" s="43">
        <f>accnt_DEF-prev accnt_DEF</f>
        <v>3.5681551392471311E-3</v>
      </c>
      <c r="AA49" s="43">
        <f>accnt_DEF-prev accnt_DEF</f>
        <v>3.2360202850179737E-3</v>
      </c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</row>
    <row r="50" spans="1:87" x14ac:dyDescent="0.3">
      <c r="A50" s="29"/>
      <c r="B50" s="27"/>
      <c r="C50" s="44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87" ht="15.6" x14ac:dyDescent="0.3">
      <c r="A51" s="77" t="s">
        <v>79</v>
      </c>
      <c r="B51" s="27"/>
      <c r="C51" s="45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87" x14ac:dyDescent="0.3">
      <c r="A52" s="47" t="s">
        <v>35</v>
      </c>
      <c r="B52" s="27" t="s">
        <v>82</v>
      </c>
      <c r="C52" s="48">
        <f>initial_amount</f>
        <v>500000</v>
      </c>
      <c r="D52" s="49">
        <f>prev PB_model+int_model-regular_payment</f>
        <v>483564.45137337502</v>
      </c>
      <c r="E52" s="49">
        <f>prev PB_model+int_model-regular_payment</f>
        <v>466800.19177421753</v>
      </c>
      <c r="F52" s="49">
        <f>prev PB_model+int_model-regular_payment</f>
        <v>449700.64698307693</v>
      </c>
      <c r="G52" s="49">
        <f>prev PB_model+int_model-regular_payment</f>
        <v>432259.11129611358</v>
      </c>
      <c r="H52" s="49">
        <f>prev PB_model+int_model-regular_payment</f>
        <v>414468.74489541096</v>
      </c>
      <c r="I52" s="49">
        <f>prev PB_model+int_model-regular_payment</f>
        <v>396322.57116669428</v>
      </c>
      <c r="J52" s="49">
        <f>prev PB_model+int_model-regular_payment</f>
        <v>377813.47396340326</v>
      </c>
      <c r="K52" s="49">
        <f>prev PB_model+int_model-regular_payment</f>
        <v>358934.19481604639</v>
      </c>
      <c r="L52" s="49">
        <f>prev PB_model+int_model-regular_payment</f>
        <v>339677.3300857424</v>
      </c>
      <c r="M52" s="49">
        <f>prev PB_model+int_model-regular_payment</f>
        <v>320035.32806083234</v>
      </c>
      <c r="N52" s="49">
        <f>prev PB_model+int_model-regular_payment</f>
        <v>300000.48599542398</v>
      </c>
      <c r="O52" s="49">
        <f>prev PB_model+int_model-regular_payment</f>
        <v>279564.94708870747</v>
      </c>
      <c r="P52" s="49">
        <f>prev PB_model+int_model-regular_payment</f>
        <v>258720.6974038567</v>
      </c>
      <c r="Q52" s="49">
        <f>prev PB_model+int_model-regular_payment</f>
        <v>237459.5627253089</v>
      </c>
      <c r="R52" s="49">
        <f>prev PB_model+int_model-regular_payment</f>
        <v>215773.20535319013</v>
      </c>
      <c r="S52" s="49">
        <f>prev PB_model+int_model-regular_payment</f>
        <v>193653.12083362899</v>
      </c>
      <c r="T52" s="49">
        <f>prev PB_model+int_model-regular_payment</f>
        <v>171090.63462367663</v>
      </c>
      <c r="U52" s="49">
        <f>prev PB_model+int_model-regular_payment</f>
        <v>148076.8986895252</v>
      </c>
      <c r="V52" s="49">
        <f>prev PB_model+int_model-regular_payment</f>
        <v>124602.88803669077</v>
      </c>
      <c r="W52" s="49">
        <f>prev PB_model+int_model-regular_payment</f>
        <v>100659.39717079964</v>
      </c>
      <c r="X52" s="49">
        <f>prev PB_model+int_model-regular_payment</f>
        <v>76237.036487590682</v>
      </c>
      <c r="Y52" s="49">
        <f>prev PB_model+int_model-regular_payment</f>
        <v>51326.228590717539</v>
      </c>
      <c r="Z52" s="49">
        <f>prev PB_model+int_model-regular_payment</f>
        <v>25917.204535906938</v>
      </c>
      <c r="AA52" s="49">
        <f>prev PB_model+int_model-regular_payment</f>
        <v>1.2732925824820995E-10</v>
      </c>
    </row>
    <row r="53" spans="1:87" x14ac:dyDescent="0.3">
      <c r="A53" s="47" t="s">
        <v>80</v>
      </c>
      <c r="B53" s="50" t="s">
        <v>81</v>
      </c>
      <c r="C53" s="51">
        <f>PB*accnt_cur</f>
        <v>500000</v>
      </c>
      <c r="D53" s="51">
        <f>prev PB_model*interest_rate/12</f>
        <v>10000</v>
      </c>
      <c r="E53" s="51">
        <f>prev PB_model*interest_rate/12</f>
        <v>9671.2890274674992</v>
      </c>
      <c r="F53" s="51">
        <f>prev PB_model*interest_rate/12</f>
        <v>9336.0038354843509</v>
      </c>
      <c r="G53" s="51">
        <f>prev PB_model*interest_rate/12</f>
        <v>8994.0129396615393</v>
      </c>
      <c r="H53" s="51">
        <f>prev PB_model*interest_rate/12</f>
        <v>8645.1822259222718</v>
      </c>
      <c r="I53" s="51">
        <f>prev PB_model*interest_rate/12</f>
        <v>8289.3748979082193</v>
      </c>
      <c r="J53" s="51">
        <f>prev PB_model*interest_rate/12</f>
        <v>7926.451423333885</v>
      </c>
      <c r="K53" s="51">
        <f>prev PB_model*interest_rate/12</f>
        <v>7556.2694792680641</v>
      </c>
      <c r="L53" s="51">
        <f>prev PB_model*interest_rate/12</f>
        <v>7178.6838963209275</v>
      </c>
      <c r="M53" s="51">
        <f>prev PB_model*interest_rate/12</f>
        <v>6793.5466017148474</v>
      </c>
      <c r="N53" s="51">
        <f>prev PB_model*interest_rate/12</f>
        <v>6400.7065612166471</v>
      </c>
      <c r="O53" s="51">
        <f>prev PB_model*interest_rate/12</f>
        <v>6000.0097199084785</v>
      </c>
      <c r="P53" s="51">
        <f>prev PB_model*interest_rate/12</f>
        <v>5591.2989417741492</v>
      </c>
      <c r="Q53" s="51">
        <f>prev PB_model*interest_rate/12</f>
        <v>5174.4139480771337</v>
      </c>
      <c r="R53" s="51">
        <f>prev PB_model*interest_rate/12</f>
        <v>4749.1912545061778</v>
      </c>
      <c r="S53" s="51">
        <f>prev PB_model*interest_rate/12</f>
        <v>4315.4641070638027</v>
      </c>
      <c r="T53" s="51">
        <f>prev PB_model*interest_rate/12</f>
        <v>3873.0624166725793</v>
      </c>
      <c r="U53" s="51">
        <f>prev PB_model*interest_rate/12</f>
        <v>3421.812692473532</v>
      </c>
      <c r="V53" s="51">
        <f>prev PB_model*interest_rate/12</f>
        <v>2961.5379737905041</v>
      </c>
      <c r="W53" s="51">
        <f>prev PB_model*interest_rate/12</f>
        <v>2492.057760733815</v>
      </c>
      <c r="X53" s="51">
        <f>prev PB_model*interest_rate/12</f>
        <v>2013.1879434159928</v>
      </c>
      <c r="Y53" s="51">
        <f>prev PB_model*interest_rate/12</f>
        <v>1524.7407297518137</v>
      </c>
      <c r="Z53" s="51">
        <f>prev PB_model*interest_rate/12</f>
        <v>1026.5245718143508</v>
      </c>
      <c r="AA53" s="51">
        <f>prev PB_model*interest_rate/12</f>
        <v>518.34409071813877</v>
      </c>
    </row>
    <row r="54" spans="1:87" x14ac:dyDescent="0.3">
      <c r="A54" s="47"/>
      <c r="B54" s="27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87" ht="15.6" x14ac:dyDescent="0.3">
      <c r="A55" s="77" t="s">
        <v>83</v>
      </c>
      <c r="B55" s="52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87" x14ac:dyDescent="0.3">
      <c r="A56" s="47" t="s">
        <v>84</v>
      </c>
      <c r="B56" s="27" t="s">
        <v>85</v>
      </c>
      <c r="C56" s="48">
        <f t="shared" ref="C56:AA56" si="3">PB_cur+PB_dlq</f>
        <v>500000</v>
      </c>
      <c r="D56" s="48">
        <f>PB_cur+PB_dlq</f>
        <v>467654.20415933145</v>
      </c>
      <c r="E56" s="48">
        <f t="shared" si="3"/>
        <v>441391.7511414371</v>
      </c>
      <c r="F56" s="48">
        <f t="shared" si="3"/>
        <v>415638.14781365194</v>
      </c>
      <c r="G56" s="48">
        <f t="shared" si="3"/>
        <v>380068.45310391899</v>
      </c>
      <c r="H56" s="48">
        <f t="shared" si="3"/>
        <v>354167.02718877298</v>
      </c>
      <c r="I56" s="48">
        <f t="shared" si="3"/>
        <v>328771.26962421014</v>
      </c>
      <c r="J56" s="48">
        <f t="shared" si="3"/>
        <v>303940.53805118555</v>
      </c>
      <c r="K56" s="48">
        <f t="shared" si="3"/>
        <v>279729.14942070801</v>
      </c>
      <c r="L56" s="48">
        <f t="shared" si="3"/>
        <v>256186.29417480255</v>
      </c>
      <c r="M56" s="48">
        <f t="shared" si="3"/>
        <v>233355.9905951923</v>
      </c>
      <c r="N56" s="48">
        <f t="shared" si="3"/>
        <v>211277.07765402496</v>
      </c>
      <c r="O56" s="48">
        <f t="shared" si="3"/>
        <v>189983.24441948268</v>
      </c>
      <c r="P56" s="48">
        <f t="shared" si="3"/>
        <v>169503.09382523978</v>
      </c>
      <c r="Q56" s="48">
        <f t="shared" si="3"/>
        <v>149860.23840719473</v>
      </c>
      <c r="R56" s="48">
        <f t="shared" si="3"/>
        <v>131073.42544383777</v>
      </c>
      <c r="S56" s="48">
        <f t="shared" si="3"/>
        <v>113156.6888076308</v>
      </c>
      <c r="T56" s="48">
        <f t="shared" si="3"/>
        <v>96119.524742991227</v>
      </c>
      <c r="U56" s="48">
        <f t="shared" si="3"/>
        <v>79967.088730556265</v>
      </c>
      <c r="V56" s="48">
        <f t="shared" si="3"/>
        <v>64700.410575640926</v>
      </c>
      <c r="W56" s="48">
        <f t="shared" si="3"/>
        <v>50316.624869129599</v>
      </c>
      <c r="X56" s="48">
        <f t="shared" si="3"/>
        <v>36809.214009124335</v>
      </c>
      <c r="Y56" s="48">
        <f t="shared" si="3"/>
        <v>24168.261038932207</v>
      </c>
      <c r="Z56" s="48">
        <f t="shared" si="3"/>
        <v>12380.709648682356</v>
      </c>
      <c r="AA56" s="48">
        <f t="shared" si="3"/>
        <v>0</v>
      </c>
    </row>
    <row r="57" spans="1:87" x14ac:dyDescent="0.3">
      <c r="A57" s="32" t="s">
        <v>86</v>
      </c>
      <c r="B57" s="33" t="s">
        <v>44</v>
      </c>
      <c r="C57" s="48">
        <f t="shared" ref="C57:AA57" si="4">PB_model*accnt_cur</f>
        <v>500000</v>
      </c>
      <c r="D57" s="48">
        <f>PB_model*accnt_cur</f>
        <v>431062.36762668035</v>
      </c>
      <c r="E57" s="48">
        <f t="shared" si="4"/>
        <v>401256.0460331561</v>
      </c>
      <c r="F57" s="48">
        <f t="shared" si="4"/>
        <v>373587.84260033927</v>
      </c>
      <c r="G57" s="48">
        <f t="shared" si="4"/>
        <v>346963.54848042765</v>
      </c>
      <c r="H57" s="48">
        <f t="shared" si="4"/>
        <v>320975.41212036635</v>
      </c>
      <c r="I57" s="48">
        <f t="shared" si="4"/>
        <v>295895.29440005112</v>
      </c>
      <c r="J57" s="48">
        <f t="shared" si="4"/>
        <v>271739.32389507908</v>
      </c>
      <c r="K57" s="48">
        <f t="shared" si="4"/>
        <v>248519.01039881643</v>
      </c>
      <c r="L57" s="48">
        <f t="shared" si="4"/>
        <v>226241.51015976578</v>
      </c>
      <c r="M57" s="48">
        <f t="shared" si="4"/>
        <v>204909.90089540675</v>
      </c>
      <c r="N57" s="48">
        <f t="shared" si="4"/>
        <v>184523.46330444218</v>
      </c>
      <c r="O57" s="48">
        <f t="shared" si="4"/>
        <v>165077.96601950086</v>
      </c>
      <c r="P57" s="48">
        <f t="shared" si="4"/>
        <v>146565.95118139897</v>
      </c>
      <c r="Q57" s="48">
        <f t="shared" si="4"/>
        <v>128977.01806888232</v>
      </c>
      <c r="R57" s="48">
        <f t="shared" si="4"/>
        <v>112298.10247940531</v>
      </c>
      <c r="S57" s="48">
        <f t="shared" si="4"/>
        <v>96513.74982231723</v>
      </c>
      <c r="T57" s="48">
        <f t="shared" si="4"/>
        <v>81606.380151596517</v>
      </c>
      <c r="U57" s="48">
        <f t="shared" si="4"/>
        <v>67556.543627136678</v>
      </c>
      <c r="V57" s="48">
        <f t="shared" si="4"/>
        <v>54343.165148148153</v>
      </c>
      <c r="W57" s="48">
        <f t="shared" si="4"/>
        <v>41943.777146564011</v>
      </c>
      <c r="X57" s="48">
        <f t="shared" si="4"/>
        <v>30334.739759925393</v>
      </c>
      <c r="Y57" s="48">
        <f t="shared" si="4"/>
        <v>19491.447820067471</v>
      </c>
      <c r="Z57" s="48">
        <f t="shared" si="4"/>
        <v>9388.5242944461152</v>
      </c>
      <c r="AA57" s="48">
        <f t="shared" si="4"/>
        <v>0</v>
      </c>
    </row>
    <row r="58" spans="1:87" x14ac:dyDescent="0.3">
      <c r="A58" s="32" t="s">
        <v>87</v>
      </c>
      <c r="B58" s="33" t="s">
        <v>43</v>
      </c>
      <c r="C58" s="48">
        <f>0</f>
        <v>0</v>
      </c>
      <c r="D58" s="49">
        <f>prev PB_model*accnt_dlq</f>
        <v>36591.836532651076</v>
      </c>
      <c r="E58" s="49">
        <f>prev PB_model*accnt_dlq</f>
        <v>40135.705108280992</v>
      </c>
      <c r="F58" s="49">
        <f>prev PB_model*accnt_dlq</f>
        <v>42050.305213312698</v>
      </c>
      <c r="G58" s="49">
        <f>prev PB_model*accnt_dlq</f>
        <v>33104.90462349134</v>
      </c>
      <c r="H58" s="49">
        <f>prev PB_model*accnt_dlq</f>
        <v>33191.615068406645</v>
      </c>
      <c r="I58" s="49">
        <f>prev PB_model*accnt_dlq</f>
        <v>32875.975224159039</v>
      </c>
      <c r="J58" s="49">
        <f>prev PB_model*accnt_dlq</f>
        <v>32201.214156106445</v>
      </c>
      <c r="K58" s="49">
        <f>prev PB_model*accnt_dlq</f>
        <v>31210.139021891551</v>
      </c>
      <c r="L58" s="49">
        <f>prev PB_model*accnt_dlq</f>
        <v>29944.784015036785</v>
      </c>
      <c r="M58" s="49">
        <f>prev PB_model*accnt_dlq</f>
        <v>28446.089699785538</v>
      </c>
      <c r="N58" s="49">
        <f>prev PB_model*accnt_dlq</f>
        <v>26753.614349582778</v>
      </c>
      <c r="O58" s="49">
        <f>prev PB_model*accnt_dlq</f>
        <v>24905.278399981813</v>
      </c>
      <c r="P58" s="49">
        <f>prev PB_model*accnt_dlq</f>
        <v>22937.142643840813</v>
      </c>
      <c r="Q58" s="49">
        <f>prev PB_model*accnt_dlq</f>
        <v>20883.220338312418</v>
      </c>
      <c r="R58" s="49">
        <f>prev PB_model*accnt_dlq</f>
        <v>18775.322964432449</v>
      </c>
      <c r="S58" s="49">
        <f>prev PB_model*accnt_dlq</f>
        <v>16642.938985313558</v>
      </c>
      <c r="T58" s="49">
        <f>prev PB_model*accnt_dlq</f>
        <v>14513.144591394705</v>
      </c>
      <c r="U58" s="49">
        <f>prev PB_model*accnt_dlq</f>
        <v>12410.545103419587</v>
      </c>
      <c r="V58" s="49">
        <f>prev PB_model*accnt_dlq</f>
        <v>10357.245427492773</v>
      </c>
      <c r="W58" s="49">
        <f>prev PB_model*accnt_dlq</f>
        <v>8372.8477225655897</v>
      </c>
      <c r="X58" s="49">
        <f>prev PB_model*accnt_dlq</f>
        <v>6474.4742491989427</v>
      </c>
      <c r="Y58" s="49">
        <f>prev PB_model*accnt_dlq</f>
        <v>4676.8132188647369</v>
      </c>
      <c r="Z58" s="49">
        <f>prev PB_model*accnt_dlq</f>
        <v>2992.1853542362405</v>
      </c>
      <c r="AA58" s="49">
        <f>prev PB_model*accnt_dlq</f>
        <v>0</v>
      </c>
    </row>
    <row r="59" spans="1:87" x14ac:dyDescent="0.3">
      <c r="A59" s="47" t="s">
        <v>88</v>
      </c>
      <c r="B59" s="50" t="s">
        <v>89</v>
      </c>
      <c r="C59" s="51">
        <v>0</v>
      </c>
      <c r="D59" s="51">
        <v>0</v>
      </c>
      <c r="E59" s="51">
        <v>0</v>
      </c>
      <c r="F59" s="51">
        <v>0</v>
      </c>
      <c r="G59" s="51">
        <f>prev_ PB_model *accnt_b_def+ prev PB_def</f>
        <v>11502.490978766709</v>
      </c>
      <c r="H59" s="51">
        <f>prev_ PB_model *accnt_b_def+ prev PB_def</f>
        <v>13570.524928995726</v>
      </c>
      <c r="I59" s="51">
        <f>prev_ PB_model *accnt_b_def+ prev PB_def</f>
        <v>15784.166696710114</v>
      </c>
      <c r="J59" s="51">
        <f>prev_ PB_model *accnt_b_def+ prev PB_def</f>
        <v>18087.498009211773</v>
      </c>
      <c r="K59" s="51">
        <f>prev_ PB_model *accnt_b_def+ prev PB_def</f>
        <v>20430.591168925283</v>
      </c>
      <c r="L59" s="51">
        <f>prev_ PB_model *accnt_b_def+ prev PB_def</f>
        <v>22769.428342574665</v>
      </c>
      <c r="M59" s="51">
        <f>prev_ PB_model *accnt_b_def+ prev PB_def</f>
        <v>25065.771938525631</v>
      </c>
      <c r="N59" s="51">
        <f>prev_ PB_model *accnt_b_def+ prev PB_def</f>
        <v>27286.990677413185</v>
      </c>
      <c r="O59" s="51">
        <f>prev_ PB_model *accnt_b_def+ prev PB_def</f>
        <v>29405.846162969046</v>
      </c>
      <c r="P59" s="51">
        <f>prev_ PB_model *accnt_b_def+ prev PB_def</f>
        <v>31400.244887788253</v>
      </c>
      <c r="Q59" s="51">
        <f>prev_ PB_model *accnt_b_def+ prev PB_def</f>
        <v>33252.960665893392</v>
      </c>
      <c r="R59" s="51">
        <f>prev_ PB_model *accnt_b_def+ prev PB_def</f>
        <v>34951.332474472307</v>
      </c>
      <c r="S59" s="51">
        <f>prev_ PB_model *accnt_b_def+ prev PB_def</f>
        <v>36486.942615894834</v>
      </c>
      <c r="T59" s="51">
        <f>prev_ PB_model *accnt_b_def+ prev PB_def</f>
        <v>37855.279983451976</v>
      </c>
      <c r="U59" s="51">
        <f>prev_ PB_model *accnt_b_def+ prev PB_def</f>
        <v>39055.393036049572</v>
      </c>
      <c r="V59" s="51">
        <f>prev_ PB_model *accnt_b_def+ prev PB_def</f>
        <v>40089.536864491551</v>
      </c>
      <c r="W59" s="51">
        <f>prev_ PB_model *accnt_b_def+ prev PB_def</f>
        <v>40962.818471362989</v>
      </c>
      <c r="X59" s="51">
        <f>prev_ PB_model *accnt_b_def+ prev PB_def</f>
        <v>41682.844094305408</v>
      </c>
      <c r="Y59" s="51">
        <f>prev_ PB_model *accnt_b_def+ prev PB_def</f>
        <v>42259.372085067269</v>
      </c>
      <c r="Z59" s="51">
        <f>prev_ PB_model *accnt_b_def+ prev PB_def</f>
        <v>42703.97452038042</v>
      </c>
      <c r="AA59" s="51">
        <f>prev_ PB_model *accnt_b_def+ prev PB_def</f>
        <v>43029.710371502806</v>
      </c>
    </row>
    <row r="60" spans="1:87" x14ac:dyDescent="0.3">
      <c r="A60" s="47"/>
      <c r="B60" s="27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87" ht="15.6" x14ac:dyDescent="0.3">
      <c r="A61" s="77" t="s">
        <v>65</v>
      </c>
      <c r="B61" s="2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87" x14ac:dyDescent="0.3">
      <c r="A62" s="29" t="s">
        <v>111</v>
      </c>
      <c r="B62" s="27" t="s">
        <v>11</v>
      </c>
      <c r="C62" s="53">
        <f t="shared" ref="C62:H62" si="5">GB_cur+GB_dlq</f>
        <v>500000</v>
      </c>
      <c r="D62" s="53">
        <f t="shared" si="5"/>
        <v>468386.04088998446</v>
      </c>
      <c r="E62" s="53">
        <f t="shared" si="5"/>
        <v>442194.4652436027</v>
      </c>
      <c r="F62" s="53">
        <f t="shared" si="5"/>
        <v>416479.15391791821</v>
      </c>
      <c r="G62" s="53">
        <f t="shared" si="5"/>
        <v>380730.55119638884</v>
      </c>
      <c r="H62" s="53">
        <f t="shared" si="5"/>
        <v>354830.85949014116</v>
      </c>
      <c r="I62" s="53">
        <f t="shared" ref="I62:AA62" si="6">GB_cur+GB_dlq</f>
        <v>329428.78912869334</v>
      </c>
      <c r="J62" s="53">
        <f t="shared" si="6"/>
        <v>304584.56233430764</v>
      </c>
      <c r="K62" s="53">
        <f t="shared" si="6"/>
        <v>280353.35220114584</v>
      </c>
      <c r="L62" s="53">
        <f t="shared" si="6"/>
        <v>256785.18985510329</v>
      </c>
      <c r="M62" s="53">
        <f t="shared" si="6"/>
        <v>233924.91238918802</v>
      </c>
      <c r="N62" s="53">
        <f t="shared" si="6"/>
        <v>211812.1499410166</v>
      </c>
      <c r="O62" s="53">
        <f t="shared" si="6"/>
        <v>190481.3499874823</v>
      </c>
      <c r="P62" s="53">
        <f t="shared" si="6"/>
        <v>169961.83667811661</v>
      </c>
      <c r="Q62" s="53">
        <f t="shared" si="6"/>
        <v>150277.90281396097</v>
      </c>
      <c r="R62" s="53">
        <f t="shared" si="6"/>
        <v>131448.93190312642</v>
      </c>
      <c r="S62" s="53">
        <f t="shared" si="6"/>
        <v>113489.54758733706</v>
      </c>
      <c r="T62" s="53">
        <f t="shared" si="6"/>
        <v>96409.78763481912</v>
      </c>
      <c r="U62" s="53">
        <f t="shared" si="6"/>
        <v>80215.29963262465</v>
      </c>
      <c r="V62" s="53">
        <f t="shared" si="6"/>
        <v>64907.55548419078</v>
      </c>
      <c r="W62" s="53">
        <f t="shared" si="6"/>
        <v>50484.081823580913</v>
      </c>
      <c r="X62" s="53">
        <f t="shared" si="6"/>
        <v>36938.703494108311</v>
      </c>
      <c r="Y62" s="53">
        <f t="shared" si="6"/>
        <v>24261.797303309504</v>
      </c>
      <c r="Z62" s="53">
        <f t="shared" si="6"/>
        <v>12440.553355767081</v>
      </c>
      <c r="AA62" s="53">
        <f t="shared" si="6"/>
        <v>0</v>
      </c>
    </row>
    <row r="63" spans="1:87" x14ac:dyDescent="0.3">
      <c r="A63" s="32" t="s">
        <v>115</v>
      </c>
      <c r="B63" s="33" t="s">
        <v>12</v>
      </c>
      <c r="C63" s="53">
        <f t="shared" ref="C63:AA63" si="7">PB_model*accnt_cur</f>
        <v>500000</v>
      </c>
      <c r="D63" s="53">
        <f t="shared" si="7"/>
        <v>431062.36762668035</v>
      </c>
      <c r="E63" s="53">
        <f t="shared" si="7"/>
        <v>401256.0460331561</v>
      </c>
      <c r="F63" s="53">
        <f t="shared" si="7"/>
        <v>373587.84260033927</v>
      </c>
      <c r="G63" s="53">
        <f t="shared" si="7"/>
        <v>346963.54848042765</v>
      </c>
      <c r="H63" s="53">
        <f t="shared" si="7"/>
        <v>320975.41212036635</v>
      </c>
      <c r="I63" s="53">
        <f t="shared" si="7"/>
        <v>295895.29440005112</v>
      </c>
      <c r="J63" s="53">
        <f t="shared" si="7"/>
        <v>271739.32389507908</v>
      </c>
      <c r="K63" s="53">
        <f t="shared" si="7"/>
        <v>248519.01039881643</v>
      </c>
      <c r="L63" s="53">
        <f t="shared" si="7"/>
        <v>226241.51015976578</v>
      </c>
      <c r="M63" s="53">
        <f t="shared" si="7"/>
        <v>204909.90089540675</v>
      </c>
      <c r="N63" s="53">
        <f t="shared" si="7"/>
        <v>184523.46330444218</v>
      </c>
      <c r="O63" s="53">
        <f t="shared" si="7"/>
        <v>165077.96601950086</v>
      </c>
      <c r="P63" s="53">
        <f t="shared" si="7"/>
        <v>146565.95118139897</v>
      </c>
      <c r="Q63" s="53">
        <f t="shared" si="7"/>
        <v>128977.01806888232</v>
      </c>
      <c r="R63" s="53">
        <f t="shared" si="7"/>
        <v>112298.10247940531</v>
      </c>
      <c r="S63" s="53">
        <f t="shared" si="7"/>
        <v>96513.74982231723</v>
      </c>
      <c r="T63" s="53">
        <f t="shared" si="7"/>
        <v>81606.380151596517</v>
      </c>
      <c r="U63" s="53">
        <f t="shared" si="7"/>
        <v>67556.543627136678</v>
      </c>
      <c r="V63" s="53">
        <f t="shared" si="7"/>
        <v>54343.165148148153</v>
      </c>
      <c r="W63" s="53">
        <f t="shared" si="7"/>
        <v>41943.777146564011</v>
      </c>
      <c r="X63" s="53">
        <f t="shared" si="7"/>
        <v>30334.739759925393</v>
      </c>
      <c r="Y63" s="53">
        <f t="shared" si="7"/>
        <v>19491.447820067471</v>
      </c>
      <c r="Z63" s="53">
        <f t="shared" si="7"/>
        <v>9388.5242944461152</v>
      </c>
      <c r="AA63" s="53">
        <f t="shared" si="7"/>
        <v>0</v>
      </c>
    </row>
    <row r="64" spans="1:87" x14ac:dyDescent="0.3">
      <c r="A64" s="32" t="s">
        <v>13</v>
      </c>
      <c r="B64" s="33" t="s">
        <v>14</v>
      </c>
      <c r="C64" s="48">
        <f>0</f>
        <v>0</v>
      </c>
      <c r="D64" s="49">
        <f>(PB_model+regular_payment)*accnt_dlq</f>
        <v>37323.673263304103</v>
      </c>
      <c r="E64" s="49">
        <f t="shared" ref="E64:AA64" si="8">(PB_model+regular_payment)*accnt_dlq</f>
        <v>40938.419210446606</v>
      </c>
      <c r="F64" s="49">
        <f t="shared" si="8"/>
        <v>42891.311317578955</v>
      </c>
      <c r="G64" s="49">
        <f t="shared" si="8"/>
        <v>33767.002715961171</v>
      </c>
      <c r="H64" s="49">
        <f t="shared" si="8"/>
        <v>33855.447369774789</v>
      </c>
      <c r="I64" s="49">
        <f t="shared" si="8"/>
        <v>33533.494728642232</v>
      </c>
      <c r="J64" s="49">
        <f t="shared" si="8"/>
        <v>32845.238439228582</v>
      </c>
      <c r="K64" s="49">
        <f t="shared" si="8"/>
        <v>31834.341802329389</v>
      </c>
      <c r="L64" s="49">
        <f t="shared" si="8"/>
        <v>30543.679695337523</v>
      </c>
      <c r="M64" s="49">
        <f t="shared" si="8"/>
        <v>29015.011493781254</v>
      </c>
      <c r="N64" s="49">
        <f t="shared" si="8"/>
        <v>27288.686636574432</v>
      </c>
      <c r="O64" s="49">
        <f t="shared" si="8"/>
        <v>25403.383967981448</v>
      </c>
      <c r="P64" s="49">
        <f t="shared" si="8"/>
        <v>23395.885496717634</v>
      </c>
      <c r="Q64" s="49">
        <f t="shared" si="8"/>
        <v>21300.884745078671</v>
      </c>
      <c r="R64" s="49">
        <f t="shared" si="8"/>
        <v>19150.829423721098</v>
      </c>
      <c r="S64" s="49">
        <f t="shared" si="8"/>
        <v>16975.79776501983</v>
      </c>
      <c r="T64" s="49">
        <f t="shared" si="8"/>
        <v>14803.407483222598</v>
      </c>
      <c r="U64" s="49">
        <f t="shared" si="8"/>
        <v>12658.756005487978</v>
      </c>
      <c r="V64" s="49">
        <f t="shared" si="8"/>
        <v>10564.390336042628</v>
      </c>
      <c r="W64" s="49">
        <f t="shared" si="8"/>
        <v>8540.3046770169003</v>
      </c>
      <c r="X64" s="49">
        <f t="shared" si="8"/>
        <v>6603.9637341829211</v>
      </c>
      <c r="Y64" s="49">
        <f t="shared" si="8"/>
        <v>4770.3494832420311</v>
      </c>
      <c r="Z64" s="49">
        <f t="shared" si="8"/>
        <v>3052.0290613209654</v>
      </c>
      <c r="AA64" s="49">
        <f t="shared" si="8"/>
        <v>0</v>
      </c>
    </row>
    <row r="65" spans="1:87" s="4" customFormat="1" x14ac:dyDescent="0.3">
      <c r="A65" s="51" t="s">
        <v>92</v>
      </c>
      <c r="B65" s="50" t="s">
        <v>93</v>
      </c>
      <c r="C65" s="51">
        <v>0</v>
      </c>
      <c r="D65" s="51">
        <v>0</v>
      </c>
      <c r="E65" s="51">
        <v>0</v>
      </c>
      <c r="F65" s="51">
        <v>0</v>
      </c>
      <c r="G65" s="51">
        <f>(PB_model +4*regular_payment)*accnt_b_def+ prev GB_DEF</f>
        <v>12376.710333118539</v>
      </c>
      <c r="H65" s="51">
        <f>(PB_model +4*regular_payment)*accnt_b_def+ prev GB_DEF</f>
        <v>14601.468337782146</v>
      </c>
      <c r="I65" s="51">
        <f>(PB_model +4*regular_payment)*accnt_b_def+ prev GB_DEF</f>
        <v>16982.340400340079</v>
      </c>
      <c r="J65" s="51">
        <f>(PB_model +4*regular_payment)*accnt_b_def+ prev GB_DEF</f>
        <v>19459.074467761406</v>
      </c>
      <c r="K65" s="51">
        <f>(PB_model +4*regular_payment)*accnt_b_def+ prev GB_DEF</f>
        <v>21977.887931374378</v>
      </c>
      <c r="L65" s="51">
        <f>(PB_model +4*regular_payment)*accnt_b_def+ prev GB_DEF</f>
        <v>24491.379611545475</v>
      </c>
      <c r="M65" s="51">
        <f>(PB_model +4*regular_payment)*accnt_b_def+ prev GB_DEF</f>
        <v>26958.388957919859</v>
      </c>
      <c r="N65" s="51">
        <f>(PB_model +4*regular_payment)*accnt_b_def+ prev GB_DEF</f>
        <v>29343.807444039383</v>
      </c>
      <c r="O65" s="51">
        <f>(PB_model +4*regular_payment)*accnt_b_def+ prev GB_DEF</f>
        <v>31618.347352423603</v>
      </c>
      <c r="P65" s="51">
        <f>(PB_model +4*regular_payment)*accnt_b_def+ prev GB_DEF</f>
        <v>33758.273283560819</v>
      </c>
      <c r="Q65" s="51">
        <f>(PB_model +4*regular_payment)*accnt_b_def+ prev GB_DEF</f>
        <v>35745.101783244201</v>
      </c>
      <c r="R65" s="51">
        <f>(PB_model +4*regular_payment)*accnt_b_def+ prev GB_DEF</f>
        <v>37565.274471744458</v>
      </c>
      <c r="S65" s="51">
        <f>(PB_model +4*regular_payment)*accnt_b_def+ prev GB_DEF</f>
        <v>39209.809980642916</v>
      </c>
      <c r="T65" s="51">
        <f>(PB_model +4*regular_payment)*accnt_b_def+ prev GB_DEF</f>
        <v>40673.939864592954</v>
      </c>
      <c r="U65" s="51">
        <f>(PB_model +4*regular_payment)*accnt_b_def+ prev GB_DEF</f>
        <v>41956.733462151322</v>
      </c>
      <c r="V65" s="51">
        <f>(PB_model +4*regular_payment)*accnt_b_def+ prev GB_DEF</f>
        <v>43060.716438786825</v>
      </c>
      <c r="W65" s="51">
        <f>(PB_model +4*regular_payment)*accnt_b_def+ prev GB_DEF</f>
        <v>43991.487463105244</v>
      </c>
      <c r="X65" s="51">
        <f>(PB_model +4*regular_payment)*accnt_b_def+ prev GB_DEF</f>
        <v>44757.337151180276</v>
      </c>
      <c r="Y65" s="51">
        <f>(PB_model +4*regular_payment)*accnt_b_def+ prev GB_DEF</f>
        <v>45368.873070569287</v>
      </c>
      <c r="Z65" s="51">
        <f>(PB_model +4*regular_payment)*accnt_b_def+ prev GB_DEF</f>
        <v>45838.654231892637</v>
      </c>
      <c r="AA65" s="51">
        <f>(PB_model +4*regular_payment)*accnt_b_def+ prev GB_DEF</f>
        <v>46180.838118297987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</row>
    <row r="66" spans="1:87" x14ac:dyDescent="0.3">
      <c r="A66" s="29"/>
      <c r="B66" s="27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1:87" ht="15.6" x14ac:dyDescent="0.3">
      <c r="A67" s="77" t="s">
        <v>96</v>
      </c>
      <c r="B67" s="27"/>
      <c r="C67" s="53"/>
      <c r="D67" s="53"/>
      <c r="E67" s="53"/>
      <c r="F67" s="53"/>
      <c r="G67" s="53"/>
      <c r="H67" s="53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87" x14ac:dyDescent="0.3">
      <c r="A68" s="45" t="s">
        <v>94</v>
      </c>
      <c r="B68" s="27" t="s">
        <v>97</v>
      </c>
      <c r="C68" s="53">
        <f t="shared" ref="C68" si="9">interest+recovery_st</f>
        <v>0</v>
      </c>
      <c r="D68" s="53">
        <f t="shared" ref="D68:AA68" si="10">interest+recovery_st+insurance</f>
        <v>14000</v>
      </c>
      <c r="E68" s="53">
        <f t="shared" si="10"/>
        <v>11691.355103983286</v>
      </c>
      <c r="F68" s="53">
        <f t="shared" si="10"/>
        <v>11034.793778535928</v>
      </c>
      <c r="G68" s="53">
        <f t="shared" si="10"/>
        <v>12866.295761965008</v>
      </c>
      <c r="H68" s="53">
        <f t="shared" si="10"/>
        <v>9946.6629285306954</v>
      </c>
      <c r="I68" s="53">
        <f t="shared" si="10"/>
        <v>9330.3500922309104</v>
      </c>
      <c r="J68" s="53">
        <f t="shared" si="10"/>
        <v>8714.6285540895187</v>
      </c>
      <c r="K68" s="53">
        <f t="shared" si="10"/>
        <v>8102.2761440022332</v>
      </c>
      <c r="L68" s="53">
        <f t="shared" si="10"/>
        <v>7495.9270715519197</v>
      </c>
      <c r="M68" s="53">
        <f t="shared" si="10"/>
        <v>6898.0592236449411</v>
      </c>
      <c r="N68" s="53">
        <f t="shared" si="10"/>
        <v>6310.9834621037126</v>
      </c>
      <c r="O68" s="53">
        <f t="shared" si="10"/>
        <v>5736.8349230274689</v>
      </c>
      <c r="P68" s="53">
        <f t="shared" si="10"/>
        <v>5177.5662967145099</v>
      </c>
      <c r="Q68" s="53">
        <f t="shared" si="10"/>
        <v>4634.9430455676711</v>
      </c>
      <c r="R68" s="53">
        <f t="shared" si="10"/>
        <v>4110.5404978799197</v>
      </c>
      <c r="S68" s="53">
        <f t="shared" si="10"/>
        <v>3605.7427378756356</v>
      </c>
      <c r="T68" s="53">
        <f t="shared" si="10"/>
        <v>3121.7431969807776</v>
      </c>
      <c r="U68" s="53">
        <f t="shared" si="10"/>
        <v>2659.546838086454</v>
      </c>
      <c r="V68" s="53">
        <f t="shared" si="10"/>
        <v>2219.9738135910075</v>
      </c>
      <c r="W68" s="53">
        <f t="shared" si="10"/>
        <v>1803.664469254707</v>
      </c>
      <c r="X68" s="53">
        <f t="shared" si="10"/>
        <v>1411.0855593432464</v>
      </c>
      <c r="Y68" s="53">
        <f t="shared" si="10"/>
        <v>1042.5375341059107</v>
      </c>
      <c r="Z68" s="53">
        <f t="shared" si="10"/>
        <v>698.16275823797503</v>
      </c>
      <c r="AA68" s="53">
        <f t="shared" si="10"/>
        <v>377.95451849812878</v>
      </c>
    </row>
    <row r="69" spans="1:87" x14ac:dyDescent="0.3">
      <c r="A69" s="32" t="s">
        <v>34</v>
      </c>
      <c r="B69" s="33" t="s">
        <v>34</v>
      </c>
      <c r="C69" s="53">
        <f>0</f>
        <v>0</v>
      </c>
      <c r="D69" s="53">
        <f>prev PB_act*interest_rate/12</f>
        <v>10000</v>
      </c>
      <c r="E69" s="53">
        <f>prev PB_act*interest_rate/12</f>
        <v>9353.084083186628</v>
      </c>
      <c r="F69" s="53">
        <f>prev PB_act*interest_rate/12</f>
        <v>8827.8350228287418</v>
      </c>
      <c r="G69" s="53">
        <f>prev PB_act*interest_rate/12</f>
        <v>8312.7629562730381</v>
      </c>
      <c r="H69" s="53">
        <f>prev PB_act*interest_rate/12</f>
        <v>7601.3690620783791</v>
      </c>
      <c r="I69" s="53">
        <f>prev PB_act*interest_rate/12</f>
        <v>7083.3405437754591</v>
      </c>
      <c r="J69" s="53">
        <f>prev PB_act*interest_rate/12</f>
        <v>6575.4253924842023</v>
      </c>
      <c r="K69" s="53">
        <f>prev PB_act*interest_rate/12</f>
        <v>6078.8107610237103</v>
      </c>
      <c r="L69" s="53">
        <f>prev PB_act*interest_rate/12</f>
        <v>5594.5829884141604</v>
      </c>
      <c r="M69" s="53">
        <f>prev PB_act*interest_rate/12</f>
        <v>5123.7258834960512</v>
      </c>
      <c r="N69" s="53">
        <f>prev PB_act*interest_rate/12</f>
        <v>4667.1198119038463</v>
      </c>
      <c r="O69" s="53">
        <f>prev PB_act*interest_rate/12</f>
        <v>4225.5415530804994</v>
      </c>
      <c r="P69" s="53">
        <f>prev PB_act*interest_rate/12</f>
        <v>3799.6648883896537</v>
      </c>
      <c r="Q69" s="53">
        <f>prev PB_act*interest_rate/12</f>
        <v>3390.0618765047952</v>
      </c>
      <c r="R69" s="53">
        <f>prev PB_act*interest_rate/12</f>
        <v>2997.2047681438944</v>
      </c>
      <c r="S69" s="53">
        <f>prev PB_act*interest_rate/12</f>
        <v>2621.4685088767551</v>
      </c>
      <c r="T69" s="53">
        <f>prev PB_act*interest_rate/12</f>
        <v>2263.1337761526161</v>
      </c>
      <c r="U69" s="53">
        <f>prev PB_act*interest_rate/12</f>
        <v>1922.3904948598245</v>
      </c>
      <c r="V69" s="53">
        <f>prev PB_act*interest_rate/12</f>
        <v>1599.3417746111252</v>
      </c>
      <c r="W69" s="53">
        <f>prev PB_act*interest_rate/12</f>
        <v>1294.0082115128184</v>
      </c>
      <c r="X69" s="53">
        <f>prev PB_act*interest_rate/12</f>
        <v>1006.332497382592</v>
      </c>
      <c r="Y69" s="53">
        <f>prev PB_act*interest_rate/12</f>
        <v>736.18428018248676</v>
      </c>
      <c r="Z69" s="53">
        <f>prev PB_act*interest_rate/12</f>
        <v>483.36522077864407</v>
      </c>
      <c r="AA69" s="53">
        <f>prev PB_act*interest_rate/12</f>
        <v>247.61419297364708</v>
      </c>
    </row>
    <row r="70" spans="1:87" x14ac:dyDescent="0.3">
      <c r="A70" s="32" t="s">
        <v>66</v>
      </c>
      <c r="B70" s="33" t="s">
        <v>106</v>
      </c>
      <c r="C70" s="53">
        <v>0</v>
      </c>
      <c r="D70" s="53">
        <f>(GB_DEF-prev GB_DEF)*recovery</f>
        <v>0</v>
      </c>
      <c r="E70" s="53">
        <f>(GB_DEF-prev GB_DEF)*recovery</f>
        <v>0</v>
      </c>
      <c r="F70" s="53">
        <f>(GB_DEF-prev GB_DEF)*recovery</f>
        <v>0</v>
      </c>
      <c r="G70" s="53">
        <f>(GB_DEF-prev GB_DEF)*recovery</f>
        <v>2475.342066623708</v>
      </c>
      <c r="H70" s="53">
        <f>(GB_DEF-prev GB_DEF)*recovery</f>
        <v>444.95160093272136</v>
      </c>
      <c r="I70" s="53">
        <f>(GB_DEF-prev GB_DEF)*recovery</f>
        <v>476.17441251158675</v>
      </c>
      <c r="J70" s="53">
        <f>(GB_DEF-prev GB_DEF)*recovery</f>
        <v>495.34681348426534</v>
      </c>
      <c r="K70" s="53">
        <f>(GB_DEF-prev GB_DEF)*recovery</f>
        <v>503.76269272259452</v>
      </c>
      <c r="L70" s="53">
        <f>(GB_DEF-prev GB_DEF)*recovery</f>
        <v>502.69833603421944</v>
      </c>
      <c r="M70" s="53">
        <f>(GB_DEF-prev GB_DEF)*recovery</f>
        <v>493.40186927487667</v>
      </c>
      <c r="N70" s="53">
        <f>(GB_DEF-prev GB_DEF)*recovery</f>
        <v>477.08369722390489</v>
      </c>
      <c r="O70" s="53">
        <f>(GB_DEF-prev GB_DEF)*recovery</f>
        <v>454.90798167684409</v>
      </c>
      <c r="P70" s="53">
        <f>(GB_DEF-prev GB_DEF)*recovery</f>
        <v>427.98518622744308</v>
      </c>
      <c r="Q70" s="53">
        <f>(GB_DEF-prev GB_DEF)*recovery</f>
        <v>397.36569993667655</v>
      </c>
      <c r="R70" s="53">
        <f>(GB_DEF-prev GB_DEF)*recovery</f>
        <v>364.03453770005149</v>
      </c>
      <c r="S70" s="53">
        <f>(GB_DEF-prev GB_DEF)*recovery</f>
        <v>328.90710177969163</v>
      </c>
      <c r="T70" s="53">
        <f>(GB_DEF-prev GB_DEF)*recovery</f>
        <v>292.82597679000759</v>
      </c>
      <c r="U70" s="53">
        <f>(GB_DEF-prev GB_DEF)*recovery</f>
        <v>256.55871951167359</v>
      </c>
      <c r="V70" s="53">
        <f>(GB_DEF-prev GB_DEF)*recovery</f>
        <v>220.79659532710068</v>
      </c>
      <c r="W70" s="53">
        <f>(GB_DEF-prev GB_DEF)*recovery</f>
        <v>186.15420486368384</v>
      </c>
      <c r="X70" s="53">
        <f>(GB_DEF-prev GB_DEF)*recovery</f>
        <v>153.16993761500635</v>
      </c>
      <c r="Y70" s="53">
        <f>(GB_DEF-prev GB_DEF)*recovery</f>
        <v>122.30718387780217</v>
      </c>
      <c r="Z70" s="53">
        <f>(GB_DEF-prev GB_DEF)*recovery</f>
        <v>93.956232264669964</v>
      </c>
      <c r="AA70" s="53">
        <f>(GB_DEF-prev GB_DEF)*recovery</f>
        <v>68.436777281069951</v>
      </c>
    </row>
    <row r="71" spans="1:87" x14ac:dyDescent="0.3">
      <c r="A71" s="29" t="s">
        <v>122</v>
      </c>
      <c r="B71" s="27" t="s">
        <v>122</v>
      </c>
      <c r="C71" s="82">
        <v>0</v>
      </c>
      <c r="D71" s="81">
        <f>prev PB_act*0.8*0.01</f>
        <v>4000</v>
      </c>
      <c r="E71" s="81">
        <f>prev PB_act*0.5*0.01</f>
        <v>2338.2710207966575</v>
      </c>
      <c r="F71" s="81">
        <f>prev PB_act*0.5*0.01</f>
        <v>2206.9587557071854</v>
      </c>
      <c r="G71" s="81">
        <f>prev PB_act*0.5*0.01</f>
        <v>2078.19073906826</v>
      </c>
      <c r="H71" s="81">
        <f>prev PB_act*0.5*0.01</f>
        <v>1900.342265519595</v>
      </c>
      <c r="I71" s="81">
        <f>prev PB_act*0.5*0.01</f>
        <v>1770.835135943865</v>
      </c>
      <c r="J71" s="81">
        <f>prev PB_act*0.5*0.01</f>
        <v>1643.8563481210508</v>
      </c>
      <c r="K71" s="81">
        <f>prev PB_act*0.5*0.01</f>
        <v>1519.7026902559278</v>
      </c>
      <c r="L71" s="81">
        <f>prev PB_act*0.5*0.01</f>
        <v>1398.6457471035401</v>
      </c>
      <c r="M71" s="81">
        <f>prev PB_act*0.5*0.01</f>
        <v>1280.9314708740128</v>
      </c>
      <c r="N71" s="81">
        <f>prev PB_act*0.5*0.01</f>
        <v>1166.7799529759616</v>
      </c>
      <c r="O71" s="81">
        <f>prev PB_act*0.5*0.01</f>
        <v>1056.3853882701248</v>
      </c>
      <c r="P71" s="81">
        <f>prev PB_act*0.5*0.01</f>
        <v>949.91622209741342</v>
      </c>
      <c r="Q71" s="81">
        <f>prev PB_act*0.5*0.01</f>
        <v>847.51546912619892</v>
      </c>
      <c r="R71" s="81">
        <f>prev PB_act*0.5*0.01</f>
        <v>749.30119203597371</v>
      </c>
      <c r="S71" s="81">
        <f>prev PB_act*0.5*0.01</f>
        <v>655.36712721918889</v>
      </c>
      <c r="T71" s="81">
        <f>prev PB_act*0.5*0.01</f>
        <v>565.78344403815402</v>
      </c>
      <c r="U71" s="81">
        <f>prev PB_act*0.5*0.01</f>
        <v>480.59762371495617</v>
      </c>
      <c r="V71" s="81">
        <f>prev PB_act*0.5*0.01</f>
        <v>399.83544365278135</v>
      </c>
      <c r="W71" s="81">
        <f>prev PB_act*0.5*0.01</f>
        <v>323.50205287820467</v>
      </c>
      <c r="X71" s="81">
        <f>prev PB_act*0.5*0.01</f>
        <v>251.583124345648</v>
      </c>
      <c r="Y71" s="81">
        <f>prev PB_act*0.5*0.01</f>
        <v>184.04607004562169</v>
      </c>
      <c r="Z71" s="81">
        <f>prev PB_act*0.5*0.01</f>
        <v>120.84130519466103</v>
      </c>
      <c r="AA71" s="81">
        <f>prev PB_act*0.5*0.01</f>
        <v>61.903548243411777</v>
      </c>
    </row>
    <row r="72" spans="1:87" ht="15.6" x14ac:dyDescent="0.3">
      <c r="A72" s="77" t="s">
        <v>95</v>
      </c>
      <c r="B72" s="27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87" x14ac:dyDescent="0.3">
      <c r="A73" s="45" t="s">
        <v>95</v>
      </c>
      <c r="B73" s="54" t="s">
        <v>112</v>
      </c>
      <c r="C73" s="53">
        <f t="shared" ref="C73:AA73" si="11">Loan_Loss+Cost_of_Funds+Operation_cost+collect_cost</f>
        <v>0</v>
      </c>
      <c r="D73" s="53">
        <f t="shared" si="11"/>
        <v>6297.916666666667</v>
      </c>
      <c r="E73" s="53">
        <f t="shared" si="11"/>
        <v>5939.0881939819683</v>
      </c>
      <c r="F73" s="53">
        <f t="shared" si="11"/>
        <v>5617.1275564094021</v>
      </c>
      <c r="G73" s="53">
        <f t="shared" si="11"/>
        <v>17676.440509507978</v>
      </c>
      <c r="H73" s="53">
        <f t="shared" si="11"/>
        <v>7080.1697008872516</v>
      </c>
      <c r="I73" s="53">
        <f t="shared" si="11"/>
        <v>6904.9490226509824</v>
      </c>
      <c r="J73" s="53">
        <f t="shared" si="11"/>
        <v>6684.9021860729308</v>
      </c>
      <c r="K73" s="53">
        <f t="shared" si="11"/>
        <v>6417.6281041914053</v>
      </c>
      <c r="L73" s="53">
        <f t="shared" si="11"/>
        <v>6110.2177997707213</v>
      </c>
      <c r="M73" s="53">
        <f t="shared" si="11"/>
        <v>5769.5582489861945</v>
      </c>
      <c r="N73" s="53">
        <f t="shared" si="11"/>
        <v>5402.2837192529696</v>
      </c>
      <c r="O73" s="53">
        <f t="shared" si="11"/>
        <v>5014.732798568215</v>
      </c>
      <c r="P73" s="53">
        <f t="shared" si="11"/>
        <v>4612.911231170403</v>
      </c>
      <c r="Q73" s="53">
        <f t="shared" si="11"/>
        <v>4202.4605945908606</v>
      </c>
      <c r="R73" s="53">
        <f t="shared" si="11"/>
        <v>3788.632778368361</v>
      </c>
      <c r="S73" s="53">
        <f t="shared" si="11"/>
        <v>3376.2701555890576</v>
      </c>
      <c r="T73" s="53">
        <f t="shared" si="11"/>
        <v>2969.7912756278802</v>
      </c>
      <c r="U73" s="53">
        <f t="shared" si="11"/>
        <v>2573.1818504784396</v>
      </c>
      <c r="V73" s="53">
        <f t="shared" si="11"/>
        <v>2189.9907581972943</v>
      </c>
      <c r="W73" s="53">
        <f t="shared" si="11"/>
        <v>1823.3307454463063</v>
      </c>
      <c r="X73" s="53">
        <f t="shared" si="11"/>
        <v>1475.8834769506609</v>
      </c>
      <c r="Y73" s="53">
        <f t="shared" si="11"/>
        <v>1149.9085528366488</v>
      </c>
      <c r="Z73" s="53">
        <f t="shared" si="11"/>
        <v>847.2560950953108</v>
      </c>
      <c r="AA73" s="53">
        <f t="shared" si="11"/>
        <v>569.38249156083441</v>
      </c>
    </row>
    <row r="74" spans="1:87" x14ac:dyDescent="0.3">
      <c r="A74" s="32" t="s">
        <v>16</v>
      </c>
      <c r="B74" s="33" t="s">
        <v>102</v>
      </c>
      <c r="C74" s="53">
        <f>Cost_of_Funds+operational_cost+collect_cost</f>
        <v>0</v>
      </c>
      <c r="D74" s="53">
        <f>GB_DEF-prev GB_DEF</f>
        <v>0</v>
      </c>
      <c r="E74" s="53">
        <f>GB_DEF-prev GB_DEF</f>
        <v>0</v>
      </c>
      <c r="F74" s="53">
        <f>GB_DEF-prev GB_DEF</f>
        <v>0</v>
      </c>
      <c r="G74" s="53">
        <f>GB_DEF-prev GB_DEF</f>
        <v>12376.710333118539</v>
      </c>
      <c r="H74" s="53">
        <f>GB_DEF-prev GB_DEF</f>
        <v>2224.7580046636067</v>
      </c>
      <c r="I74" s="53">
        <f>GB_DEF-prev GB_DEF</f>
        <v>2380.8720625579335</v>
      </c>
      <c r="J74" s="53">
        <f>GB_DEF-prev GB_DEF</f>
        <v>2476.7340674213265</v>
      </c>
      <c r="K74" s="53">
        <f>GB_DEF-prev GB_DEF</f>
        <v>2518.8134636129726</v>
      </c>
      <c r="L74" s="53">
        <f>GB_DEF-prev GB_DEF</f>
        <v>2513.491680171097</v>
      </c>
      <c r="M74" s="53">
        <f>GB_DEF-prev GB_DEF</f>
        <v>2467.0093463743833</v>
      </c>
      <c r="N74" s="53">
        <f>GB_DEF-prev GB_DEF</f>
        <v>2385.4184861195245</v>
      </c>
      <c r="O74" s="53">
        <f>GB_DEF-prev GB_DEF</f>
        <v>2274.5399083842203</v>
      </c>
      <c r="P74" s="53">
        <f>GB_DEF-prev GB_DEF</f>
        <v>2139.9259311372152</v>
      </c>
      <c r="Q74" s="53">
        <f>GB_DEF-prev GB_DEF</f>
        <v>1986.8284996833827</v>
      </c>
      <c r="R74" s="53">
        <f>GB_DEF-prev GB_DEF</f>
        <v>1820.1726885002572</v>
      </c>
      <c r="S74" s="53">
        <f>GB_DEF-prev GB_DEF</f>
        <v>1644.5355088984579</v>
      </c>
      <c r="T74" s="53">
        <f>GB_DEF-prev GB_DEF</f>
        <v>1464.1298839500378</v>
      </c>
      <c r="U74" s="53">
        <f>GB_DEF-prev GB_DEF</f>
        <v>1282.7935975583678</v>
      </c>
      <c r="V74" s="53">
        <f>GB_DEF-prev GB_DEF</f>
        <v>1103.9829766355033</v>
      </c>
      <c r="W74" s="53">
        <f>GB_DEF-prev GB_DEF</f>
        <v>930.77102431841922</v>
      </c>
      <c r="X74" s="53">
        <f>GB_DEF-prev GB_DEF</f>
        <v>765.84968807503174</v>
      </c>
      <c r="Y74" s="53">
        <f>GB_DEF-prev GB_DEF</f>
        <v>611.53591938901081</v>
      </c>
      <c r="Z74" s="53">
        <f>GB_DEF-prev GB_DEF</f>
        <v>469.78116132334981</v>
      </c>
      <c r="AA74" s="53">
        <f>GB_DEF-prev GB_DEF</f>
        <v>342.18388640534977</v>
      </c>
    </row>
    <row r="75" spans="1:87" x14ac:dyDescent="0.3">
      <c r="A75" s="32" t="s">
        <v>15</v>
      </c>
      <c r="B75" s="33" t="s">
        <v>98</v>
      </c>
      <c r="C75" s="53">
        <f>IF(statement_no=0,0,prev AT1_req*At1_int_rate/12)</f>
        <v>0</v>
      </c>
      <c r="D75" s="53">
        <f>(1-Equity_Req)*prev GB_act*CoF/12</f>
        <v>6197.916666666667</v>
      </c>
      <c r="E75" s="53">
        <f>(1-Equity_Req)*prev GB_act*CoF/12</f>
        <v>5806.0352985320997</v>
      </c>
      <c r="F75" s="53">
        <f>(1-Equity_Req)*prev GB_act*CoF/12</f>
        <v>5481.3688920821587</v>
      </c>
      <c r="G75" s="53">
        <f>(1-Equity_Req)*prev GB_act*CoF/12</f>
        <v>5162.6061787741955</v>
      </c>
      <c r="H75" s="53">
        <f>(1-Equity_Req)*prev GB_act*CoF/12</f>
        <v>4719.4724575385708</v>
      </c>
      <c r="I75" s="53">
        <f>(1-Equity_Req)*prev GB_act*CoF/12</f>
        <v>4398.4241957632084</v>
      </c>
      <c r="J75" s="53">
        <f>(1-Equity_Req)*prev GB_act*CoF/12</f>
        <v>4083.5443652410954</v>
      </c>
      <c r="K75" s="53">
        <f>(1-Equity_Req)*prev GB_act*CoF/12</f>
        <v>3775.5794706023557</v>
      </c>
      <c r="L75" s="53">
        <f>(1-Equity_Req)*prev GB_act*CoF/12</f>
        <v>3475.2134283267042</v>
      </c>
      <c r="M75" s="53">
        <f>(1-Equity_Req)*prev GB_act*CoF/12</f>
        <v>3183.0664159122184</v>
      </c>
      <c r="N75" s="53">
        <f>(1-Equity_Req)*prev GB_act*CoF/12</f>
        <v>2899.6942264909762</v>
      </c>
      <c r="O75" s="53">
        <f>(1-Equity_Req)*prev GB_act*CoF/12</f>
        <v>2625.5881086438517</v>
      </c>
      <c r="P75" s="53">
        <f>(1-Equity_Req)*prev GB_act*CoF/12</f>
        <v>2361.1750675531662</v>
      </c>
      <c r="Q75" s="53">
        <f>(1-Equity_Req)*prev GB_act*CoF/12</f>
        <v>2106.8186004891541</v>
      </c>
      <c r="R75" s="53">
        <f>(1-Equity_Req)*prev GB_act*CoF/12</f>
        <v>1862.8198369647246</v>
      </c>
      <c r="S75" s="53">
        <f>(1-Equity_Req)*prev GB_act*CoF/12</f>
        <v>1629.4190517158379</v>
      </c>
      <c r="T75" s="53">
        <f>(1-Equity_Req)*prev GB_act*CoF/12</f>
        <v>1406.7975169680324</v>
      </c>
      <c r="U75" s="53">
        <f>(1-Equity_Req)*prev GB_act*CoF/12</f>
        <v>1195.0796592232787</v>
      </c>
      <c r="V75" s="53">
        <f>(1-Equity_Req)*prev GB_act*CoF/12</f>
        <v>994.33548502940994</v>
      </c>
      <c r="W75" s="53">
        <f>(1-Equity_Req)*prev GB_act*CoF/12</f>
        <v>804.58323985611503</v>
      </c>
      <c r="X75" s="53">
        <f>(1-Equity_Req)*prev GB_act*CoF/12</f>
        <v>625.79226427147182</v>
      </c>
      <c r="Y75" s="53">
        <f>(1-Equity_Req)*prev GB_act*CoF/12</f>
        <v>457.88601206238428</v>
      </c>
      <c r="Z75" s="53">
        <f>(1-Equity_Req)*prev GB_act*CoF/12</f>
        <v>300.74519573894077</v>
      </c>
      <c r="AA75" s="53">
        <f>(1-Equity_Req)*prev GB_act*CoF/12</f>
        <v>154.21102597252943</v>
      </c>
    </row>
    <row r="76" spans="1:87" x14ac:dyDescent="0.3">
      <c r="A76" s="32" t="s">
        <v>99</v>
      </c>
      <c r="B76" s="33" t="s">
        <v>105</v>
      </c>
      <c r="C76" s="53">
        <f>0</f>
        <v>0</v>
      </c>
      <c r="D76" s="53">
        <f>prev accnt_act*oper_cost</f>
        <v>100</v>
      </c>
      <c r="E76" s="53">
        <f>prev accnt_act*oper_cost</f>
        <v>96.46105891721767</v>
      </c>
      <c r="F76" s="53">
        <f>prev accnt_act*oper_cost</f>
        <v>94.258813589362177</v>
      </c>
      <c r="G76" s="53">
        <f>prev accnt_act*oper_cost</f>
        <v>92.082986542082438</v>
      </c>
      <c r="H76" s="53">
        <f>prev accnt_act*oper_cost</f>
        <v>87.62903479152348</v>
      </c>
      <c r="I76" s="53">
        <f>prev accnt_act*oper_cost</f>
        <v>85.121248245704734</v>
      </c>
      <c r="J76" s="53">
        <f>prev accnt_act*oper_cost</f>
        <v>82.592293544215366</v>
      </c>
      <c r="K76" s="53">
        <f>prev accnt_act*oper_cost</f>
        <v>80.049202715195648</v>
      </c>
      <c r="L76" s="53">
        <f>prev accnt_act*oper_cost</f>
        <v>77.498769345420456</v>
      </c>
      <c r="M76" s="53">
        <f>prev accnt_act*oper_cost</f>
        <v>74.947525252579013</v>
      </c>
      <c r="N76" s="53">
        <f>prev accnt_act*oper_cost</f>
        <v>72.401719969048457</v>
      </c>
      <c r="O76" s="53">
        <f>prev accnt_act*oper_cost</f>
        <v>69.867303044758643</v>
      </c>
      <c r="P76" s="53">
        <f>prev accnt_act*oper_cost</f>
        <v>67.349909150914243</v>
      </c>
      <c r="Q76" s="53">
        <f>prev accnt_act*oper_cost</f>
        <v>64.85484594226773</v>
      </c>
      <c r="R76" s="53">
        <f>prev accnt_act*oper_cost</f>
        <v>62.387084613488938</v>
      </c>
      <c r="S76" s="53">
        <f>prev accnt_act*oper_cost</f>
        <v>59.951253065089475</v>
      </c>
      <c r="T76" s="53">
        <f>prev accnt_act*oper_cost</f>
        <v>57.551631576428022</v>
      </c>
      <c r="U76" s="53">
        <f>prev accnt_act*oper_cost</f>
        <v>55.192150867608582</v>
      </c>
      <c r="V76" s="53">
        <f>prev accnt_act*oper_cost</f>
        <v>52.876392418615836</v>
      </c>
      <c r="W76" s="53">
        <f>prev accnt_act*oper_cost</f>
        <v>50.607590902808177</v>
      </c>
      <c r="X76" s="53">
        <f>prev accnt_act*oper_cost</f>
        <v>48.388638582877412</v>
      </c>
      <c r="Y76" s="53">
        <f>prev accnt_act*oper_cost</f>
        <v>46.222091510529687</v>
      </c>
      <c r="Z76" s="53">
        <f>prev accnt_act*oper_cost</f>
        <v>44.110177366360183</v>
      </c>
      <c r="AA76" s="53">
        <f>prev accnt_act*oper_cost</f>
        <v>42.054804773589666</v>
      </c>
    </row>
    <row r="77" spans="1:87" x14ac:dyDescent="0.3">
      <c r="A77" s="32" t="s">
        <v>100</v>
      </c>
      <c r="B77" s="33" t="s">
        <v>101</v>
      </c>
      <c r="C77" s="53">
        <v>0</v>
      </c>
      <c r="D77" s="53">
        <f>(prev accnt_dlq+prev accnt_b_def)*collection_cost</f>
        <v>0</v>
      </c>
      <c r="E77" s="53">
        <f>(prev accnt_dlq+prev accnt_b_def)*collection_cost</f>
        <v>36.591836532651079</v>
      </c>
      <c r="F77" s="53">
        <f>(prev accnt_dlq+prev accnt_b_def)*collection_cost</f>
        <v>41.499850737881239</v>
      </c>
      <c r="G77" s="53">
        <f>(prev accnt_dlq+prev accnt_b_def)*collection_cost</f>
        <v>45.041011073161293</v>
      </c>
      <c r="H77" s="53">
        <f>(prev accnt_dlq+prev accnt_b_def)*collection_cost</f>
        <v>48.3102038935506</v>
      </c>
      <c r="I77" s="53">
        <f>(prev accnt_dlq+prev accnt_b_def)*collection_cost</f>
        <v>40.53151608413539</v>
      </c>
      <c r="J77" s="53">
        <f>(prev accnt_dlq+prev accnt_b_def)*collection_cost</f>
        <v>42.031459866293773</v>
      </c>
      <c r="K77" s="53">
        <f>(prev accnt_dlq+prev accnt_b_def)*collection_cost</f>
        <v>43.185967260881931</v>
      </c>
      <c r="L77" s="53">
        <f>(prev accnt_dlq+prev accnt_b_def)*collection_cost</f>
        <v>44.01392192749973</v>
      </c>
      <c r="M77" s="53">
        <f>(prev accnt_dlq+prev accnt_b_def)*collection_cost</f>
        <v>44.534961447012989</v>
      </c>
      <c r="N77" s="53">
        <f>(prev accnt_dlq+prev accnt_b_def)*collection_cost</f>
        <v>44.769286673420687</v>
      </c>
      <c r="O77" s="53">
        <f>(prev accnt_dlq+prev accnt_b_def)*collection_cost</f>
        <v>44.737478495384515</v>
      </c>
      <c r="P77" s="53">
        <f>(prev accnt_dlq+prev accnt_b_def)*collection_cost</f>
        <v>44.460323329108185</v>
      </c>
      <c r="Q77" s="53">
        <f>(prev accnt_dlq+prev accnt_b_def)*collection_cost</f>
        <v>43.958648476056815</v>
      </c>
      <c r="R77" s="53">
        <f>(prev accnt_dlq+prev accnt_b_def)*collection_cost</f>
        <v>43.253168289890425</v>
      </c>
      <c r="S77" s="53">
        <f>(prev accnt_dlq+prev accnt_b_def)*collection_cost</f>
        <v>42.364341909672532</v>
      </c>
      <c r="T77" s="53">
        <f>(prev accnt_dlq+prev accnt_b_def)*collection_cost</f>
        <v>41.312243133382196</v>
      </c>
      <c r="U77" s="53">
        <f>(prev accnt_dlq+prev accnt_b_def)*collection_cost</f>
        <v>40.116442829184535</v>
      </c>
      <c r="V77" s="53">
        <f>(prev accnt_dlq+prev accnt_b_def)*collection_cost</f>
        <v>38.795904113765225</v>
      </c>
      <c r="W77" s="53">
        <f>(prev accnt_dlq+prev accnt_b_def)*collection_cost</f>
        <v>37.368890368963676</v>
      </c>
      <c r="X77" s="53">
        <f>(prev accnt_dlq+prev accnt_b_def)*collection_cost</f>
        <v>35.852886021279929</v>
      </c>
      <c r="Y77" s="53">
        <f>(prev accnt_dlq+prev accnt_b_def)*collection_cost</f>
        <v>34.264529874724133</v>
      </c>
      <c r="Z77" s="53">
        <f>(prev accnt_dlq+prev accnt_b_def)*collection_cost</f>
        <v>32.61956066666005</v>
      </c>
      <c r="AA77" s="53">
        <f>(prev accnt_dlq+prev accnt_b_def)*collection_cost</f>
        <v>30.932774409365496</v>
      </c>
    </row>
    <row r="78" spans="1:87" x14ac:dyDescent="0.3">
      <c r="A78" s="55"/>
      <c r="B78" s="56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87" ht="15.6" x14ac:dyDescent="0.3">
      <c r="A79" s="77" t="s">
        <v>47</v>
      </c>
      <c r="B79" s="27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58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87" x14ac:dyDescent="0.3">
      <c r="A80" s="59" t="s">
        <v>42</v>
      </c>
      <c r="B80" s="60" t="s">
        <v>48</v>
      </c>
      <c r="C80" s="51">
        <f>C68</f>
        <v>0</v>
      </c>
      <c r="D80" s="51">
        <f>(prev GB_act- GB_act)+(prev GB_DEF - GB_DEF)+Gross_profit</f>
        <v>45613.959110015538</v>
      </c>
      <c r="E80" s="51">
        <f>(prev GB_act- GB_act)+(prev GB_DEF - GB_DEF)+Gross_profit</f>
        <v>37882.930750365049</v>
      </c>
      <c r="F80" s="51">
        <f>(prev GB_act- GB_act)+(prev GB_DEF - GB_DEF)+Gross_profit</f>
        <v>36750.105104220405</v>
      </c>
      <c r="G80" s="51">
        <f>(prev GB_act- GB_act)+(prev GB_DEF - GB_DEF)+Gross_profit</f>
        <v>36238.188150375841</v>
      </c>
      <c r="H80" s="51">
        <f>(prev GB_act- GB_act)+(prev GB_DEF - GB_DEF)+Gross_profit</f>
        <v>33621.596630114771</v>
      </c>
      <c r="I80" s="51">
        <f>(prev GB_act- GB_act)+(prev GB_DEF - GB_DEF)+Gross_profit</f>
        <v>32351.548391120788</v>
      </c>
      <c r="J80" s="51">
        <f>(prev GB_act- GB_act)+(prev GB_DEF - GB_DEF)+Gross_profit</f>
        <v>31082.121281053893</v>
      </c>
      <c r="K80" s="51">
        <f>(prev GB_act- GB_act)+(prev GB_DEF - GB_DEF)+Gross_profit</f>
        <v>29814.672813551064</v>
      </c>
      <c r="L80" s="51">
        <f>(prev GB_act- GB_act)+(prev GB_DEF - GB_DEF)+Gross_profit</f>
        <v>28550.59773742337</v>
      </c>
      <c r="M80" s="51">
        <f>(prev GB_act- GB_act)+(prev GB_DEF - GB_DEF)+Gross_profit</f>
        <v>27291.327343185836</v>
      </c>
      <c r="N80" s="51">
        <f>(prev GB_act- GB_act)+(prev GB_DEF - GB_DEF)+Gross_profit</f>
        <v>26038.327424155603</v>
      </c>
      <c r="O80" s="51">
        <f>(prev GB_act- GB_act)+(prev GB_DEF - GB_DEF)+Gross_profit</f>
        <v>24793.094968177546</v>
      </c>
      <c r="P80" s="51">
        <f>(prev GB_act- GB_act)+(prev GB_DEF - GB_DEF)+Gross_profit</f>
        <v>23557.153674942987</v>
      </c>
      <c r="Q80" s="51">
        <f>(prev GB_act- GB_act)+(prev GB_DEF - GB_DEF)+Gross_profit</f>
        <v>22332.048410039926</v>
      </c>
      <c r="R80" s="51">
        <f>(prev GB_act- GB_act)+(prev GB_DEF - GB_DEF)+Gross_profit</f>
        <v>21119.338720214218</v>
      </c>
      <c r="S80" s="51">
        <f>(prev GB_act- GB_act)+(prev GB_DEF - GB_DEF)+Gross_profit</f>
        <v>19920.591544766536</v>
      </c>
      <c r="T80" s="51">
        <f>(prev GB_act- GB_act)+(prev GB_DEF - GB_DEF)+Gross_profit</f>
        <v>18737.373265548678</v>
      </c>
      <c r="U80" s="51">
        <f>(prev GB_act- GB_act)+(prev GB_DEF - GB_DEF)+Gross_profit</f>
        <v>17571.241242722557</v>
      </c>
      <c r="V80" s="51">
        <f>(prev GB_act- GB_act)+(prev GB_DEF - GB_DEF)+Gross_profit</f>
        <v>16423.734985389376</v>
      </c>
      <c r="W80" s="51">
        <f>(prev GB_act- GB_act)+(prev GB_DEF - GB_DEF)+Gross_profit</f>
        <v>15296.367105546155</v>
      </c>
      <c r="X80" s="51">
        <f>(prev GB_act- GB_act)+(prev GB_DEF - GB_DEF)+Gross_profit</f>
        <v>14190.614200740816</v>
      </c>
      <c r="Y80" s="51">
        <f>(prev GB_act- GB_act)+(prev GB_DEF - GB_DEF)+Gross_profit</f>
        <v>13107.907805515708</v>
      </c>
      <c r="Z80" s="51">
        <f>(prev GB_act- GB_act)+(prev GB_DEF - GB_DEF)+Gross_profit</f>
        <v>12049.625544457049</v>
      </c>
      <c r="AA80" s="51">
        <f>(prev GB_act- GB_act)+(prev GB_DEF - GB_DEF)+Gross_profit</f>
        <v>12476.32398785986</v>
      </c>
    </row>
    <row r="81" spans="1:87" x14ac:dyDescent="0.3">
      <c r="A81" s="29"/>
      <c r="B81" s="27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spans="1:87" ht="15.6" x14ac:dyDescent="0.3">
      <c r="A82" s="77" t="s">
        <v>41</v>
      </c>
      <c r="B82" s="27"/>
      <c r="C82" s="4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87" x14ac:dyDescent="0.3">
      <c r="A83" s="29" t="s">
        <v>17</v>
      </c>
      <c r="B83" s="27" t="s">
        <v>18</v>
      </c>
      <c r="C83" s="53">
        <f>Gross_profit-Loan_Loss</f>
        <v>0</v>
      </c>
      <c r="D83" s="53">
        <f t="shared" ref="D83:AA83" si="12">Gross_profit-Gross_Loss</f>
        <v>7702.083333333333</v>
      </c>
      <c r="E83" s="53">
        <f t="shared" si="12"/>
        <v>5752.2669100013172</v>
      </c>
      <c r="F83" s="53">
        <f t="shared" si="12"/>
        <v>5417.666222126526</v>
      </c>
      <c r="G83" s="53">
        <f t="shared" si="12"/>
        <v>-4810.1447475429704</v>
      </c>
      <c r="H83" s="53">
        <f t="shared" si="12"/>
        <v>2866.4932276434438</v>
      </c>
      <c r="I83" s="53">
        <f t="shared" si="12"/>
        <v>2425.4010695799279</v>
      </c>
      <c r="J83" s="53">
        <f t="shared" si="12"/>
        <v>2029.7263680165879</v>
      </c>
      <c r="K83" s="53">
        <f t="shared" si="12"/>
        <v>1684.6480398108279</v>
      </c>
      <c r="L83" s="53">
        <f t="shared" si="12"/>
        <v>1385.7092717811984</v>
      </c>
      <c r="M83" s="53">
        <f t="shared" si="12"/>
        <v>1128.5009746587466</v>
      </c>
      <c r="N83" s="53">
        <f t="shared" si="12"/>
        <v>908.69974285074295</v>
      </c>
      <c r="O83" s="53">
        <f t="shared" si="12"/>
        <v>722.1021244592539</v>
      </c>
      <c r="P83" s="53">
        <f t="shared" si="12"/>
        <v>564.65506554410695</v>
      </c>
      <c r="Q83" s="53">
        <f t="shared" si="12"/>
        <v>432.48245097681047</v>
      </c>
      <c r="R83" s="53">
        <f t="shared" si="12"/>
        <v>321.90771951155875</v>
      </c>
      <c r="S83" s="53">
        <f t="shared" si="12"/>
        <v>229.47258228657802</v>
      </c>
      <c r="T83" s="53">
        <f t="shared" si="12"/>
        <v>151.95192135289744</v>
      </c>
      <c r="U83" s="53">
        <f t="shared" si="12"/>
        <v>86.364987608014417</v>
      </c>
      <c r="V83" s="53">
        <f t="shared" si="12"/>
        <v>29.98305539371313</v>
      </c>
      <c r="W83" s="53">
        <f t="shared" si="12"/>
        <v>-19.666276191599309</v>
      </c>
      <c r="X83" s="53">
        <f t="shared" si="12"/>
        <v>-64.797917607414547</v>
      </c>
      <c r="Y83" s="53">
        <f t="shared" si="12"/>
        <v>-107.37101873073811</v>
      </c>
      <c r="Z83" s="53">
        <f t="shared" si="12"/>
        <v>-149.09333685733577</v>
      </c>
      <c r="AA83" s="53">
        <f t="shared" si="12"/>
        <v>-191.42797306270563</v>
      </c>
    </row>
    <row r="84" spans="1:87" x14ac:dyDescent="0.3">
      <c r="A84" s="29" t="s">
        <v>19</v>
      </c>
      <c r="B84" s="27" t="s">
        <v>19</v>
      </c>
      <c r="C84" s="53">
        <f t="shared" ref="C84:AA84" si="13">Net_Income_Bax*tax_rate</f>
        <v>0</v>
      </c>
      <c r="D84" s="53">
        <f>Net_Income_Bax*tax_rate</f>
        <v>1540.4166666666667</v>
      </c>
      <c r="E84" s="53">
        <f t="shared" si="13"/>
        <v>1150.4533820002634</v>
      </c>
      <c r="F84" s="53">
        <f>Net_Income_Bax*tax_rate</f>
        <v>1083.5332444253052</v>
      </c>
      <c r="G84" s="53">
        <f t="shared" si="13"/>
        <v>-962.02894950859411</v>
      </c>
      <c r="H84" s="53">
        <f t="shared" si="13"/>
        <v>573.29864552868878</v>
      </c>
      <c r="I84" s="53">
        <f>Net_Income_Bax*tax_rate</f>
        <v>485.08021391598561</v>
      </c>
      <c r="J84" s="53">
        <f t="shared" si="13"/>
        <v>405.94527360331762</v>
      </c>
      <c r="K84" s="53">
        <f t="shared" si="13"/>
        <v>336.92960796216562</v>
      </c>
      <c r="L84" s="53">
        <f t="shared" si="13"/>
        <v>277.14185435623966</v>
      </c>
      <c r="M84" s="53">
        <f t="shared" si="13"/>
        <v>225.70019493174934</v>
      </c>
      <c r="N84" s="53">
        <f t="shared" si="13"/>
        <v>181.73994857014861</v>
      </c>
      <c r="O84" s="53">
        <f t="shared" si="13"/>
        <v>144.42042489185079</v>
      </c>
      <c r="P84" s="53">
        <f t="shared" si="13"/>
        <v>112.93101310882139</v>
      </c>
      <c r="Q84" s="53">
        <f t="shared" si="13"/>
        <v>86.496490195362099</v>
      </c>
      <c r="R84" s="53">
        <f t="shared" si="13"/>
        <v>64.381543902311748</v>
      </c>
      <c r="S84" s="53">
        <f t="shared" si="13"/>
        <v>45.894516457315603</v>
      </c>
      <c r="T84" s="53">
        <f t="shared" si="13"/>
        <v>30.390384270579489</v>
      </c>
      <c r="U84" s="53">
        <f t="shared" si="13"/>
        <v>17.272997521602885</v>
      </c>
      <c r="V84" s="53">
        <f t="shared" si="13"/>
        <v>5.9966110787426263</v>
      </c>
      <c r="W84" s="53">
        <f t="shared" si="13"/>
        <v>-3.933255238319862</v>
      </c>
      <c r="X84" s="53">
        <f t="shared" si="13"/>
        <v>-12.95958352148291</v>
      </c>
      <c r="Y84" s="53">
        <f t="shared" si="13"/>
        <v>-21.474203746147623</v>
      </c>
      <c r="Z84" s="53">
        <f t="shared" si="13"/>
        <v>-29.818667371467157</v>
      </c>
      <c r="AA84" s="53">
        <f t="shared" si="13"/>
        <v>-38.285594612541125</v>
      </c>
    </row>
    <row r="85" spans="1:87" s="5" customFormat="1" x14ac:dyDescent="0.3">
      <c r="A85" s="61" t="s">
        <v>40</v>
      </c>
      <c r="B85" s="62" t="s">
        <v>20</v>
      </c>
      <c r="C85" s="63">
        <f t="shared" ref="C85:AA85" si="14">Net_Income_Bax-Tax</f>
        <v>0</v>
      </c>
      <c r="D85" s="63">
        <f t="shared" si="14"/>
        <v>6161.6666666666661</v>
      </c>
      <c r="E85" s="63">
        <f t="shared" si="14"/>
        <v>4601.8135280010538</v>
      </c>
      <c r="F85" s="63">
        <f t="shared" si="14"/>
        <v>4334.1329777012206</v>
      </c>
      <c r="G85" s="63">
        <f t="shared" si="14"/>
        <v>-3848.1157980343764</v>
      </c>
      <c r="H85" s="63">
        <f t="shared" si="14"/>
        <v>2293.1945821147551</v>
      </c>
      <c r="I85" s="63">
        <f t="shared" si="14"/>
        <v>1940.3208556639424</v>
      </c>
      <c r="J85" s="63">
        <f t="shared" si="14"/>
        <v>1623.7810944132702</v>
      </c>
      <c r="K85" s="63">
        <f t="shared" si="14"/>
        <v>1347.7184318486622</v>
      </c>
      <c r="L85" s="63">
        <f t="shared" si="14"/>
        <v>1108.5674174249586</v>
      </c>
      <c r="M85" s="63">
        <f t="shared" si="14"/>
        <v>902.80077972699723</v>
      </c>
      <c r="N85" s="63">
        <f t="shared" si="14"/>
        <v>726.95979428059434</v>
      </c>
      <c r="O85" s="63">
        <f t="shared" si="14"/>
        <v>577.68169956740314</v>
      </c>
      <c r="P85" s="63">
        <f t="shared" si="14"/>
        <v>451.72405243528556</v>
      </c>
      <c r="Q85" s="63">
        <f t="shared" si="14"/>
        <v>345.9859607814484</v>
      </c>
      <c r="R85" s="63">
        <f t="shared" si="14"/>
        <v>257.52617560924699</v>
      </c>
      <c r="S85" s="63">
        <f t="shared" si="14"/>
        <v>183.57806582926241</v>
      </c>
      <c r="T85" s="63">
        <f t="shared" si="14"/>
        <v>121.56153708231795</v>
      </c>
      <c r="U85" s="63">
        <f t="shared" si="14"/>
        <v>69.091990086411528</v>
      </c>
      <c r="V85" s="63">
        <f t="shared" si="14"/>
        <v>23.986444314970505</v>
      </c>
      <c r="W85" s="63">
        <f t="shared" si="14"/>
        <v>-15.733020953279446</v>
      </c>
      <c r="X85" s="63">
        <f t="shared" si="14"/>
        <v>-51.838334085931635</v>
      </c>
      <c r="Y85" s="63">
        <f t="shared" si="14"/>
        <v>-85.896814984590492</v>
      </c>
      <c r="Z85" s="63">
        <f t="shared" si="14"/>
        <v>-119.27466948586861</v>
      </c>
      <c r="AA85" s="63">
        <f t="shared" si="14"/>
        <v>-153.1423784501645</v>
      </c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</row>
    <row r="86" spans="1:87" x14ac:dyDescent="0.3">
      <c r="A86" s="29"/>
      <c r="B86" s="27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87" ht="15.6" x14ac:dyDescent="0.3">
      <c r="A87" s="77" t="s">
        <v>64</v>
      </c>
      <c r="B87" s="27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87" s="2" customFormat="1" x14ac:dyDescent="0.3">
      <c r="A88" s="45" t="s">
        <v>51</v>
      </c>
      <c r="B88" s="27" t="s">
        <v>52</v>
      </c>
      <c r="C88" s="53">
        <f t="shared" ref="C88:AA88" si="15">GB_act</f>
        <v>500000</v>
      </c>
      <c r="D88" s="53">
        <f t="shared" si="15"/>
        <v>468386.04088998446</v>
      </c>
      <c r="E88" s="53">
        <f t="shared" si="15"/>
        <v>442194.4652436027</v>
      </c>
      <c r="F88" s="53">
        <f t="shared" si="15"/>
        <v>416479.15391791821</v>
      </c>
      <c r="G88" s="53">
        <f t="shared" si="15"/>
        <v>380730.55119638884</v>
      </c>
      <c r="H88" s="53">
        <f t="shared" si="15"/>
        <v>354830.85949014116</v>
      </c>
      <c r="I88" s="53">
        <f t="shared" si="15"/>
        <v>329428.78912869334</v>
      </c>
      <c r="J88" s="53">
        <f t="shared" si="15"/>
        <v>304584.56233430764</v>
      </c>
      <c r="K88" s="53">
        <f t="shared" si="15"/>
        <v>280353.35220114584</v>
      </c>
      <c r="L88" s="53">
        <f t="shared" si="15"/>
        <v>256785.18985510329</v>
      </c>
      <c r="M88" s="53">
        <f t="shared" si="15"/>
        <v>233924.91238918802</v>
      </c>
      <c r="N88" s="53">
        <f t="shared" si="15"/>
        <v>211812.1499410166</v>
      </c>
      <c r="O88" s="53">
        <f t="shared" si="15"/>
        <v>190481.3499874823</v>
      </c>
      <c r="P88" s="53">
        <f t="shared" si="15"/>
        <v>169961.83667811661</v>
      </c>
      <c r="Q88" s="53">
        <f t="shared" si="15"/>
        <v>150277.90281396097</v>
      </c>
      <c r="R88" s="53">
        <f t="shared" si="15"/>
        <v>131448.93190312642</v>
      </c>
      <c r="S88" s="53">
        <f t="shared" si="15"/>
        <v>113489.54758733706</v>
      </c>
      <c r="T88" s="53">
        <f t="shared" si="15"/>
        <v>96409.78763481912</v>
      </c>
      <c r="U88" s="53">
        <f t="shared" si="15"/>
        <v>80215.29963262465</v>
      </c>
      <c r="V88" s="53">
        <f t="shared" si="15"/>
        <v>64907.55548419078</v>
      </c>
      <c r="W88" s="53">
        <f t="shared" si="15"/>
        <v>50484.081823580913</v>
      </c>
      <c r="X88" s="53">
        <f t="shared" si="15"/>
        <v>36938.703494108311</v>
      </c>
      <c r="Y88" s="53">
        <f t="shared" si="15"/>
        <v>24261.797303309504</v>
      </c>
      <c r="Z88" s="53">
        <f t="shared" si="15"/>
        <v>12440.553355767081</v>
      </c>
      <c r="AA88" s="53">
        <f t="shared" si="15"/>
        <v>0</v>
      </c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2" customFormat="1" x14ac:dyDescent="0.3">
      <c r="A89" s="45" t="s">
        <v>50</v>
      </c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2" customFormat="1" x14ac:dyDescent="0.3">
      <c r="A90" s="29" t="s">
        <v>55</v>
      </c>
      <c r="B90" s="27" t="s">
        <v>54</v>
      </c>
      <c r="C90" s="53">
        <f t="shared" ref="C90:AA90" si="16">GB_act*Equity_Req</f>
        <v>62500</v>
      </c>
      <c r="D90" s="53">
        <f t="shared" si="16"/>
        <v>58548.255111248058</v>
      </c>
      <c r="E90" s="53">
        <f t="shared" si="16"/>
        <v>55274.308155450337</v>
      </c>
      <c r="F90" s="53">
        <f t="shared" si="16"/>
        <v>52059.894239739777</v>
      </c>
      <c r="G90" s="53">
        <f t="shared" si="16"/>
        <v>47591.318899548605</v>
      </c>
      <c r="H90" s="53">
        <f t="shared" si="16"/>
        <v>44353.857436267645</v>
      </c>
      <c r="I90" s="53">
        <f t="shared" si="16"/>
        <v>41178.598641086668</v>
      </c>
      <c r="J90" s="53">
        <f t="shared" si="16"/>
        <v>38073.070291788456</v>
      </c>
      <c r="K90" s="53">
        <f t="shared" si="16"/>
        <v>35044.16902514323</v>
      </c>
      <c r="L90" s="53">
        <f t="shared" si="16"/>
        <v>32098.148731887912</v>
      </c>
      <c r="M90" s="53">
        <f t="shared" si="16"/>
        <v>29240.614048648502</v>
      </c>
      <c r="N90" s="53">
        <f t="shared" si="16"/>
        <v>26476.518742627075</v>
      </c>
      <c r="O90" s="53">
        <f t="shared" si="16"/>
        <v>23810.168748435288</v>
      </c>
      <c r="P90" s="53">
        <f t="shared" si="16"/>
        <v>21245.229584764576</v>
      </c>
      <c r="Q90" s="53">
        <f t="shared" si="16"/>
        <v>18784.737851745122</v>
      </c>
      <c r="R90" s="53">
        <f t="shared" si="16"/>
        <v>16431.116487890802</v>
      </c>
      <c r="S90" s="53">
        <f t="shared" si="16"/>
        <v>14186.193448417132</v>
      </c>
      <c r="T90" s="53">
        <f t="shared" si="16"/>
        <v>12051.22345435239</v>
      </c>
      <c r="U90" s="53">
        <f t="shared" si="16"/>
        <v>10026.912454078081</v>
      </c>
      <c r="V90" s="53">
        <f t="shared" si="16"/>
        <v>8113.4444355238475</v>
      </c>
      <c r="W90" s="53">
        <f t="shared" si="16"/>
        <v>6310.5102279476141</v>
      </c>
      <c r="X90" s="53">
        <f t="shared" si="16"/>
        <v>4617.3379367635389</v>
      </c>
      <c r="Y90" s="53">
        <f t="shared" si="16"/>
        <v>3032.724662913688</v>
      </c>
      <c r="Z90" s="53">
        <f t="shared" si="16"/>
        <v>1555.0691694708851</v>
      </c>
      <c r="AA90" s="53">
        <f t="shared" si="16"/>
        <v>0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2" customFormat="1" x14ac:dyDescent="0.3">
      <c r="A91" s="29" t="s">
        <v>61</v>
      </c>
      <c r="B91" s="27" t="s">
        <v>56</v>
      </c>
      <c r="C91" s="53">
        <f t="shared" ref="C91:AA91" si="17">GB_act*(1-Equity_Req)</f>
        <v>437500</v>
      </c>
      <c r="D91" s="53">
        <f t="shared" si="17"/>
        <v>409837.7857787364</v>
      </c>
      <c r="E91" s="53">
        <f t="shared" si="17"/>
        <v>386920.15708815237</v>
      </c>
      <c r="F91" s="53">
        <f t="shared" si="17"/>
        <v>364419.25967817847</v>
      </c>
      <c r="G91" s="53">
        <f t="shared" si="17"/>
        <v>333139.23229684023</v>
      </c>
      <c r="H91" s="53">
        <f t="shared" si="17"/>
        <v>310477.0020538735</v>
      </c>
      <c r="I91" s="53">
        <f t="shared" si="17"/>
        <v>288250.19048760668</v>
      </c>
      <c r="J91" s="53">
        <f t="shared" si="17"/>
        <v>266511.49204251921</v>
      </c>
      <c r="K91" s="53">
        <f t="shared" si="17"/>
        <v>245309.18317600261</v>
      </c>
      <c r="L91" s="53">
        <f t="shared" si="17"/>
        <v>224687.04112321537</v>
      </c>
      <c r="M91" s="53">
        <f t="shared" si="17"/>
        <v>204684.29834053951</v>
      </c>
      <c r="N91" s="53">
        <f t="shared" si="17"/>
        <v>185335.63119838951</v>
      </c>
      <c r="O91" s="53">
        <f t="shared" si="17"/>
        <v>166671.18123904703</v>
      </c>
      <c r="P91" s="53">
        <f t="shared" si="17"/>
        <v>148716.60709335204</v>
      </c>
      <c r="Q91" s="53">
        <f t="shared" si="17"/>
        <v>131493.16496221584</v>
      </c>
      <c r="R91" s="53">
        <f t="shared" si="17"/>
        <v>115017.81541523561</v>
      </c>
      <c r="S91" s="53">
        <f t="shared" si="17"/>
        <v>99303.354138919924</v>
      </c>
      <c r="T91" s="53">
        <f t="shared" si="17"/>
        <v>84358.564180466725</v>
      </c>
      <c r="U91" s="53">
        <f t="shared" si="17"/>
        <v>70188.387178546574</v>
      </c>
      <c r="V91" s="53">
        <f t="shared" si="17"/>
        <v>56794.111048666935</v>
      </c>
      <c r="W91" s="53">
        <f t="shared" si="17"/>
        <v>44173.571595633301</v>
      </c>
      <c r="X91" s="53">
        <f t="shared" si="17"/>
        <v>32321.365557344772</v>
      </c>
      <c r="Y91" s="53">
        <f t="shared" si="17"/>
        <v>21229.072640395818</v>
      </c>
      <c r="Z91" s="53">
        <f t="shared" si="17"/>
        <v>10885.484186296195</v>
      </c>
      <c r="AA91" s="53">
        <f t="shared" si="17"/>
        <v>0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2" customFormat="1" x14ac:dyDescent="0.3">
      <c r="A92" s="29"/>
      <c r="B92" s="27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>
        <f t="shared" ref="X92:AA92" si="18">assets-Eq_req-AT1_req</f>
        <v>0</v>
      </c>
      <c r="Y92" s="29">
        <f t="shared" si="18"/>
        <v>0</v>
      </c>
      <c r="Z92" s="29">
        <f t="shared" si="18"/>
        <v>0</v>
      </c>
      <c r="AA92" s="29">
        <f t="shared" si="18"/>
        <v>0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2" customFormat="1" x14ac:dyDescent="0.3">
      <c r="A93" s="45" t="s">
        <v>53</v>
      </c>
      <c r="B93" s="27" t="s">
        <v>60</v>
      </c>
      <c r="C93" s="53">
        <v>500000</v>
      </c>
      <c r="D93" s="53">
        <f>assets-prev assets</f>
        <v>-31613.959110015538</v>
      </c>
      <c r="E93" s="53">
        <f>assets-prev assets</f>
        <v>-26191.575646381767</v>
      </c>
      <c r="F93" s="53">
        <f>assets-prev assets</f>
        <v>-25715.311325684481</v>
      </c>
      <c r="G93" s="53">
        <f>assets-prev assets</f>
        <v>-35748.602721529373</v>
      </c>
      <c r="H93" s="53">
        <f>assets-prev assets</f>
        <v>-25899.691706247686</v>
      </c>
      <c r="I93" s="53">
        <f>assets-prev assets</f>
        <v>-25402.070361447812</v>
      </c>
      <c r="J93" s="53">
        <f>assets-prev assets</f>
        <v>-24844.2267943857</v>
      </c>
      <c r="K93" s="53">
        <f>assets-prev assets</f>
        <v>-24231.210133161803</v>
      </c>
      <c r="L93" s="53">
        <f>assets-prev assets</f>
        <v>-23568.162346042547</v>
      </c>
      <c r="M93" s="53">
        <f>assets-prev assets</f>
        <v>-22860.277465915278</v>
      </c>
      <c r="N93" s="53">
        <f>assets-prev assets</f>
        <v>-22112.762448171416</v>
      </c>
      <c r="O93" s="53">
        <f>assets-prev assets</f>
        <v>-21330.799953534297</v>
      </c>
      <c r="P93" s="53">
        <f>assets-prev assets</f>
        <v>-20519.513309365691</v>
      </c>
      <c r="Q93" s="53">
        <f>assets-prev assets</f>
        <v>-19683.933864155639</v>
      </c>
      <c r="R93" s="53">
        <f>assets-prev assets</f>
        <v>-18828.970910834556</v>
      </c>
      <c r="S93" s="53">
        <f>assets-prev assets</f>
        <v>-17959.384315789357</v>
      </c>
      <c r="T93" s="53">
        <f>assets-prev assets</f>
        <v>-17079.759952517939</v>
      </c>
      <c r="U93" s="53">
        <f>assets-prev assets</f>
        <v>-16194.48800219447</v>
      </c>
      <c r="V93" s="53">
        <f>assets-prev assets</f>
        <v>-15307.744148433871</v>
      </c>
      <c r="W93" s="53">
        <f>assets-prev assets</f>
        <v>-14423.473660609867</v>
      </c>
      <c r="X93" s="53">
        <f>assets-prev assets</f>
        <v>-13545.378329472602</v>
      </c>
      <c r="Y93" s="53">
        <f>assets-prev assets</f>
        <v>-12676.906190798807</v>
      </c>
      <c r="Z93" s="53">
        <f>assets-prev assets</f>
        <v>-11821.243947542423</v>
      </c>
      <c r="AA93" s="53">
        <f>assets-prev assets</f>
        <v>-12440.553355767081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s="2" customFormat="1" x14ac:dyDescent="0.3">
      <c r="A94" s="45" t="s">
        <v>57</v>
      </c>
      <c r="B94" s="27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</row>
    <row r="95" spans="1:87" s="2" customFormat="1" x14ac:dyDescent="0.3">
      <c r="A95" s="29" t="s">
        <v>58</v>
      </c>
      <c r="B95" s="27" t="s">
        <v>59</v>
      </c>
      <c r="C95" s="53">
        <f>C90</f>
        <v>62500</v>
      </c>
      <c r="D95" s="53">
        <f>Eq_req-prev Eq_req</f>
        <v>-3951.7448887519422</v>
      </c>
      <c r="E95" s="53">
        <f>Eq_req-prev Eq_req</f>
        <v>-3273.9469557977209</v>
      </c>
      <c r="F95" s="53">
        <f>Eq_req-prev Eq_req</f>
        <v>-3214.4139157105601</v>
      </c>
      <c r="G95" s="53">
        <f>Eq_req-prev Eq_req</f>
        <v>-4468.5753401911716</v>
      </c>
      <c r="H95" s="53">
        <f>Eq_req-prev Eq_req</f>
        <v>-3237.4614632809607</v>
      </c>
      <c r="I95" s="53">
        <f>Eq_req-prev Eq_req</f>
        <v>-3175.2587951809764</v>
      </c>
      <c r="J95" s="53">
        <f>Eq_req-prev Eq_req</f>
        <v>-3105.5283492982126</v>
      </c>
      <c r="K95" s="53">
        <f>Eq_req-prev Eq_req</f>
        <v>-3028.9012666452254</v>
      </c>
      <c r="L95" s="53">
        <f>Eq_req-prev Eq_req</f>
        <v>-2946.0202932553184</v>
      </c>
      <c r="M95" s="53">
        <f>Eq_req-prev Eq_req</f>
        <v>-2857.5346832394098</v>
      </c>
      <c r="N95" s="53">
        <f>Eq_req-prev Eq_req</f>
        <v>-2764.0953060214269</v>
      </c>
      <c r="O95" s="53">
        <f>Eq_req-prev Eq_req</f>
        <v>-2666.3499941917871</v>
      </c>
      <c r="P95" s="53">
        <f>Eq_req-prev Eq_req</f>
        <v>-2564.9391636707114</v>
      </c>
      <c r="Q95" s="53">
        <f>Eq_req-prev Eq_req</f>
        <v>-2460.4917330194548</v>
      </c>
      <c r="R95" s="53">
        <f>Eq_req-prev Eq_req</f>
        <v>-2353.6213638543195</v>
      </c>
      <c r="S95" s="53">
        <f>Eq_req-prev Eq_req</f>
        <v>-2244.9230394736696</v>
      </c>
      <c r="T95" s="53">
        <f>Eq_req-prev Eq_req</f>
        <v>-2134.9699940647424</v>
      </c>
      <c r="U95" s="53">
        <f>Eq_req-prev Eq_req</f>
        <v>-2024.3110002743088</v>
      </c>
      <c r="V95" s="53">
        <f>Eq_req-prev Eq_req</f>
        <v>-1913.4680185542338</v>
      </c>
      <c r="W95" s="53">
        <f>Eq_req-prev Eq_req</f>
        <v>-1802.9342075762333</v>
      </c>
      <c r="X95" s="53">
        <f>Eq_req-prev Eq_req</f>
        <v>-1693.1722911840752</v>
      </c>
      <c r="Y95" s="53">
        <f>Eq_req-prev Eq_req</f>
        <v>-1584.6132738498509</v>
      </c>
      <c r="Z95" s="53">
        <f>Eq_req-prev Eq_req</f>
        <v>-1477.6554934428029</v>
      </c>
      <c r="AA95" s="53">
        <f>Eq_req-prev Eq_req</f>
        <v>-1555.0691694708851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</row>
    <row r="96" spans="1:87" s="2" customFormat="1" x14ac:dyDescent="0.3">
      <c r="A96" s="29" t="s">
        <v>62</v>
      </c>
      <c r="B96" s="27" t="s">
        <v>63</v>
      </c>
      <c r="C96" s="53">
        <f>C91</f>
        <v>437500</v>
      </c>
      <c r="D96" s="53">
        <f>Fund_req-prev Fund_req</f>
        <v>-27662.214221263595</v>
      </c>
      <c r="E96" s="53">
        <f>Fund_req-prev Fund_req</f>
        <v>-22917.628690584039</v>
      </c>
      <c r="F96" s="53">
        <f>Fund_req-prev Fund_req</f>
        <v>-22500.897409973899</v>
      </c>
      <c r="G96" s="53">
        <f>Fund_req-prev Fund_req</f>
        <v>-31280.027381338237</v>
      </c>
      <c r="H96" s="53">
        <f>Fund_req-prev Fund_req</f>
        <v>-22662.230242966732</v>
      </c>
      <c r="I96" s="53">
        <f>Fund_req-prev Fund_req</f>
        <v>-22226.811566266813</v>
      </c>
      <c r="J96" s="53">
        <f>Fund_req-prev Fund_req</f>
        <v>-21738.698445087473</v>
      </c>
      <c r="K96" s="53">
        <f>Fund_req-prev Fund_req</f>
        <v>-21202.3088665166</v>
      </c>
      <c r="L96" s="53">
        <f>Fund_req-prev Fund_req</f>
        <v>-20622.14205278724</v>
      </c>
      <c r="M96" s="53">
        <f>Fund_req-prev Fund_req</f>
        <v>-20002.742782675865</v>
      </c>
      <c r="N96" s="53">
        <f>Fund_req-prev Fund_req</f>
        <v>-19348.667142149992</v>
      </c>
      <c r="O96" s="53">
        <f>Fund_req-prev Fund_req</f>
        <v>-18664.449959342484</v>
      </c>
      <c r="P96" s="53">
        <f>Fund_req-prev Fund_req</f>
        <v>-17954.574145694991</v>
      </c>
      <c r="Q96" s="53">
        <f>Fund_req-prev Fund_req</f>
        <v>-17223.442131136195</v>
      </c>
      <c r="R96" s="53">
        <f>Fund_req-prev Fund_req</f>
        <v>-16475.349546980229</v>
      </c>
      <c r="S96" s="53">
        <f>Fund_req-prev Fund_req</f>
        <v>-15714.461276315691</v>
      </c>
      <c r="T96" s="53">
        <f>Fund_req-prev Fund_req</f>
        <v>-14944.789958453199</v>
      </c>
      <c r="U96" s="53">
        <f>Fund_req-prev Fund_req</f>
        <v>-14170.17700192015</v>
      </c>
      <c r="V96" s="53">
        <f>Fund_req-prev Fund_req</f>
        <v>-13394.276129879639</v>
      </c>
      <c r="W96" s="53">
        <f>Fund_req-prev Fund_req</f>
        <v>-12620.539453033634</v>
      </c>
      <c r="X96" s="53">
        <f>Fund_req-prev Fund_req</f>
        <v>-11852.206038288528</v>
      </c>
      <c r="Y96" s="53">
        <f>Fund_req-prev Fund_req</f>
        <v>-11092.292916948954</v>
      </c>
      <c r="Z96" s="53">
        <f>Fund_req-prev Fund_req</f>
        <v>-10343.588454099623</v>
      </c>
      <c r="AA96" s="53">
        <f>Fund_req-prev Fund_req</f>
        <v>-10885.484186296195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</row>
    <row r="97" spans="1:87" x14ac:dyDescent="0.3">
      <c r="A97" s="29"/>
      <c r="B97" s="27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87" ht="15.6" x14ac:dyDescent="0.3">
      <c r="A98" s="77" t="s">
        <v>21</v>
      </c>
      <c r="B98" s="27"/>
      <c r="C98" s="10"/>
      <c r="E98" s="58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87" x14ac:dyDescent="0.3">
      <c r="A99" s="9" t="s">
        <v>22</v>
      </c>
      <c r="B99" s="64" t="s">
        <v>23</v>
      </c>
      <c r="C99" s="65">
        <f>1/(1+discount_rate_month)^(statement_no)</f>
        <v>1</v>
      </c>
      <c r="D99" s="65">
        <f>1/(1+discount_rate_month)^(statement_no)</f>
        <v>0.97837358933250107</v>
      </c>
      <c r="E99" s="65">
        <f t="shared" ref="E99:AA99" si="19">1/(1+discount_rate_month)^(statement_no)</f>
        <v>0.95721488030336144</v>
      </c>
      <c r="F99" s="65">
        <f t="shared" si="19"/>
        <v>0.93651375820488014</v>
      </c>
      <c r="G99" s="65">
        <f t="shared" si="19"/>
        <v>0.91626032707417848</v>
      </c>
      <c r="H99" s="65">
        <f t="shared" si="19"/>
        <v>0.89644490496253548</v>
      </c>
      <c r="I99" s="65">
        <f t="shared" si="19"/>
        <v>0.87705801930702865</v>
      </c>
      <c r="J99" s="65">
        <f t="shared" si="19"/>
        <v>0.85809040240227163</v>
      </c>
      <c r="K99" s="65">
        <f t="shared" si="19"/>
        <v>0.83953298697008061</v>
      </c>
      <c r="L99" s="65">
        <f t="shared" si="19"/>
        <v>0.8213769018249536</v>
      </c>
      <c r="M99" s="65">
        <f t="shared" si="19"/>
        <v>0.80361346763328922</v>
      </c>
      <c r="N99" s="65">
        <f t="shared" si="19"/>
        <v>0.78623419276431894</v>
      </c>
      <c r="O99" s="65">
        <f t="shared" si="19"/>
        <v>0.76923076923076805</v>
      </c>
      <c r="P99" s="65">
        <f t="shared" si="19"/>
        <v>0.75259506871730741</v>
      </c>
      <c r="Q99" s="65">
        <f t="shared" si="19"/>
        <v>0.73631913869489241</v>
      </c>
      <c r="R99" s="65">
        <f t="shared" si="19"/>
        <v>0.72039519861913748</v>
      </c>
      <c r="S99" s="65">
        <f t="shared" si="19"/>
        <v>0.70481563621090548</v>
      </c>
      <c r="T99" s="65">
        <f t="shared" si="19"/>
        <v>0.68957300381733388</v>
      </c>
      <c r="U99" s="65">
        <f t="shared" si="19"/>
        <v>0.67466001485155946</v>
      </c>
      <c r="V99" s="65">
        <f t="shared" si="19"/>
        <v>0.66006954030943865</v>
      </c>
      <c r="W99" s="65">
        <f t="shared" si="19"/>
        <v>0.64579460536159949</v>
      </c>
      <c r="X99" s="65">
        <f t="shared" si="19"/>
        <v>0.63182838601919411</v>
      </c>
      <c r="Y99" s="65">
        <f t="shared" si="19"/>
        <v>0.61816420587176002</v>
      </c>
      <c r="Z99" s="65">
        <f t="shared" si="19"/>
        <v>0.60479553289562893</v>
      </c>
      <c r="AA99" s="65">
        <f t="shared" si="19"/>
        <v>0.59171597633135908</v>
      </c>
    </row>
    <row r="100" spans="1:87" x14ac:dyDescent="0.3">
      <c r="B100" s="66">
        <f>((1+discount_rate)^(1/12)-1)</f>
        <v>2.2104450593615876E-2</v>
      </c>
      <c r="C100" s="10"/>
      <c r="D100" s="9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87" x14ac:dyDescent="0.3">
      <c r="A101" s="9" t="s">
        <v>107</v>
      </c>
      <c r="B101" s="68">
        <f>SUMPRODUCT(Cash_flow_to_Client,coeff_discount)</f>
        <v>15687.210723786211</v>
      </c>
      <c r="C101" s="69">
        <f>initial_amount-repayment</f>
        <v>500000</v>
      </c>
      <c r="D101" s="67">
        <f>-repayment</f>
        <v>-45613.959110015538</v>
      </c>
      <c r="E101" s="67">
        <f>-repayment</f>
        <v>-37882.930750365049</v>
      </c>
      <c r="F101" s="67">
        <f>-repayment</f>
        <v>-36750.105104220405</v>
      </c>
      <c r="G101" s="67">
        <f t="shared" ref="G101:AA101" si="20">-repayment</f>
        <v>-36238.188150375841</v>
      </c>
      <c r="H101" s="67">
        <f t="shared" si="20"/>
        <v>-33621.596630114771</v>
      </c>
      <c r="I101" s="67">
        <f t="shared" si="20"/>
        <v>-32351.548391120788</v>
      </c>
      <c r="J101" s="67">
        <f t="shared" si="20"/>
        <v>-31082.121281053893</v>
      </c>
      <c r="K101" s="67">
        <f t="shared" si="20"/>
        <v>-29814.672813551064</v>
      </c>
      <c r="L101" s="67">
        <f t="shared" si="20"/>
        <v>-28550.59773742337</v>
      </c>
      <c r="M101" s="67">
        <f t="shared" si="20"/>
        <v>-27291.327343185836</v>
      </c>
      <c r="N101" s="67">
        <f t="shared" si="20"/>
        <v>-26038.327424155603</v>
      </c>
      <c r="O101" s="67">
        <f t="shared" si="20"/>
        <v>-24793.094968177546</v>
      </c>
      <c r="P101" s="67">
        <f t="shared" si="20"/>
        <v>-23557.153674942987</v>
      </c>
      <c r="Q101" s="67">
        <f t="shared" si="20"/>
        <v>-22332.048410039926</v>
      </c>
      <c r="R101" s="67">
        <f t="shared" si="20"/>
        <v>-21119.338720214218</v>
      </c>
      <c r="S101" s="67">
        <f t="shared" si="20"/>
        <v>-19920.591544766536</v>
      </c>
      <c r="T101" s="67">
        <f t="shared" si="20"/>
        <v>-18737.373265548678</v>
      </c>
      <c r="U101" s="67">
        <f t="shared" si="20"/>
        <v>-17571.241242722557</v>
      </c>
      <c r="V101" s="67">
        <f t="shared" si="20"/>
        <v>-16423.734985389376</v>
      </c>
      <c r="W101" s="67">
        <f t="shared" si="20"/>
        <v>-15296.367105546155</v>
      </c>
      <c r="X101" s="67">
        <f t="shared" si="20"/>
        <v>-14190.614200740816</v>
      </c>
      <c r="Y101" s="67">
        <f t="shared" si="20"/>
        <v>-13107.907805515708</v>
      </c>
      <c r="Z101" s="67">
        <f t="shared" si="20"/>
        <v>-12049.625544457049</v>
      </c>
      <c r="AA101" s="67">
        <f t="shared" si="20"/>
        <v>-12476.32398785986</v>
      </c>
    </row>
    <row r="102" spans="1:87" x14ac:dyDescent="0.3">
      <c r="A102" s="9" t="s">
        <v>108</v>
      </c>
      <c r="B102" s="68">
        <f>SUMPRODUCT(to_bondholders,coeff_discount)</f>
        <v>-31199.343372217219</v>
      </c>
      <c r="C102" s="69">
        <f>Cost_of_Funds-Fund_req_chng</f>
        <v>-437500</v>
      </c>
      <c r="D102" s="69">
        <f t="shared" ref="D102:AA102" si="21">Cost_of_Funds-Fund_req_chng</f>
        <v>33860.13088793026</v>
      </c>
      <c r="E102" s="69">
        <f t="shared" si="21"/>
        <v>28723.663989116139</v>
      </c>
      <c r="F102" s="69">
        <f t="shared" si="21"/>
        <v>27982.266302056058</v>
      </c>
      <c r="G102" s="69">
        <f t="shared" si="21"/>
        <v>36442.63356011243</v>
      </c>
      <c r="H102" s="69">
        <f t="shared" si="21"/>
        <v>27381.702700505302</v>
      </c>
      <c r="I102" s="69">
        <f t="shared" si="21"/>
        <v>26625.235762030021</v>
      </c>
      <c r="J102" s="69">
        <f t="shared" si="21"/>
        <v>25822.242810328567</v>
      </c>
      <c r="K102" s="69">
        <f t="shared" si="21"/>
        <v>24977.888337118955</v>
      </c>
      <c r="L102" s="69">
        <f t="shared" si="21"/>
        <v>24097.355481113944</v>
      </c>
      <c r="M102" s="69">
        <f t="shared" si="21"/>
        <v>23185.809198588082</v>
      </c>
      <c r="N102" s="69">
        <f t="shared" si="21"/>
        <v>22248.36136864097</v>
      </c>
      <c r="O102" s="69">
        <f t="shared" si="21"/>
        <v>21290.038067986337</v>
      </c>
      <c r="P102" s="69">
        <f t="shared" si="21"/>
        <v>20315.749213248157</v>
      </c>
      <c r="Q102" s="69">
        <f t="shared" si="21"/>
        <v>19330.260731625349</v>
      </c>
      <c r="R102" s="69">
        <f t="shared" si="21"/>
        <v>18338.169383944954</v>
      </c>
      <c r="S102" s="69">
        <f t="shared" si="21"/>
        <v>17343.88032803153</v>
      </c>
      <c r="T102" s="69">
        <f t="shared" si="21"/>
        <v>16351.587475421231</v>
      </c>
      <c r="U102" s="69">
        <f t="shared" si="21"/>
        <v>15365.256661143429</v>
      </c>
      <c r="V102" s="69">
        <f t="shared" si="21"/>
        <v>14388.611614909049</v>
      </c>
      <c r="W102" s="69">
        <f t="shared" si="21"/>
        <v>13425.122692889749</v>
      </c>
      <c r="X102" s="69">
        <f t="shared" si="21"/>
        <v>12477.99830256</v>
      </c>
      <c r="Y102" s="69">
        <f t="shared" si="21"/>
        <v>11550.178929011339</v>
      </c>
      <c r="Z102" s="69">
        <f t="shared" si="21"/>
        <v>10644.333649838563</v>
      </c>
      <c r="AA102" s="69">
        <f t="shared" si="21"/>
        <v>11039.695212268723</v>
      </c>
    </row>
    <row r="103" spans="1:87" x14ac:dyDescent="0.3">
      <c r="A103" s="9" t="s">
        <v>109</v>
      </c>
      <c r="B103" s="68">
        <f>SUMPRODUCT(cost_tax,coeff_discount)</f>
        <v>7225.8749649312022</v>
      </c>
      <c r="C103" s="69">
        <f t="shared" ref="C103:AA103" si="22">Operation_cost+collect_cost+Tax</f>
        <v>0</v>
      </c>
      <c r="D103" s="69">
        <f t="shared" si="22"/>
        <v>1640.4166666666667</v>
      </c>
      <c r="E103" s="69">
        <f t="shared" si="22"/>
        <v>1283.5062774501321</v>
      </c>
      <c r="F103" s="69">
        <f t="shared" si="22"/>
        <v>1219.2919087525486</v>
      </c>
      <c r="G103" s="69">
        <f t="shared" si="22"/>
        <v>-824.90495189335036</v>
      </c>
      <c r="H103" s="69">
        <f t="shared" si="22"/>
        <v>709.23788421376287</v>
      </c>
      <c r="I103" s="69">
        <f t="shared" si="22"/>
        <v>610.73297824582573</v>
      </c>
      <c r="J103" s="69">
        <f t="shared" si="22"/>
        <v>530.56902701382671</v>
      </c>
      <c r="K103" s="69">
        <f t="shared" si="22"/>
        <v>460.16477793824322</v>
      </c>
      <c r="L103" s="69">
        <f t="shared" si="22"/>
        <v>398.65454562915988</v>
      </c>
      <c r="M103" s="69">
        <f t="shared" si="22"/>
        <v>345.18268163134132</v>
      </c>
      <c r="N103" s="69">
        <f t="shared" si="22"/>
        <v>298.91095521261775</v>
      </c>
      <c r="O103" s="69">
        <f t="shared" si="22"/>
        <v>259.02520643199398</v>
      </c>
      <c r="P103" s="69">
        <f t="shared" si="22"/>
        <v>224.74124558884381</v>
      </c>
      <c r="Q103" s="69">
        <f t="shared" si="22"/>
        <v>195.30998461368665</v>
      </c>
      <c r="R103" s="69">
        <f t="shared" si="22"/>
        <v>170.02179680569111</v>
      </c>
      <c r="S103" s="69">
        <f t="shared" si="22"/>
        <v>148.21011143207761</v>
      </c>
      <c r="T103" s="69">
        <f t="shared" si="22"/>
        <v>129.25425898038969</v>
      </c>
      <c r="U103" s="69">
        <f t="shared" si="22"/>
        <v>112.581591218396</v>
      </c>
      <c r="V103" s="69">
        <f t="shared" si="22"/>
        <v>97.6689076111237</v>
      </c>
      <c r="W103" s="69">
        <f t="shared" si="22"/>
        <v>84.043226033452001</v>
      </c>
      <c r="X103" s="69">
        <f t="shared" si="22"/>
        <v>71.281941082674436</v>
      </c>
      <c r="Y103" s="69">
        <f t="shared" si="22"/>
        <v>59.012417639106189</v>
      </c>
      <c r="Z103" s="69">
        <f t="shared" si="22"/>
        <v>46.911070661553069</v>
      </c>
      <c r="AA103" s="69">
        <f t="shared" si="22"/>
        <v>34.701984570414034</v>
      </c>
    </row>
    <row r="104" spans="1:87" s="7" customFormat="1" x14ac:dyDescent="0.3">
      <c r="A104" s="70" t="s">
        <v>110</v>
      </c>
      <c r="B104" s="71">
        <f>SUMPRODUCT(shareholders,coeff_discount)</f>
        <v>8286.2576834997799</v>
      </c>
      <c r="C104" s="72">
        <f t="shared" ref="C104:AA104" si="23">Net_Income_Atax-Eq_req_chng</f>
        <v>-62500</v>
      </c>
      <c r="D104" s="72">
        <f t="shared" si="23"/>
        <v>10113.411555418608</v>
      </c>
      <c r="E104" s="72">
        <f t="shared" si="23"/>
        <v>7875.7604837987747</v>
      </c>
      <c r="F104" s="72">
        <f t="shared" si="23"/>
        <v>7548.5468934117807</v>
      </c>
      <c r="G104" s="72">
        <f t="shared" si="23"/>
        <v>620.45954215679512</v>
      </c>
      <c r="H104" s="72">
        <f t="shared" si="23"/>
        <v>5530.6560453957154</v>
      </c>
      <c r="I104" s="72">
        <f t="shared" si="23"/>
        <v>5115.5796508449184</v>
      </c>
      <c r="J104" s="72">
        <f t="shared" si="23"/>
        <v>4729.3094437114833</v>
      </c>
      <c r="K104" s="72">
        <f t="shared" si="23"/>
        <v>4376.6196984938879</v>
      </c>
      <c r="L104" s="72">
        <f t="shared" si="23"/>
        <v>4054.5877106802773</v>
      </c>
      <c r="M104" s="72">
        <f t="shared" si="23"/>
        <v>3760.3354629664072</v>
      </c>
      <c r="N104" s="72">
        <f t="shared" si="23"/>
        <v>3491.0551003020214</v>
      </c>
      <c r="O104" s="72">
        <f t="shared" si="23"/>
        <v>3244.0316937591901</v>
      </c>
      <c r="P104" s="72">
        <f t="shared" si="23"/>
        <v>3016.663216105997</v>
      </c>
      <c r="Q104" s="72">
        <f t="shared" si="23"/>
        <v>2806.4776938009031</v>
      </c>
      <c r="R104" s="72">
        <f t="shared" si="23"/>
        <v>2611.1475394635663</v>
      </c>
      <c r="S104" s="72">
        <f t="shared" si="23"/>
        <v>2428.501105302932</v>
      </c>
      <c r="T104" s="72">
        <f t="shared" si="23"/>
        <v>2256.5315311470604</v>
      </c>
      <c r="U104" s="72">
        <f t="shared" si="23"/>
        <v>2093.4029903607202</v>
      </c>
      <c r="V104" s="72">
        <f t="shared" si="23"/>
        <v>1937.4544628692042</v>
      </c>
      <c r="W104" s="72">
        <f t="shared" si="23"/>
        <v>1787.2011866229539</v>
      </c>
      <c r="X104" s="72">
        <f t="shared" si="23"/>
        <v>1641.3339570981436</v>
      </c>
      <c r="Y104" s="72">
        <f t="shared" si="23"/>
        <v>1498.7164588652604</v>
      </c>
      <c r="Z104" s="72">
        <f t="shared" si="23"/>
        <v>1358.3808239569344</v>
      </c>
      <c r="AA104" s="72">
        <f t="shared" si="23"/>
        <v>1401.9267910207207</v>
      </c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</row>
    <row r="105" spans="1:87" x14ac:dyDescent="0.3">
      <c r="A105" s="73"/>
      <c r="C105" s="74">
        <v>-62499.841999999997</v>
      </c>
      <c r="D105" s="74">
        <v>7013.8196294079262</v>
      </c>
      <c r="E105" s="74">
        <v>5791.9432377544508</v>
      </c>
      <c r="F105" s="74">
        <v>5689.4548950202461</v>
      </c>
      <c r="G105" s="74">
        <v>-5229.1033213884366</v>
      </c>
      <c r="H105" s="74">
        <v>2796.0011834785464</v>
      </c>
      <c r="I105" s="74">
        <v>2506.3731006017915</v>
      </c>
      <c r="J105" s="74">
        <v>2246.329156959358</v>
      </c>
      <c r="K105" s="74">
        <v>2023.4347139357185</v>
      </c>
      <c r="L105" s="74">
        <v>1834.9851537589602</v>
      </c>
      <c r="M105" s="74">
        <v>1677.726406278432</v>
      </c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87" x14ac:dyDescent="0.3">
      <c r="C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87" x14ac:dyDescent="0.3">
      <c r="A107" s="9" t="s">
        <v>45</v>
      </c>
      <c r="B107" s="75" t="s">
        <v>46</v>
      </c>
      <c r="C107" s="58">
        <f>CFtS*coeff_discount</f>
        <v>-62500</v>
      </c>
      <c r="D107" s="58">
        <f>prev C107 + CFtS*coeff_discount</f>
        <v>-52605.305236128304</v>
      </c>
      <c r="E107" s="58">
        <f>prev D107 + CFtS*coeff_discount</f>
        <v>-45066.51010733092</v>
      </c>
      <c r="F107" s="58">
        <f>prev E107 + CFtS*coeff_discount</f>
        <v>-37997.192087196083</v>
      </c>
      <c r="G107" s="58">
        <f>prev F107 + CFtS*coeff_discount</f>
        <v>-37428.689624163206</v>
      </c>
      <c r="H107" s="58">
        <f>prev G107 + CFtS*coeff_discount</f>
        <v>-32470.761191167971</v>
      </c>
      <c r="I107" s="58">
        <f>prev H107 + CFtS*coeff_discount</f>
        <v>-27984.101034990585</v>
      </c>
      <c r="J107" s="58">
        <f>prev I107 + CFtS*coeff_discount</f>
        <v>-23925.925991351334</v>
      </c>
      <c r="K107" s="58">
        <f>prev J107 + CFtS*coeff_discount</f>
        <v>-20251.609383042669</v>
      </c>
      <c r="L107" s="58">
        <f>prev K107 + CFtS*coeff_discount</f>
        <v>-16921.264691066572</v>
      </c>
      <c r="M107" s="58">
        <f>prev L107 + CFtS*coeff_discount</f>
        <v>-13899.408470207707</v>
      </c>
      <c r="N107" s="58">
        <f>prev M107 + CFtS*coeff_discount</f>
        <v>-11154.621581525989</v>
      </c>
      <c r="O107" s="58">
        <f>prev N107 + CFtS*coeff_discount</f>
        <v>-8659.2125863266156</v>
      </c>
      <c r="P107" s="58">
        <f>prev O107 + CFtS*coeff_discount</f>
        <v>-6388.8867259043491</v>
      </c>
      <c r="Q107" s="58">
        <f>prev P107 + CFtS*coeff_discount</f>
        <v>-4322.4234876384398</v>
      </c>
      <c r="R107" s="58">
        <f>prev Q107 + CFtS*coeff_discount</f>
        <v>-2441.3653373227116</v>
      </c>
      <c r="S107" s="58">
        <f>prev R107 + CFtS*coeff_discount</f>
        <v>-729.71978574973832</v>
      </c>
      <c r="T107" s="58">
        <f>prev S107 + CFtS*coeff_discount</f>
        <v>826.32344039186773</v>
      </c>
      <c r="U107" s="58">
        <f>prev T107 + CFtS*coeff_discount</f>
        <v>2238.6587329589302</v>
      </c>
      <c r="V107" s="58">
        <f>prev U107 + CFtS*coeff_discount</f>
        <v>3517.5134096354759</v>
      </c>
      <c r="W107" s="58">
        <f>prev V107 + CFtS*coeff_discount</f>
        <v>4671.678294652429</v>
      </c>
      <c r="X107" s="58">
        <f>prev W107 + CFtS*coeff_discount</f>
        <v>5708.7196796842463</v>
      </c>
      <c r="Y107" s="58">
        <f>prev X107 + CFtS*coeff_discount</f>
        <v>6635.1725493056265</v>
      </c>
      <c r="Z107" s="58">
        <f>prev Y107 + CFtS*coeff_discount</f>
        <v>7456.7152036058642</v>
      </c>
      <c r="AA107" s="58">
        <f>prev Z107 + CFtS*coeff_discount</f>
        <v>8286.2576834997799</v>
      </c>
    </row>
    <row r="108" spans="1:87" x14ac:dyDescent="0.3"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spans="1:87" x14ac:dyDescent="0.3">
      <c r="D109" s="46"/>
      <c r="E109" s="76"/>
      <c r="F109" s="40"/>
      <c r="G109" s="40"/>
      <c r="H109" s="40"/>
      <c r="I109" s="41"/>
      <c r="J109" s="41"/>
      <c r="K109" s="28"/>
    </row>
    <row r="110" spans="1:87" x14ac:dyDescent="0.3">
      <c r="D110" s="46"/>
      <c r="E110" s="76"/>
      <c r="F110" s="40"/>
      <c r="G110" s="40"/>
      <c r="H110" s="40"/>
      <c r="I110" s="41"/>
      <c r="J110" s="41"/>
      <c r="K110" s="28"/>
    </row>
    <row r="111" spans="1:87" x14ac:dyDescent="0.3">
      <c r="D111" s="46"/>
      <c r="E111" s="76"/>
      <c r="F111" s="40"/>
      <c r="G111" s="40"/>
      <c r="H111" s="40"/>
      <c r="I111" s="41"/>
      <c r="J111" s="41"/>
      <c r="K111" s="28"/>
    </row>
    <row r="112" spans="1:87" x14ac:dyDescent="0.3">
      <c r="D112" s="46"/>
      <c r="E112" s="76"/>
      <c r="F112" s="41"/>
      <c r="G112" s="41"/>
      <c r="H112" s="41"/>
      <c r="I112" s="41"/>
      <c r="J112" s="41"/>
      <c r="K112" s="28"/>
    </row>
    <row r="113" spans="4:11" x14ac:dyDescent="0.3">
      <c r="D113" s="46"/>
      <c r="E113" s="76"/>
      <c r="F113" s="41"/>
      <c r="G113" s="41"/>
      <c r="H113" s="41"/>
      <c r="I113" s="41"/>
      <c r="J113" s="41"/>
      <c r="K113" s="28"/>
    </row>
    <row r="114" spans="4:11" x14ac:dyDescent="0.3">
      <c r="D114" s="46"/>
      <c r="E114" s="76"/>
      <c r="F114" s="41"/>
      <c r="G114" s="41"/>
      <c r="H114" s="41"/>
      <c r="I114" s="41"/>
      <c r="J114" s="41"/>
      <c r="K114" s="28"/>
    </row>
    <row r="115" spans="4:11" x14ac:dyDescent="0.3">
      <c r="D115" s="46"/>
      <c r="E115" s="76"/>
      <c r="F115" s="41"/>
      <c r="G115" s="41"/>
      <c r="H115" s="41"/>
      <c r="I115" s="41"/>
      <c r="J115" s="41"/>
      <c r="K115" s="28"/>
    </row>
    <row r="116" spans="4:11" x14ac:dyDescent="0.3">
      <c r="D116" s="58"/>
      <c r="E116" s="76"/>
      <c r="F116" s="28"/>
      <c r="G116" s="28"/>
      <c r="H116" s="28"/>
      <c r="I116" s="28"/>
      <c r="J116" s="41"/>
      <c r="K116" s="28"/>
    </row>
    <row r="117" spans="4:11" x14ac:dyDescent="0.3">
      <c r="D117" s="58"/>
      <c r="E117" s="76"/>
      <c r="F117" s="28"/>
      <c r="G117" s="28"/>
      <c r="H117" s="28"/>
      <c r="I117" s="28"/>
      <c r="J117" s="28"/>
      <c r="K117" s="28"/>
    </row>
    <row r="118" spans="4:11" x14ac:dyDescent="0.3">
      <c r="D118" s="58"/>
      <c r="E118" s="76"/>
      <c r="F118" s="28"/>
      <c r="G118" s="28"/>
      <c r="H118" s="28"/>
      <c r="I118" s="28"/>
      <c r="J118" s="28"/>
      <c r="K118" s="28"/>
    </row>
    <row r="119" spans="4:11" x14ac:dyDescent="0.3">
      <c r="E119" s="76"/>
    </row>
    <row r="120" spans="4:11" x14ac:dyDescent="0.3">
      <c r="E120" s="76"/>
    </row>
    <row r="121" spans="4:11" x14ac:dyDescent="0.3">
      <c r="E121" s="67"/>
    </row>
    <row r="122" spans="4:11" x14ac:dyDescent="0.3">
      <c r="E122" s="67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A7" sqref="A1:XFD7"/>
    </sheetView>
  </sheetViews>
  <sheetFormatPr defaultColWidth="8.77734375" defaultRowHeight="14.4" x14ac:dyDescent="0.3"/>
  <cols>
    <col min="1" max="1" width="15.44140625" customWidth="1"/>
  </cols>
  <sheetData>
    <row r="2" spans="1:6" x14ac:dyDescent="0.3">
      <c r="B2" s="8">
        <v>0.01</v>
      </c>
      <c r="C2" s="8">
        <v>-0.01</v>
      </c>
    </row>
    <row r="3" spans="1:6" x14ac:dyDescent="0.3">
      <c r="A3" t="s">
        <v>116</v>
      </c>
      <c r="B3">
        <v>2789.8083666476159</v>
      </c>
      <c r="C3">
        <v>-2777.4235899010964</v>
      </c>
    </row>
    <row r="4" spans="1:6" x14ac:dyDescent="0.3">
      <c r="A4" t="s">
        <v>49</v>
      </c>
      <c r="B4">
        <v>-2583.6217591579953</v>
      </c>
      <c r="C4">
        <v>2583.6217591580098</v>
      </c>
    </row>
    <row r="5" spans="1:6" x14ac:dyDescent="0.3">
      <c r="A5" t="s">
        <v>73</v>
      </c>
      <c r="B5">
        <v>-477.05987869899036</v>
      </c>
      <c r="C5">
        <v>477.05987869900855</v>
      </c>
    </row>
    <row r="6" spans="1:6" x14ac:dyDescent="0.3">
      <c r="A6" s="12" t="s">
        <v>27</v>
      </c>
      <c r="B6">
        <v>-183.28737540375005</v>
      </c>
      <c r="C6">
        <v>186.37098866726228</v>
      </c>
    </row>
    <row r="7" spans="1:6" x14ac:dyDescent="0.3">
      <c r="A7" t="s">
        <v>26</v>
      </c>
      <c r="B7">
        <v>182.37431878904681</v>
      </c>
      <c r="C7">
        <v>-182.37431878903953</v>
      </c>
    </row>
    <row r="11" spans="1:6" x14ac:dyDescent="0.3">
      <c r="A11" s="9"/>
      <c r="B11" s="9"/>
      <c r="C11" s="78" t="s">
        <v>117</v>
      </c>
      <c r="D11" s="78" t="s">
        <v>118</v>
      </c>
    </row>
    <row r="12" spans="1:6" x14ac:dyDescent="0.3">
      <c r="A12" s="12" t="s">
        <v>28</v>
      </c>
      <c r="B12" s="9">
        <v>-26827.70397338663</v>
      </c>
      <c r="C12" s="9">
        <v>-27868.661353725496</v>
      </c>
      <c r="D12" s="9">
        <v>-25786.746593047781</v>
      </c>
      <c r="E12">
        <f>C12-B12</f>
        <v>-1040.9573803388666</v>
      </c>
      <c r="F12">
        <f>D12-B12</f>
        <v>1040.9573803388485</v>
      </c>
    </row>
    <row r="13" spans="1:6" x14ac:dyDescent="0.3">
      <c r="A13" s="12" t="s">
        <v>29</v>
      </c>
      <c r="B13" s="9">
        <v>-26827.70397338663</v>
      </c>
      <c r="C13" s="9">
        <v>-26965.624452187603</v>
      </c>
      <c r="D13" s="9">
        <v>-26689.78349458563</v>
      </c>
      <c r="E13">
        <f>C13-B13</f>
        <v>-137.9204788009738</v>
      </c>
      <c r="F13">
        <f>D13-B13</f>
        <v>137.92047880099926</v>
      </c>
    </row>
    <row r="16" spans="1:6" x14ac:dyDescent="0.3">
      <c r="B16" s="78" t="s">
        <v>117</v>
      </c>
      <c r="C16" s="78" t="s">
        <v>118</v>
      </c>
    </row>
    <row r="17" spans="1:3" x14ac:dyDescent="0.3">
      <c r="A17" t="s">
        <v>28</v>
      </c>
      <c r="B17">
        <v>-1040.9573803388666</v>
      </c>
      <c r="C17">
        <v>1040.9573803388485</v>
      </c>
    </row>
    <row r="18" spans="1:3" x14ac:dyDescent="0.3">
      <c r="A18" t="s">
        <v>29</v>
      </c>
      <c r="B18">
        <v>-137.9204788009738</v>
      </c>
      <c r="C18">
        <v>137.92047880099926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22"/>
  <sheetViews>
    <sheetView zoomScaleNormal="100" workbookViewId="0">
      <pane xSplit="1" topLeftCell="B1" activePane="topRight" state="frozen"/>
      <selection activeCell="A12" sqref="A12"/>
      <selection pane="topRight" activeCell="G32" sqref="G32"/>
    </sheetView>
  </sheetViews>
  <sheetFormatPr defaultColWidth="9.109375" defaultRowHeight="14.4" x14ac:dyDescent="0.3"/>
  <cols>
    <col min="1" max="1" width="40" style="9" customWidth="1"/>
    <col min="2" max="2" width="19.44140625" style="9" customWidth="1"/>
    <col min="3" max="3" width="19.6640625" style="9" customWidth="1"/>
    <col min="4" max="4" width="11.44140625" style="10" customWidth="1"/>
    <col min="5" max="5" width="18" style="9" customWidth="1"/>
    <col min="6" max="6" width="12.6640625" style="9" bestFit="1" customWidth="1"/>
    <col min="7" max="7" width="13.44140625" style="9" bestFit="1" customWidth="1"/>
    <col min="8" max="8" width="12.6640625" style="9" bestFit="1" customWidth="1"/>
    <col min="9" max="9" width="13" style="9" bestFit="1" customWidth="1"/>
    <col min="10" max="10" width="14.109375" style="9" bestFit="1" customWidth="1"/>
    <col min="11" max="11" width="10" style="9" customWidth="1"/>
    <col min="12" max="15" width="13" style="9" bestFit="1" customWidth="1"/>
    <col min="16" max="16" width="12.77734375" style="9" bestFit="1" customWidth="1"/>
    <col min="17" max="27" width="11.77734375" style="9" bestFit="1" customWidth="1"/>
    <col min="28" max="87" width="9.109375" style="9"/>
    <col min="88" max="16384" width="9.109375" style="1"/>
  </cols>
  <sheetData>
    <row r="2" spans="1:87" x14ac:dyDescent="0.3">
      <c r="CE2" s="1"/>
      <c r="CF2" s="1"/>
      <c r="CG2" s="1"/>
      <c r="CH2" s="1"/>
      <c r="CI2" s="1"/>
    </row>
    <row r="3" spans="1:87" x14ac:dyDescent="0.3">
      <c r="CE3" s="1"/>
      <c r="CF3" s="1"/>
      <c r="CG3" s="1"/>
      <c r="CH3" s="1"/>
      <c r="CI3" s="1"/>
    </row>
    <row r="4" spans="1:87" x14ac:dyDescent="0.3">
      <c r="CE4" s="1"/>
      <c r="CF4" s="1"/>
      <c r="CG4" s="1"/>
      <c r="CH4" s="1"/>
      <c r="CI4" s="1"/>
    </row>
    <row r="5" spans="1:87" x14ac:dyDescent="0.3">
      <c r="CE5" s="1"/>
      <c r="CF5" s="1"/>
      <c r="CG5" s="1"/>
      <c r="CH5" s="1"/>
      <c r="CI5" s="1"/>
    </row>
    <row r="6" spans="1:87" x14ac:dyDescent="0.3">
      <c r="CE6" s="1"/>
      <c r="CF6" s="1"/>
      <c r="CG6" s="1"/>
      <c r="CH6" s="1"/>
      <c r="CI6" s="1"/>
    </row>
    <row r="7" spans="1:87" ht="15.6" x14ac:dyDescent="0.3">
      <c r="A7" s="77" t="s">
        <v>0</v>
      </c>
      <c r="B7" s="11"/>
      <c r="C7" s="11"/>
      <c r="CE7" s="1"/>
      <c r="CF7" s="1"/>
      <c r="CG7" s="1"/>
      <c r="CH7" s="1"/>
      <c r="CI7" s="1"/>
    </row>
    <row r="8" spans="1:87" x14ac:dyDescent="0.3">
      <c r="A8" s="13" t="s">
        <v>1</v>
      </c>
      <c r="B8" s="12" t="s">
        <v>25</v>
      </c>
      <c r="C8" s="14">
        <v>0.05</v>
      </c>
      <c r="CE8" s="1"/>
      <c r="CF8" s="1"/>
      <c r="CG8" s="1"/>
      <c r="CH8" s="1"/>
      <c r="CI8" s="1"/>
    </row>
    <row r="9" spans="1:87" x14ac:dyDescent="0.3">
      <c r="A9" s="15" t="s">
        <v>67</v>
      </c>
      <c r="B9" s="12" t="s">
        <v>113</v>
      </c>
      <c r="C9" s="14">
        <v>0.16</v>
      </c>
      <c r="CE9" s="1"/>
      <c r="CF9" s="1"/>
      <c r="CG9" s="1"/>
      <c r="CH9" s="1"/>
      <c r="CI9" s="1"/>
    </row>
    <row r="10" spans="1:87" x14ac:dyDescent="0.3">
      <c r="A10" s="15" t="s">
        <v>68</v>
      </c>
      <c r="B10" s="12" t="s">
        <v>70</v>
      </c>
      <c r="C10" s="16">
        <v>500000</v>
      </c>
      <c r="CE10" s="1"/>
      <c r="CF10" s="1"/>
      <c r="CG10" s="1"/>
      <c r="CH10" s="1"/>
      <c r="CI10" s="1"/>
    </row>
    <row r="11" spans="1:87" x14ac:dyDescent="0.3">
      <c r="A11" s="15" t="s">
        <v>69</v>
      </c>
      <c r="B11" s="12" t="s">
        <v>69</v>
      </c>
      <c r="C11" s="16">
        <v>24</v>
      </c>
      <c r="CE11" s="1"/>
      <c r="CF11" s="1"/>
      <c r="CG11" s="1"/>
      <c r="CH11" s="1"/>
      <c r="CI11" s="1"/>
    </row>
    <row r="12" spans="1:87" x14ac:dyDescent="0.3">
      <c r="A12" s="17" t="s">
        <v>5</v>
      </c>
      <c r="B12" s="12" t="s">
        <v>71</v>
      </c>
      <c r="C12" s="18">
        <f>initial_amount * (interest_rate/12)/(1-POWER(1+interest_rate/12,-initial_term))</f>
        <v>26435.54862662495</v>
      </c>
      <c r="CE12" s="1"/>
      <c r="CF12" s="1"/>
      <c r="CG12" s="1"/>
      <c r="CH12" s="1"/>
      <c r="CI12" s="1"/>
    </row>
    <row r="13" spans="1:87" x14ac:dyDescent="0.3">
      <c r="A13" s="19"/>
      <c r="B13" s="19"/>
      <c r="C13" s="19"/>
      <c r="CE13" s="1"/>
      <c r="CF13" s="1"/>
      <c r="CG13" s="1"/>
      <c r="CH13" s="1"/>
      <c r="CI13" s="1"/>
    </row>
    <row r="14" spans="1:87" ht="15.6" x14ac:dyDescent="0.3">
      <c r="A14" s="77" t="s">
        <v>2</v>
      </c>
      <c r="B14" s="19"/>
      <c r="C14" s="19"/>
      <c r="CE14" s="1"/>
      <c r="CF14" s="1"/>
      <c r="CG14" s="1"/>
      <c r="CH14" s="1"/>
      <c r="CI14" s="1"/>
    </row>
    <row r="15" spans="1:87" x14ac:dyDescent="0.3">
      <c r="A15" s="13" t="s">
        <v>6</v>
      </c>
      <c r="B15" s="12" t="s">
        <v>72</v>
      </c>
      <c r="C15" s="20">
        <v>0.24</v>
      </c>
      <c r="CE15" s="1"/>
      <c r="CF15" s="1"/>
      <c r="CG15" s="1"/>
      <c r="CH15" s="1"/>
      <c r="CI15" s="1"/>
    </row>
    <row r="16" spans="1:87" x14ac:dyDescent="0.3">
      <c r="A16" s="17" t="s">
        <v>114</v>
      </c>
      <c r="B16" s="21" t="s">
        <v>114</v>
      </c>
      <c r="C16" s="14">
        <v>0.01</v>
      </c>
      <c r="CE16" s="1"/>
      <c r="CF16" s="1"/>
      <c r="CG16" s="1"/>
      <c r="CH16" s="1"/>
      <c r="CI16" s="1"/>
    </row>
    <row r="17" spans="1:87" x14ac:dyDescent="0.3">
      <c r="A17" s="19"/>
      <c r="B17" s="19"/>
      <c r="C17" s="19"/>
      <c r="CE17" s="1"/>
      <c r="CF17" s="1"/>
      <c r="CG17" s="1"/>
      <c r="CH17" s="1"/>
      <c r="CI17" s="1"/>
    </row>
    <row r="18" spans="1:87" ht="15.6" x14ac:dyDescent="0.3">
      <c r="A18" s="77" t="s">
        <v>31</v>
      </c>
      <c r="B18" s="19"/>
      <c r="C18" s="19"/>
      <c r="CE18" s="1"/>
      <c r="CF18" s="1"/>
      <c r="CG18" s="1"/>
      <c r="CH18" s="1"/>
      <c r="CI18" s="1"/>
    </row>
    <row r="19" spans="1:87" x14ac:dyDescent="0.3">
      <c r="A19" s="13" t="s">
        <v>15</v>
      </c>
      <c r="B19" s="12" t="s">
        <v>49</v>
      </c>
      <c r="C19" s="20">
        <v>0.17</v>
      </c>
    </row>
    <row r="20" spans="1:87" x14ac:dyDescent="0.3">
      <c r="A20" s="15" t="s">
        <v>7</v>
      </c>
      <c r="B20" s="12" t="s">
        <v>26</v>
      </c>
      <c r="C20" s="20">
        <v>0.2</v>
      </c>
    </row>
    <row r="21" spans="1:87" x14ac:dyDescent="0.3">
      <c r="A21" s="15" t="s">
        <v>30</v>
      </c>
      <c r="B21" s="12" t="s">
        <v>27</v>
      </c>
      <c r="C21" s="20">
        <v>0.3</v>
      </c>
    </row>
    <row r="22" spans="1:87" x14ac:dyDescent="0.3">
      <c r="A22" s="17" t="s">
        <v>55</v>
      </c>
      <c r="B22" s="12" t="s">
        <v>73</v>
      </c>
      <c r="C22" s="22">
        <v>0.125</v>
      </c>
    </row>
    <row r="23" spans="1:87" x14ac:dyDescent="0.3">
      <c r="A23" s="19"/>
      <c r="B23" s="19"/>
      <c r="C23" s="19"/>
    </row>
    <row r="24" spans="1:87" ht="15.6" x14ac:dyDescent="0.3">
      <c r="A24" s="77" t="s">
        <v>8</v>
      </c>
      <c r="B24" s="19"/>
      <c r="C24" s="19"/>
    </row>
    <row r="25" spans="1:87" x14ac:dyDescent="0.3">
      <c r="A25" s="13" t="s">
        <v>3</v>
      </c>
      <c r="B25" s="12" t="s">
        <v>28</v>
      </c>
      <c r="C25" s="16">
        <v>100</v>
      </c>
    </row>
    <row r="26" spans="1:87" x14ac:dyDescent="0.3">
      <c r="A26" s="15" t="s">
        <v>4</v>
      </c>
      <c r="B26" s="12" t="s">
        <v>29</v>
      </c>
      <c r="C26" s="16">
        <v>500</v>
      </c>
    </row>
    <row r="27" spans="1:87" x14ac:dyDescent="0.3">
      <c r="A27" s="17" t="s">
        <v>66</v>
      </c>
      <c r="B27" s="12" t="s">
        <v>74</v>
      </c>
      <c r="C27" s="20">
        <v>0.2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87" x14ac:dyDescent="0.3">
      <c r="A28" s="19"/>
      <c r="B28" s="2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87" x14ac:dyDescent="0.3">
      <c r="A29" s="19"/>
      <c r="B29" s="23"/>
      <c r="C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87" x14ac:dyDescent="0.3">
      <c r="A30" s="19"/>
      <c r="B30" s="23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87" x14ac:dyDescent="0.3">
      <c r="A31" s="19"/>
      <c r="B31" s="23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87" x14ac:dyDescent="0.3">
      <c r="A32" s="19"/>
      <c r="B32" s="2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87" x14ac:dyDescent="0.3">
      <c r="A33" s="19"/>
      <c r="B33" s="23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87" x14ac:dyDescent="0.3">
      <c r="A34" s="19"/>
      <c r="C34" s="10">
        <v>0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</row>
    <row r="35" spans="1:87" s="6" customFormat="1" x14ac:dyDescent="0.3">
      <c r="A35" s="24"/>
      <c r="B35" s="25" t="s">
        <v>75</v>
      </c>
      <c r="C35" s="26">
        <v>0</v>
      </c>
      <c r="D35" s="26">
        <v>0</v>
      </c>
      <c r="E35" s="26">
        <v>0</v>
      </c>
      <c r="F35" s="26">
        <v>0</v>
      </c>
      <c r="G35" s="26">
        <v>2.4982879923231002E-2</v>
      </c>
      <c r="H35" s="26">
        <v>4.8803983239302804E-3</v>
      </c>
      <c r="I35" s="26">
        <v>5.5710663546813203E-3</v>
      </c>
      <c r="J35" s="26">
        <v>6.2014518040146302E-3</v>
      </c>
      <c r="K35" s="26">
        <v>6.7715546719302197E-3</v>
      </c>
      <c r="L35" s="26">
        <v>7.2813749584280897E-3</v>
      </c>
      <c r="M35" s="26">
        <v>7.7309126635082296E-3</v>
      </c>
      <c r="N35" s="26">
        <v>8.1201677871706492E-3</v>
      </c>
      <c r="O35" s="26">
        <v>8.4491403294153396E-3</v>
      </c>
      <c r="P35" s="26">
        <v>8.7178302902423104E-3</v>
      </c>
      <c r="Q35" s="26">
        <v>8.9262376696515495E-3</v>
      </c>
      <c r="R35" s="26">
        <v>9.0743624676430795E-3</v>
      </c>
      <c r="S35" s="26">
        <v>9.1622046842168708E-3</v>
      </c>
      <c r="T35" s="26">
        <v>9.1897643193729495E-3</v>
      </c>
      <c r="U35" s="26">
        <v>9.1570413731112896E-3</v>
      </c>
      <c r="V35" s="26">
        <v>9.0640358454319205E-3</v>
      </c>
      <c r="W35" s="26">
        <v>8.9107477363348196E-3</v>
      </c>
      <c r="X35" s="26">
        <v>8.6971770458199905E-3</v>
      </c>
      <c r="Y35" s="26">
        <v>8.4233237738874402E-3</v>
      </c>
      <c r="Z35" s="26">
        <v>8.0891879205371702E-3</v>
      </c>
      <c r="AA35" s="26">
        <v>7.6947694857691798E-3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87" s="6" customFormat="1" x14ac:dyDescent="0.3">
      <c r="A36" s="24"/>
      <c r="B36" s="25" t="s">
        <v>78</v>
      </c>
      <c r="C36" s="26">
        <v>0</v>
      </c>
      <c r="D36" s="26">
        <v>7.5868618784402903E-2</v>
      </c>
      <c r="E36" s="26">
        <v>8.8055109453583899E-2</v>
      </c>
      <c r="F36" s="26">
        <v>9.7826998807379703E-2</v>
      </c>
      <c r="G36" s="26">
        <v>8.4008029992233502E-2</v>
      </c>
      <c r="H36" s="26">
        <v>9.0208247418297999E-2</v>
      </c>
      <c r="I36" s="26">
        <v>9.6038934272266396E-2</v>
      </c>
      <c r="J36" s="26">
        <v>0.101500090554138</v>
      </c>
      <c r="K36" s="26">
        <v>0.106591716263914</v>
      </c>
      <c r="L36" s="26">
        <v>0.11131381140159501</v>
      </c>
      <c r="M36" s="26">
        <v>0.11566637596717901</v>
      </c>
      <c r="N36" s="26">
        <v>0.119649409960667</v>
      </c>
      <c r="O36" s="26">
        <v>0.123262913382059</v>
      </c>
      <c r="P36" s="26">
        <v>0.126506886231354</v>
      </c>
      <c r="Q36" s="26">
        <v>0.12938132850855399</v>
      </c>
      <c r="R36" s="26">
        <v>0.131886240213658</v>
      </c>
      <c r="S36" s="26">
        <v>0.13402162134666501</v>
      </c>
      <c r="T36" s="26">
        <v>0.13578747190757701</v>
      </c>
      <c r="U36" s="26">
        <v>0.13718379189639199</v>
      </c>
      <c r="V36" s="26">
        <v>0.13821058131311201</v>
      </c>
      <c r="W36" s="26">
        <v>0.13886784015773501</v>
      </c>
      <c r="X36" s="26">
        <v>0.139155568430262</v>
      </c>
      <c r="Y36" s="26">
        <v>0.139073766130693</v>
      </c>
      <c r="Z36" s="26">
        <v>0.13862243325902801</v>
      </c>
      <c r="AA36" s="26">
        <v>0.13862243325902801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</row>
    <row r="37" spans="1:87" s="6" customFormat="1" x14ac:dyDescent="0.3">
      <c r="A37" s="24"/>
      <c r="B37" s="25" t="s">
        <v>76</v>
      </c>
      <c r="C37" s="26">
        <v>0</v>
      </c>
      <c r="D37" s="26">
        <v>3.7723738408171698E-2</v>
      </c>
      <c r="E37" s="26">
        <v>2.4231051553510699E-2</v>
      </c>
      <c r="F37" s="26">
        <v>2.4482082398680299E-2</v>
      </c>
      <c r="G37" s="26">
        <v>2.47816802780743E-2</v>
      </c>
      <c r="H37" s="26">
        <v>2.5129845191692798E-2</v>
      </c>
      <c r="I37" s="26">
        <v>2.5526577139535701E-2</v>
      </c>
      <c r="J37" s="26">
        <v>2.5971876121603E-2</v>
      </c>
      <c r="K37" s="26">
        <v>2.64657421378947E-2</v>
      </c>
      <c r="L37" s="26">
        <v>2.70081751884109E-2</v>
      </c>
      <c r="M37" s="26">
        <v>2.7599175273151502E-2</v>
      </c>
      <c r="N37" s="26">
        <v>2.82387423921165E-2</v>
      </c>
      <c r="O37" s="26">
        <v>2.8926876545305999E-2</v>
      </c>
      <c r="P37" s="26">
        <v>2.9663577732719801E-2</v>
      </c>
      <c r="Q37" s="26">
        <v>3.0448845954358102E-2</v>
      </c>
      <c r="R37" s="26">
        <v>3.1282681210220903E-2</v>
      </c>
      <c r="S37" s="26">
        <v>3.2165083500308E-2</v>
      </c>
      <c r="T37" s="26">
        <v>3.3096052824619603E-2</v>
      </c>
      <c r="U37" s="26">
        <v>3.4075589183155598E-2</v>
      </c>
      <c r="V37" s="26">
        <v>3.5103692575916001E-2</v>
      </c>
      <c r="W37" s="26">
        <v>3.6180363002900902E-2</v>
      </c>
      <c r="X37" s="26">
        <v>3.7305600464110203E-2</v>
      </c>
      <c r="Y37" s="26">
        <v>3.8479404959543898E-2</v>
      </c>
      <c r="Z37" s="26">
        <v>3.9701776489201999E-2</v>
      </c>
      <c r="AA37" s="26">
        <v>4.0972715053084599E-2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1:87" x14ac:dyDescent="0.3">
      <c r="A38" s="19"/>
      <c r="B38" s="23"/>
      <c r="C38" s="80"/>
      <c r="D38" s="80"/>
      <c r="E38" s="80"/>
      <c r="F38" s="80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spans="1:87" x14ac:dyDescent="0.3">
      <c r="A39" s="19"/>
      <c r="B39" s="23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 spans="1:87" x14ac:dyDescent="0.3">
      <c r="B40" s="23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 spans="1:87" x14ac:dyDescent="0.3">
      <c r="B41" s="19"/>
      <c r="C41" s="23" t="s">
        <v>77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87" s="3" customFormat="1" ht="15.6" x14ac:dyDescent="0.3">
      <c r="A42" s="77" t="s">
        <v>24</v>
      </c>
      <c r="B42" s="27"/>
      <c r="C42" s="10">
        <v>0</v>
      </c>
      <c r="D42" s="10">
        <v>1</v>
      </c>
      <c r="E42" s="10">
        <v>2</v>
      </c>
      <c r="F42" s="10">
        <v>3</v>
      </c>
      <c r="G42" s="10">
        <v>4</v>
      </c>
      <c r="H42" s="10">
        <v>5</v>
      </c>
      <c r="I42" s="10">
        <v>6</v>
      </c>
      <c r="J42" s="10">
        <v>7</v>
      </c>
      <c r="K42" s="10">
        <v>8</v>
      </c>
      <c r="L42" s="10">
        <v>9</v>
      </c>
      <c r="M42" s="10">
        <v>10</v>
      </c>
      <c r="N42" s="10">
        <v>11</v>
      </c>
      <c r="O42" s="10">
        <v>12</v>
      </c>
      <c r="P42" s="10">
        <v>13</v>
      </c>
      <c r="Q42" s="10">
        <v>14</v>
      </c>
      <c r="R42" s="10">
        <v>15</v>
      </c>
      <c r="S42" s="10">
        <v>16</v>
      </c>
      <c r="T42" s="10">
        <v>17</v>
      </c>
      <c r="U42" s="10">
        <v>18</v>
      </c>
      <c r="V42" s="10">
        <v>19</v>
      </c>
      <c r="W42" s="10">
        <v>20</v>
      </c>
      <c r="X42" s="10">
        <v>21</v>
      </c>
      <c r="Y42" s="10">
        <v>22</v>
      </c>
      <c r="Z42" s="10">
        <v>23</v>
      </c>
      <c r="AA42" s="10">
        <v>24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 spans="1:87" s="3" customFormat="1" x14ac:dyDescent="0.3">
      <c r="A43" s="29" t="s">
        <v>36</v>
      </c>
      <c r="B43" s="27" t="s">
        <v>37</v>
      </c>
      <c r="C43" s="30">
        <f>1-accnt_wro-accnt_clo</f>
        <v>1</v>
      </c>
      <c r="D43" s="31">
        <f>1-accnt_wro-accnt_clo</f>
        <v>0.96227626159182833</v>
      </c>
      <c r="E43" s="31">
        <f t="shared" ref="E43:AA43" si="0">1-accnt_wro-accnt_clo</f>
        <v>0.93895929588847715</v>
      </c>
      <c r="F43" s="31">
        <f t="shared" si="0"/>
        <v>0.91597161703752861</v>
      </c>
      <c r="G43" s="31">
        <f t="shared" si="0"/>
        <v>0.87038869235877758</v>
      </c>
      <c r="H43" s="31">
        <f t="shared" si="0"/>
        <v>0.84426811574784588</v>
      </c>
      <c r="I43" s="31">
        <f t="shared" si="0"/>
        <v>0.81801336687078496</v>
      </c>
      <c r="J43" s="31">
        <f t="shared" si="0"/>
        <v>0.79169515457091277</v>
      </c>
      <c r="K43" s="31">
        <f t="shared" si="0"/>
        <v>0.76538134773553912</v>
      </c>
      <c r="L43" s="31">
        <f t="shared" si="0"/>
        <v>0.73913676563090613</v>
      </c>
      <c r="M43" s="31">
        <f t="shared" si="0"/>
        <v>0.71302299870394792</v>
      </c>
      <c r="N43" s="31">
        <f t="shared" si="0"/>
        <v>0.68709825953830517</v>
      </c>
      <c r="O43" s="31">
        <f t="shared" si="0"/>
        <v>0.66141726339520979</v>
      </c>
      <c r="P43" s="31">
        <f t="shared" si="0"/>
        <v>0.63603113753540719</v>
      </c>
      <c r="Q43" s="31">
        <f t="shared" si="0"/>
        <v>0.61098735830747664</v>
      </c>
      <c r="R43" s="31">
        <f t="shared" si="0"/>
        <v>0.58632971480163898</v>
      </c>
      <c r="S43" s="31">
        <f t="shared" si="0"/>
        <v>0.56209829770688136</v>
      </c>
      <c r="T43" s="31">
        <f t="shared" si="0"/>
        <v>0.53832951187309874</v>
      </c>
      <c r="U43" s="31">
        <f t="shared" si="0"/>
        <v>0.51505611096875348</v>
      </c>
      <c r="V43" s="31">
        <f t="shared" si="0"/>
        <v>0.49230725253773006</v>
      </c>
      <c r="W43" s="31">
        <f t="shared" si="0"/>
        <v>0.47010857169582237</v>
      </c>
      <c r="X43" s="31">
        <f t="shared" si="0"/>
        <v>0.44848227166658833</v>
      </c>
      <c r="Y43" s="31">
        <f t="shared" si="0"/>
        <v>0.4274472293368573</v>
      </c>
      <c r="Z43" s="31">
        <f t="shared" si="0"/>
        <v>0.4070191140125779</v>
      </c>
      <c r="AA43" s="31">
        <f t="shared" si="0"/>
        <v>0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 spans="1:87" s="3" customFormat="1" x14ac:dyDescent="0.3">
      <c r="A44" s="32" t="s">
        <v>9</v>
      </c>
      <c r="B44" s="33" t="s">
        <v>32</v>
      </c>
      <c r="C44" s="30">
        <v>1</v>
      </c>
      <c r="D44" s="26">
        <f>accnt_act-accnt_dlq</f>
        <v>0.8892696907358375</v>
      </c>
      <c r="E44" s="26">
        <f t="shared" ref="E44:AA44" si="1">accnt_act-accnt_dlq</f>
        <v>0.85627913231655728</v>
      </c>
      <c r="F44" s="26">
        <f t="shared" si="1"/>
        <v>0.82636486275000465</v>
      </c>
      <c r="G44" s="26">
        <f t="shared" si="1"/>
        <v>0.79726905298620054</v>
      </c>
      <c r="H44" s="26">
        <f t="shared" si="1"/>
        <v>0.76810816867508391</v>
      </c>
      <c r="I44" s="26">
        <f t="shared" si="1"/>
        <v>0.73945223489604628</v>
      </c>
      <c r="J44" s="26">
        <f t="shared" si="1"/>
        <v>0.71133802469069285</v>
      </c>
      <c r="K44" s="26">
        <f t="shared" si="1"/>
        <v>0.68379803628402047</v>
      </c>
      <c r="L44" s="26">
        <f t="shared" si="1"/>
        <v>0.65686063510148252</v>
      </c>
      <c r="M44" s="26">
        <f t="shared" si="1"/>
        <v>0.63055021246261167</v>
      </c>
      <c r="N44" s="26">
        <f t="shared" si="1"/>
        <v>0.60488735819954575</v>
      </c>
      <c r="O44" s="26">
        <f t="shared" si="1"/>
        <v>0.57988904454792756</v>
      </c>
      <c r="P44" s="26">
        <f t="shared" si="1"/>
        <v>0.55556881877961672</v>
      </c>
      <c r="Q44" s="26">
        <f t="shared" si="1"/>
        <v>0.53193700218772344</v>
      </c>
      <c r="R44" s="26">
        <f t="shared" si="1"/>
        <v>0.50900089319090447</v>
      </c>
      <c r="S44" s="26">
        <f t="shared" si="1"/>
        <v>0.48676497249200473</v>
      </c>
      <c r="T44" s="26">
        <f t="shared" si="1"/>
        <v>0.46523110840261073</v>
      </c>
      <c r="U44" s="26">
        <f t="shared" si="1"/>
        <v>0.44439876062665101</v>
      </c>
      <c r="V44" s="26">
        <f t="shared" si="1"/>
        <v>0.42426518097982935</v>
      </c>
      <c r="W44" s="26">
        <f t="shared" si="1"/>
        <v>0.40482560970478582</v>
      </c>
      <c r="X44" s="26">
        <f t="shared" si="1"/>
        <v>0.38607346622192906</v>
      </c>
      <c r="Y44" s="26">
        <f t="shared" si="1"/>
        <v>0.36800053333085053</v>
      </c>
      <c r="Z44" s="26">
        <f t="shared" si="1"/>
        <v>0.35059713404522058</v>
      </c>
      <c r="AA44" s="26">
        <f t="shared" si="1"/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 spans="1:87" s="3" customFormat="1" ht="14.25" customHeight="1" x14ac:dyDescent="0.3">
      <c r="A45" s="32" t="s">
        <v>10</v>
      </c>
      <c r="B45" s="33" t="s">
        <v>33</v>
      </c>
      <c r="C45" s="30">
        <v>0</v>
      </c>
      <c r="D45" s="26">
        <f>accnt_act*DLNQ_Ratio</f>
        <v>7.3006570855990785E-2</v>
      </c>
      <c r="E45" s="26">
        <f t="shared" ref="E45:AA45" si="2">accnt_act*DLNQ_Ratio</f>
        <v>8.2680163571919929E-2</v>
      </c>
      <c r="F45" s="26">
        <f t="shared" si="2"/>
        <v>8.9606754287523974E-2</v>
      </c>
      <c r="G45" s="26">
        <f t="shared" si="2"/>
        <v>7.311963937257708E-2</v>
      </c>
      <c r="H45" s="26">
        <f t="shared" si="2"/>
        <v>7.6159947072761941E-2</v>
      </c>
      <c r="I45" s="26">
        <f t="shared" si="2"/>
        <v>7.8561131974738657E-2</v>
      </c>
      <c r="J45" s="26">
        <f t="shared" si="2"/>
        <v>8.0357129880219924E-2</v>
      </c>
      <c r="K45" s="26">
        <f t="shared" si="2"/>
        <v>8.1583311451518689E-2</v>
      </c>
      <c r="L45" s="26">
        <f t="shared" si="2"/>
        <v>8.2276130529423619E-2</v>
      </c>
      <c r="M45" s="26">
        <f t="shared" si="2"/>
        <v>8.2472786241336235E-2</v>
      </c>
      <c r="N45" s="26">
        <f t="shared" si="2"/>
        <v>8.2210901338759454E-2</v>
      </c>
      <c r="O45" s="26">
        <f t="shared" si="2"/>
        <v>8.1528218847282244E-2</v>
      </c>
      <c r="P45" s="26">
        <f t="shared" si="2"/>
        <v>8.0462318755790435E-2</v>
      </c>
      <c r="Q45" s="26">
        <f t="shared" si="2"/>
        <v>7.9050356119753223E-2</v>
      </c>
      <c r="R45" s="26">
        <f t="shared" si="2"/>
        <v>7.7328821610734538E-2</v>
      </c>
      <c r="S45" s="26">
        <f t="shared" si="2"/>
        <v>7.5333325214876637E-2</v>
      </c>
      <c r="T45" s="26">
        <f t="shared" si="2"/>
        <v>7.3098403470488044E-2</v>
      </c>
      <c r="U45" s="26">
        <f t="shared" si="2"/>
        <v>7.0657350342102451E-2</v>
      </c>
      <c r="V45" s="26">
        <f t="shared" si="2"/>
        <v>6.8042071557900707E-2</v>
      </c>
      <c r="W45" s="26">
        <f t="shared" si="2"/>
        <v>6.5282961991036573E-2</v>
      </c>
      <c r="X45" s="26">
        <f t="shared" si="2"/>
        <v>6.2408805444659286E-2</v>
      </c>
      <c r="Y45" s="26">
        <f t="shared" si="2"/>
        <v>5.9446696006006786E-2</v>
      </c>
      <c r="Z45" s="26">
        <f t="shared" si="2"/>
        <v>5.6421979967357296E-2</v>
      </c>
      <c r="AA45" s="26">
        <f t="shared" si="2"/>
        <v>0</v>
      </c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 spans="1:87" s="3" customFormat="1" x14ac:dyDescent="0.3">
      <c r="A46" s="29" t="s">
        <v>38</v>
      </c>
      <c r="B46" s="27" t="s">
        <v>39</v>
      </c>
      <c r="C46" s="30">
        <v>0</v>
      </c>
      <c r="D46" s="26">
        <f>prev accnt_act*CLO_Rate +prev accnt_clo</f>
        <v>3.7723738408171698E-2</v>
      </c>
      <c r="E46" s="26">
        <f>prev accnt_act*CLO_Rate +prev accnt_clo</f>
        <v>6.1040704111522834E-2</v>
      </c>
      <c r="F46" s="26">
        <f>prev accnt_act*CLO_Rate +prev accnt_clo</f>
        <v>8.4028382962471365E-2</v>
      </c>
      <c r="G46" s="26">
        <f>prev accnt_act*CLO_Rate +prev accnt_clo</f>
        <v>0.10672769871968611</v>
      </c>
      <c r="H46" s="26">
        <f>prev accnt_act*CLO_Rate +prev accnt_clo</f>
        <v>0.12860043181526212</v>
      </c>
      <c r="I46" s="26">
        <f>prev accnt_act*CLO_Rate +prev accnt_clo</f>
        <v>0.15015170699834995</v>
      </c>
      <c r="J46" s="26">
        <f>prev accnt_act*CLO_Rate +prev accnt_clo</f>
        <v>0.17139704882853338</v>
      </c>
      <c r="K46" s="26">
        <f>prev accnt_act*CLO_Rate +prev accnt_clo</f>
        <v>0.19234984864122784</v>
      </c>
      <c r="L46" s="26">
        <f>prev accnt_act*CLO_Rate +prev accnt_clo</f>
        <v>0.21302140216681131</v>
      </c>
      <c r="M46" s="26">
        <f>prev accnt_act*CLO_Rate +prev accnt_clo</f>
        <v>0.23342096731228901</v>
      </c>
      <c r="N46" s="26">
        <f>prev accnt_act*CLO_Rate +prev accnt_clo</f>
        <v>0.25355584009234422</v>
      </c>
      <c r="O46" s="26">
        <f>prev accnt_act*CLO_Rate +prev accnt_clo</f>
        <v>0.27343144662050339</v>
      </c>
      <c r="P46" s="26">
        <f>prev accnt_act*CLO_Rate +prev accnt_clo</f>
        <v>0.29305144902698999</v>
      </c>
      <c r="Q46" s="26">
        <f>prev accnt_act*CLO_Rate +prev accnt_clo</f>
        <v>0.31241786315598075</v>
      </c>
      <c r="R46" s="26">
        <f>prev accnt_act*CLO_Rate +prev accnt_clo</f>
        <v>0.33153118590938857</v>
      </c>
      <c r="S46" s="26">
        <f>prev accnt_act*CLO_Rate +prev accnt_clo</f>
        <v>0.35039053014469507</v>
      </c>
      <c r="T46" s="26">
        <f>prev accnt_act*CLO_Rate +prev accnt_clo</f>
        <v>0.36899376509823079</v>
      </c>
      <c r="U46" s="26">
        <f>prev accnt_act*CLO_Rate +prev accnt_clo</f>
        <v>0.38733766038998718</v>
      </c>
      <c r="V46" s="26">
        <f>prev accnt_act*CLO_Rate +prev accnt_clo</f>
        <v>0.40541803176878116</v>
      </c>
      <c r="W46" s="26">
        <f>prev accnt_act*CLO_Rate +prev accnt_clo</f>
        <v>0.42322988687455704</v>
      </c>
      <c r="X46" s="26">
        <f>prev accnt_act*CLO_Rate +prev accnt_clo</f>
        <v>0.4407675694249949</v>
      </c>
      <c r="Y46" s="26">
        <f>prev accnt_act*CLO_Rate +prev accnt_clo</f>
        <v>0.45802490037362975</v>
      </c>
      <c r="Z46" s="26">
        <f>prev accnt_act*CLO_Rate +prev accnt_clo</f>
        <v>0.47499531473369033</v>
      </c>
      <c r="AA46" s="26">
        <f>1-accnt_wro</f>
        <v>0.87888251048763943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 spans="1:87" s="3" customFormat="1" x14ac:dyDescent="0.3">
      <c r="A47" s="29" t="s">
        <v>90</v>
      </c>
      <c r="B47" s="34" t="s">
        <v>91</v>
      </c>
      <c r="C47" s="35">
        <v>0</v>
      </c>
      <c r="D47" s="36">
        <f>prev accnt_act*DEF_Rate+prev accnt_DEF</f>
        <v>0</v>
      </c>
      <c r="E47" s="36">
        <f>prev accnt_act*DEF_Rate+prev accnt_DEF</f>
        <v>0</v>
      </c>
      <c r="F47" s="36">
        <f>prev accnt_act*DEF_Rate+prev accnt_DEF</f>
        <v>0</v>
      </c>
      <c r="G47" s="36">
        <f>prev accnt_act*DEF_Rate+prev accnt_DEF</f>
        <v>2.2883608921536309E-2</v>
      </c>
      <c r="H47" s="36">
        <f>prev accnt_act*DEF_Rate+prev accnt_DEF</f>
        <v>2.7131452436891954E-2</v>
      </c>
      <c r="I47" s="36">
        <f>prev accnt_act*DEF_Rate+prev accnt_DEF</f>
        <v>3.1834926130864971E-2</v>
      </c>
      <c r="J47" s="36">
        <f>prev accnt_act*DEF_Rate+prev accnt_DEF</f>
        <v>3.6907796600553884E-2</v>
      </c>
      <c r="K47" s="36">
        <f>prev accnt_act*DEF_Rate+prev accnt_DEF</f>
        <v>4.2268803623233063E-2</v>
      </c>
      <c r="L47" s="36">
        <f>prev accnt_act*DEF_Rate+prev accnt_DEF</f>
        <v>4.784183220228256E-2</v>
      </c>
      <c r="M47" s="36">
        <f>prev accnt_act*DEF_Rate+prev accnt_DEF</f>
        <v>5.3556033983763046E-2</v>
      </c>
      <c r="N47" s="36">
        <f>prev accnt_act*DEF_Rate+prev accnt_DEF</f>
        <v>5.9345900369350661E-2</v>
      </c>
      <c r="O47" s="36">
        <f>prev accnt_act*DEF_Rate+prev accnt_DEF</f>
        <v>6.5151289984286848E-2</v>
      </c>
      <c r="P47" s="36">
        <f>prev accnt_act*DEF_Rate+prev accnt_DEF</f>
        <v>7.0917413437602786E-2</v>
      </c>
      <c r="Q47" s="36">
        <f>prev accnt_act*DEF_Rate+prev accnt_DEF</f>
        <v>7.659477853654266E-2</v>
      </c>
      <c r="R47" s="36">
        <f>prev accnt_act*DEF_Rate+prev accnt_DEF</f>
        <v>8.2139099288972423E-2</v>
      </c>
      <c r="S47" s="36">
        <f>prev accnt_act*DEF_Rate+prev accnt_DEF</f>
        <v>8.7511172148423536E-2</v>
      </c>
      <c r="T47" s="36">
        <f>prev accnt_act*DEF_Rate+prev accnt_DEF</f>
        <v>9.2676723028670513E-2</v>
      </c>
      <c r="U47" s="36">
        <f>prev accnt_act*DEF_Rate+prev accnt_DEF</f>
        <v>9.7606228641259285E-2</v>
      </c>
      <c r="V47" s="36">
        <f>prev accnt_act*DEF_Rate+prev accnt_DEF</f>
        <v>0.10227471569348882</v>
      </c>
      <c r="W47" s="36">
        <f>prev accnt_act*DEF_Rate+prev accnt_DEF</f>
        <v>0.10666154142962062</v>
      </c>
      <c r="X47" s="36">
        <f>prev accnt_act*DEF_Rate+prev accnt_DEF</f>
        <v>0.11075015890841675</v>
      </c>
      <c r="Y47" s="36">
        <f>prev accnt_act*DEF_Rate+prev accnt_DEF</f>
        <v>0.11452787028951296</v>
      </c>
      <c r="Z47" s="36">
        <f>prev accnt_act*DEF_Rate+prev accnt_DEF</f>
        <v>0.11798557125373174</v>
      </c>
      <c r="AA47" s="36">
        <f>prev accnt_act*DEF_Rate+prev accnt_DEF</f>
        <v>0.12111748951236054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</row>
    <row r="48" spans="1:87" s="3" customFormat="1" ht="15.75" customHeight="1" x14ac:dyDescent="0.3">
      <c r="A48" s="28"/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40"/>
      <c r="M48" s="40"/>
      <c r="N48" s="41"/>
      <c r="O48" s="41"/>
      <c r="P48" s="41"/>
      <c r="Q48" s="41"/>
      <c r="R48" s="42"/>
      <c r="S48" s="38"/>
      <c r="T48" s="38"/>
      <c r="U48" s="38"/>
      <c r="V48" s="38"/>
      <c r="W48" s="38"/>
      <c r="X48" s="38"/>
      <c r="Y48" s="38"/>
      <c r="Z48" s="38"/>
      <c r="AA48" s="3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</row>
    <row r="49" spans="1:87" s="3" customFormat="1" x14ac:dyDescent="0.3">
      <c r="A49" s="29" t="s">
        <v>103</v>
      </c>
      <c r="B49" s="27" t="s">
        <v>104</v>
      </c>
      <c r="C49" s="31">
        <v>0</v>
      </c>
      <c r="D49" s="43">
        <f>accnt_DEF-prev accnt_DEF</f>
        <v>0</v>
      </c>
      <c r="E49" s="43">
        <f>accnt_DEF-prev accnt_DEF</f>
        <v>0</v>
      </c>
      <c r="F49" s="43">
        <f>accnt_DEF-prev accnt_DEF</f>
        <v>0</v>
      </c>
      <c r="G49" s="43">
        <f>accnt_DEF-prev accnt_DEF</f>
        <v>2.2883608921536309E-2</v>
      </c>
      <c r="H49" s="43">
        <f>accnt_DEF-prev accnt_DEF</f>
        <v>4.2478435153556447E-3</v>
      </c>
      <c r="I49" s="43">
        <f>accnt_DEF-prev accnt_DEF</f>
        <v>4.7034736939730176E-3</v>
      </c>
      <c r="J49" s="43">
        <f>accnt_DEF-prev accnt_DEF</f>
        <v>5.0728704696889129E-3</v>
      </c>
      <c r="K49" s="43">
        <f>accnt_DEF-prev accnt_DEF</f>
        <v>5.3610070226791789E-3</v>
      </c>
      <c r="L49" s="43">
        <f>accnt_DEF-prev accnt_DEF</f>
        <v>5.5730285790494966E-3</v>
      </c>
      <c r="M49" s="43">
        <f>accnt_DEF-prev accnt_DEF</f>
        <v>5.7142017814804866E-3</v>
      </c>
      <c r="N49" s="43">
        <f>accnt_DEF-prev accnt_DEF</f>
        <v>5.7898663855876151E-3</v>
      </c>
      <c r="O49" s="43">
        <f>accnt_DEF-prev accnt_DEF</f>
        <v>5.8053896149361864E-3</v>
      </c>
      <c r="P49" s="43">
        <f>accnt_DEF-prev accnt_DEF</f>
        <v>5.7661234533159383E-3</v>
      </c>
      <c r="Q49" s="43">
        <f>accnt_DEF-prev accnt_DEF</f>
        <v>5.6773650989398738E-3</v>
      </c>
      <c r="R49" s="43">
        <f>accnt_DEF-prev accnt_DEF</f>
        <v>5.5443207524297627E-3</v>
      </c>
      <c r="S49" s="43">
        <f>accnt_DEF-prev accnt_DEF</f>
        <v>5.372072859451113E-3</v>
      </c>
      <c r="T49" s="43">
        <f>accnt_DEF-prev accnt_DEF</f>
        <v>5.1655508802469774E-3</v>
      </c>
      <c r="U49" s="43">
        <f>accnt_DEF-prev accnt_DEF</f>
        <v>4.9295056125887721E-3</v>
      </c>
      <c r="V49" s="43">
        <f>accnt_DEF-prev accnt_DEF</f>
        <v>4.6684870522295391E-3</v>
      </c>
      <c r="W49" s="43">
        <f>accnt_DEF-prev accnt_DEF</f>
        <v>4.3868257361317914E-3</v>
      </c>
      <c r="X49" s="43">
        <f>accnt_DEF-prev accnt_DEF</f>
        <v>4.0886174787961305E-3</v>
      </c>
      <c r="Y49" s="43">
        <f>accnt_DEF-prev accnt_DEF</f>
        <v>3.7777113810962132E-3</v>
      </c>
      <c r="Z49" s="43">
        <f>accnt_DEF-prev accnt_DEF</f>
        <v>3.4577009642187823E-3</v>
      </c>
      <c r="AA49" s="43">
        <f>accnt_DEF-prev accnt_DEF</f>
        <v>3.1319182586287964E-3</v>
      </c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</row>
    <row r="50" spans="1:87" x14ac:dyDescent="0.3">
      <c r="A50" s="29"/>
      <c r="B50" s="27"/>
      <c r="C50" s="44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87" ht="15.6" x14ac:dyDescent="0.3">
      <c r="A51" s="77" t="s">
        <v>79</v>
      </c>
      <c r="B51" s="27"/>
      <c r="C51" s="45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87" x14ac:dyDescent="0.3">
      <c r="A52" s="47" t="s">
        <v>35</v>
      </c>
      <c r="B52" s="27" t="s">
        <v>82</v>
      </c>
      <c r="C52" s="48">
        <f>initial_amount</f>
        <v>500000</v>
      </c>
      <c r="D52" s="49">
        <f>prev PB_model+int_model-regular_payment</f>
        <v>483564.45137337502</v>
      </c>
      <c r="E52" s="49">
        <f>prev PB_model+int_model-regular_payment</f>
        <v>466800.19177421753</v>
      </c>
      <c r="F52" s="49">
        <f>prev PB_model+int_model-regular_payment</f>
        <v>449700.64698307693</v>
      </c>
      <c r="G52" s="49">
        <f>prev PB_model+int_model-regular_payment</f>
        <v>432259.11129611358</v>
      </c>
      <c r="H52" s="49">
        <f>prev PB_model+int_model-regular_payment</f>
        <v>414468.74489541096</v>
      </c>
      <c r="I52" s="49">
        <f>prev PB_model+int_model-regular_payment</f>
        <v>396322.57116669428</v>
      </c>
      <c r="J52" s="49">
        <f>prev PB_model+int_model-regular_payment</f>
        <v>377813.47396340326</v>
      </c>
      <c r="K52" s="49">
        <f>prev PB_model+int_model-regular_payment</f>
        <v>358934.19481604639</v>
      </c>
      <c r="L52" s="49">
        <f>prev PB_model+int_model-regular_payment</f>
        <v>339677.3300857424</v>
      </c>
      <c r="M52" s="49">
        <f>prev PB_model+int_model-regular_payment</f>
        <v>320035.32806083234</v>
      </c>
      <c r="N52" s="49">
        <f>prev PB_model+int_model-regular_payment</f>
        <v>300000.48599542398</v>
      </c>
      <c r="O52" s="49">
        <f>prev PB_model+int_model-regular_payment</f>
        <v>279564.94708870747</v>
      </c>
      <c r="P52" s="49">
        <f>prev PB_model+int_model-regular_payment</f>
        <v>258720.6974038567</v>
      </c>
      <c r="Q52" s="49">
        <f>prev PB_model+int_model-regular_payment</f>
        <v>237459.5627253089</v>
      </c>
      <c r="R52" s="49">
        <f>prev PB_model+int_model-regular_payment</f>
        <v>215773.20535319013</v>
      </c>
      <c r="S52" s="49">
        <f>prev PB_model+int_model-regular_payment</f>
        <v>193653.12083362899</v>
      </c>
      <c r="T52" s="49">
        <f>prev PB_model+int_model-regular_payment</f>
        <v>171090.63462367663</v>
      </c>
      <c r="U52" s="49">
        <f>prev PB_model+int_model-regular_payment</f>
        <v>148076.8986895252</v>
      </c>
      <c r="V52" s="49">
        <f>prev PB_model+int_model-regular_payment</f>
        <v>124602.88803669077</v>
      </c>
      <c r="W52" s="49">
        <f>prev PB_model+int_model-regular_payment</f>
        <v>100659.39717079964</v>
      </c>
      <c r="X52" s="49">
        <f>prev PB_model+int_model-regular_payment</f>
        <v>76237.036487590682</v>
      </c>
      <c r="Y52" s="49">
        <f>prev PB_model+int_model-regular_payment</f>
        <v>51326.228590717539</v>
      </c>
      <c r="Z52" s="49">
        <f>prev PB_model+int_model-regular_payment</f>
        <v>25917.204535906938</v>
      </c>
      <c r="AA52" s="49">
        <f>prev PB_model+int_model-regular_payment</f>
        <v>1.2732925824820995E-10</v>
      </c>
    </row>
    <row r="53" spans="1:87" x14ac:dyDescent="0.3">
      <c r="A53" s="47" t="s">
        <v>80</v>
      </c>
      <c r="B53" s="50" t="s">
        <v>81</v>
      </c>
      <c r="C53" s="51">
        <f>PB*accnt_cur</f>
        <v>500000</v>
      </c>
      <c r="D53" s="51">
        <f>prev PB_model*interest_rate/12</f>
        <v>10000</v>
      </c>
      <c r="E53" s="51">
        <f>prev PB_model*interest_rate/12</f>
        <v>9671.2890274674992</v>
      </c>
      <c r="F53" s="51">
        <f>prev PB_model*interest_rate/12</f>
        <v>9336.0038354843509</v>
      </c>
      <c r="G53" s="51">
        <f>prev PB_model*interest_rate/12</f>
        <v>8994.0129396615393</v>
      </c>
      <c r="H53" s="51">
        <f>prev PB_model*interest_rate/12</f>
        <v>8645.1822259222718</v>
      </c>
      <c r="I53" s="51">
        <f>prev PB_model*interest_rate/12</f>
        <v>8289.3748979082193</v>
      </c>
      <c r="J53" s="51">
        <f>prev PB_model*interest_rate/12</f>
        <v>7926.451423333885</v>
      </c>
      <c r="K53" s="51">
        <f>prev PB_model*interest_rate/12</f>
        <v>7556.2694792680641</v>
      </c>
      <c r="L53" s="51">
        <f>prev PB_model*interest_rate/12</f>
        <v>7178.6838963209275</v>
      </c>
      <c r="M53" s="51">
        <f>prev PB_model*interest_rate/12</f>
        <v>6793.5466017148474</v>
      </c>
      <c r="N53" s="51">
        <f>prev PB_model*interest_rate/12</f>
        <v>6400.7065612166471</v>
      </c>
      <c r="O53" s="51">
        <f>prev PB_model*interest_rate/12</f>
        <v>6000.0097199084785</v>
      </c>
      <c r="P53" s="51">
        <f>prev PB_model*interest_rate/12</f>
        <v>5591.2989417741492</v>
      </c>
      <c r="Q53" s="51">
        <f>prev PB_model*interest_rate/12</f>
        <v>5174.4139480771337</v>
      </c>
      <c r="R53" s="51">
        <f>prev PB_model*interest_rate/12</f>
        <v>4749.1912545061778</v>
      </c>
      <c r="S53" s="51">
        <f>prev PB_model*interest_rate/12</f>
        <v>4315.4641070638027</v>
      </c>
      <c r="T53" s="51">
        <f>prev PB_model*interest_rate/12</f>
        <v>3873.0624166725793</v>
      </c>
      <c r="U53" s="51">
        <f>prev PB_model*interest_rate/12</f>
        <v>3421.812692473532</v>
      </c>
      <c r="V53" s="51">
        <f>prev PB_model*interest_rate/12</f>
        <v>2961.5379737905041</v>
      </c>
      <c r="W53" s="51">
        <f>prev PB_model*interest_rate/12</f>
        <v>2492.057760733815</v>
      </c>
      <c r="X53" s="51">
        <f>prev PB_model*interest_rate/12</f>
        <v>2013.1879434159928</v>
      </c>
      <c r="Y53" s="51">
        <f>prev PB_model*interest_rate/12</f>
        <v>1524.7407297518137</v>
      </c>
      <c r="Z53" s="51">
        <f>prev PB_model*interest_rate/12</f>
        <v>1026.5245718143508</v>
      </c>
      <c r="AA53" s="51">
        <f>prev PB_model*interest_rate/12</f>
        <v>518.34409071813877</v>
      </c>
    </row>
    <row r="54" spans="1:87" x14ac:dyDescent="0.3">
      <c r="A54" s="47"/>
      <c r="B54" s="27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87" ht="15.6" x14ac:dyDescent="0.3">
      <c r="A55" s="77" t="s">
        <v>83</v>
      </c>
      <c r="B55" s="52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87" x14ac:dyDescent="0.3">
      <c r="A56" s="47" t="s">
        <v>84</v>
      </c>
      <c r="B56" s="27" t="s">
        <v>85</v>
      </c>
      <c r="C56" s="48">
        <f t="shared" ref="C56:AA56" si="3">PB_cur+PB_dlq</f>
        <v>500000</v>
      </c>
      <c r="D56" s="48">
        <f>PB_cur+PB_dlq</f>
        <v>466522.49555164151</v>
      </c>
      <c r="E56" s="48">
        <f t="shared" si="3"/>
        <v>439692.45111474587</v>
      </c>
      <c r="F56" s="48">
        <f t="shared" si="3"/>
        <v>413445.26350844005</v>
      </c>
      <c r="G56" s="48">
        <f t="shared" si="3"/>
        <v>377508.76144072629</v>
      </c>
      <c r="H56" s="48">
        <f t="shared" si="3"/>
        <v>351277.65965270577</v>
      </c>
      <c r="I56" s="48">
        <f t="shared" si="3"/>
        <v>325622.74475609208</v>
      </c>
      <c r="J56" s="48">
        <f t="shared" si="3"/>
        <v>300600.43459636054</v>
      </c>
      <c r="K56" s="48">
        <f t="shared" si="3"/>
        <v>276261.77188733511</v>
      </c>
      <c r="L56" s="48">
        <f t="shared" si="3"/>
        <v>252652.38343385526</v>
      </c>
      <c r="M56" s="48">
        <f t="shared" si="3"/>
        <v>229812.47993948869</v>
      </c>
      <c r="N56" s="48">
        <f t="shared" si="3"/>
        <v>207776.89421247842</v>
      </c>
      <c r="O56" s="48">
        <f t="shared" si="3"/>
        <v>186575.15533288845</v>
      </c>
      <c r="P56" s="48">
        <f t="shared" si="3"/>
        <v>166231.59613609657</v>
      </c>
      <c r="Q56" s="48">
        <f t="shared" si="3"/>
        <v>146765.49120223429</v>
      </c>
      <c r="R56" s="48">
        <f t="shared" si="3"/>
        <v>128191.22241718665</v>
      </c>
      <c r="S56" s="48">
        <f t="shared" si="3"/>
        <v>110518.46908710052</v>
      </c>
      <c r="T56" s="48">
        <f t="shared" si="3"/>
        <v>93752.419543294949</v>
      </c>
      <c r="U56" s="48">
        <f t="shared" si="3"/>
        <v>77894.001165920927</v>
      </c>
      <c r="V56" s="48">
        <f t="shared" si="3"/>
        <v>62940.125780200709</v>
      </c>
      <c r="W56" s="48">
        <f t="shared" si="3"/>
        <v>48883.947435857823</v>
      </c>
      <c r="X56" s="48">
        <f t="shared" si="3"/>
        <v>35715.129665460932</v>
      </c>
      <c r="Y56" s="48">
        <f t="shared" si="3"/>
        <v>23420.119427721853</v>
      </c>
      <c r="Z56" s="48">
        <f t="shared" si="3"/>
        <v>11982.42507409823</v>
      </c>
      <c r="AA56" s="48">
        <f t="shared" si="3"/>
        <v>0</v>
      </c>
    </row>
    <row r="57" spans="1:87" x14ac:dyDescent="0.3">
      <c r="A57" s="32" t="s">
        <v>86</v>
      </c>
      <c r="B57" s="33" t="s">
        <v>44</v>
      </c>
      <c r="C57" s="48">
        <f t="shared" ref="C57:AA57" si="4">PB_model*accnt_cur</f>
        <v>500000</v>
      </c>
      <c r="D57" s="48">
        <f>PB_model*accnt_cur</f>
        <v>430019.21012364613</v>
      </c>
      <c r="E57" s="48">
        <f t="shared" si="4"/>
        <v>399711.2631776295</v>
      </c>
      <c r="F57" s="48">
        <f t="shared" si="4"/>
        <v>371616.81342275866</v>
      </c>
      <c r="G57" s="48">
        <f t="shared" si="4"/>
        <v>344626.81230770913</v>
      </c>
      <c r="H57" s="48">
        <f t="shared" si="4"/>
        <v>318356.82861467462</v>
      </c>
      <c r="I57" s="48">
        <f t="shared" si="4"/>
        <v>293061.61098895944</v>
      </c>
      <c r="J57" s="48">
        <f t="shared" si="4"/>
        <v>268753.09027065581</v>
      </c>
      <c r="K57" s="48">
        <f t="shared" si="4"/>
        <v>245438.49757039855</v>
      </c>
      <c r="L57" s="48">
        <f t="shared" si="4"/>
        <v>223120.66676969666</v>
      </c>
      <c r="M57" s="48">
        <f t="shared" si="4"/>
        <v>201798.34410429947</v>
      </c>
      <c r="N57" s="48">
        <f t="shared" si="4"/>
        <v>181466.50143235183</v>
      </c>
      <c r="O57" s="48">
        <f t="shared" si="4"/>
        <v>162116.6500563625</v>
      </c>
      <c r="P57" s="48">
        <f t="shared" si="4"/>
        <v>143737.15225049932</v>
      </c>
      <c r="Q57" s="48">
        <f t="shared" si="4"/>
        <v>126313.52793690849</v>
      </c>
      <c r="R57" s="48">
        <f t="shared" si="4"/>
        <v>109828.75425143822</v>
      </c>
      <c r="S57" s="48">
        <f t="shared" si="4"/>
        <v>94263.556035572285</v>
      </c>
      <c r="T57" s="48">
        <f t="shared" si="4"/>
        <v>79596.685583279163</v>
      </c>
      <c r="U57" s="48">
        <f t="shared" si="4"/>
        <v>65805.190255063164</v>
      </c>
      <c r="V57" s="48">
        <f t="shared" si="4"/>
        <v>52864.666843496023</v>
      </c>
      <c r="W57" s="48">
        <f t="shared" si="4"/>
        <v>40749.501832185153</v>
      </c>
      <c r="X57" s="48">
        <f t="shared" si="4"/>
        <v>29433.096931251814</v>
      </c>
      <c r="Y57" s="48">
        <f t="shared" si="4"/>
        <v>18888.079495245202</v>
      </c>
      <c r="Z57" s="48">
        <f t="shared" si="4"/>
        <v>9086.4976327527638</v>
      </c>
      <c r="AA57" s="48">
        <f t="shared" si="4"/>
        <v>0</v>
      </c>
    </row>
    <row r="58" spans="1:87" x14ac:dyDescent="0.3">
      <c r="A58" s="32" t="s">
        <v>87</v>
      </c>
      <c r="B58" s="33" t="s">
        <v>43</v>
      </c>
      <c r="C58" s="48">
        <f>0</f>
        <v>0</v>
      </c>
      <c r="D58" s="49">
        <f>prev PB_model*accnt_dlq</f>
        <v>36503.28542799539</v>
      </c>
      <c r="E58" s="49">
        <f>prev PB_model*accnt_dlq</f>
        <v>39981.187937116367</v>
      </c>
      <c r="F58" s="49">
        <f>prev PB_model*accnt_dlq</f>
        <v>41828.450085681383</v>
      </c>
      <c r="G58" s="49">
        <f>prev PB_model*accnt_dlq</f>
        <v>32881.94913301718</v>
      </c>
      <c r="H58" s="49">
        <f>prev PB_model*accnt_dlq</f>
        <v>32920.831038031123</v>
      </c>
      <c r="I58" s="49">
        <f>prev PB_model*accnt_dlq</f>
        <v>32561.133767132669</v>
      </c>
      <c r="J58" s="49">
        <f>prev PB_model*accnt_dlq</f>
        <v>31847.344325704755</v>
      </c>
      <c r="K58" s="49">
        <f>prev PB_model*accnt_dlq</f>
        <v>30823.274316936575</v>
      </c>
      <c r="L58" s="49">
        <f>prev PB_model*accnt_dlq</f>
        <v>29531.716664158601</v>
      </c>
      <c r="M58" s="49">
        <f>prev PB_model*accnt_dlq</f>
        <v>28014.135835189241</v>
      </c>
      <c r="N58" s="49">
        <f>prev PB_model*accnt_dlq</f>
        <v>26310.392780126604</v>
      </c>
      <c r="O58" s="49">
        <f>prev PB_model*accnt_dlq</f>
        <v>24458.505276525957</v>
      </c>
      <c r="P58" s="49">
        <f>prev PB_model*accnt_dlq</f>
        <v>22494.443885597269</v>
      </c>
      <c r="Q58" s="49">
        <f>prev PB_model*accnt_dlq</f>
        <v>20451.963265325787</v>
      </c>
      <c r="R58" s="49">
        <f>prev PB_model*accnt_dlq</f>
        <v>18362.46816574844</v>
      </c>
      <c r="S58" s="49">
        <f>prev PB_model*accnt_dlq</f>
        <v>16254.913051528232</v>
      </c>
      <c r="T58" s="49">
        <f>prev PB_model*accnt_dlq</f>
        <v>14155.733960015785</v>
      </c>
      <c r="U58" s="49">
        <f>prev PB_model*accnt_dlq</f>
        <v>12088.810910857763</v>
      </c>
      <c r="V58" s="49">
        <f>prev PB_model*accnt_dlq</f>
        <v>10075.458936704686</v>
      </c>
      <c r="W58" s="49">
        <f>prev PB_model*accnt_dlq</f>
        <v>8134.4456036726688</v>
      </c>
      <c r="X58" s="49">
        <f>prev PB_model*accnt_dlq</f>
        <v>6282.0327342091223</v>
      </c>
      <c r="Y58" s="49">
        <f>prev PB_model*accnt_dlq</f>
        <v>4532.0399324766504</v>
      </c>
      <c r="Z58" s="49">
        <f>prev PB_model*accnt_dlq</f>
        <v>2895.9274413454664</v>
      </c>
      <c r="AA58" s="49">
        <f>prev PB_model*accnt_dlq</f>
        <v>0</v>
      </c>
    </row>
    <row r="59" spans="1:87" x14ac:dyDescent="0.3">
      <c r="A59" s="47" t="s">
        <v>88</v>
      </c>
      <c r="B59" s="50" t="s">
        <v>89</v>
      </c>
      <c r="C59" s="51">
        <v>0</v>
      </c>
      <c r="D59" s="51">
        <v>0</v>
      </c>
      <c r="E59" s="51">
        <v>0</v>
      </c>
      <c r="F59" s="51">
        <v>0</v>
      </c>
      <c r="G59" s="51">
        <f>prev_ PB_model *accnt_b_def+ prev PB_def</f>
        <v>11441.804460768155</v>
      </c>
      <c r="H59" s="51">
        <f>prev_ PB_model *accnt_b_def+ prev PB_def</f>
        <v>13495.910579791056</v>
      </c>
      <c r="I59" s="51">
        <f>prev_ PB_model *accnt_b_def+ prev PB_def</f>
        <v>15691.493002142648</v>
      </c>
      <c r="J59" s="51">
        <f>prev_ PB_model *accnt_b_def+ prev PB_def</f>
        <v>17972.766134423098</v>
      </c>
      <c r="K59" s="51">
        <f>prev_ PB_model *accnt_b_def+ prev PB_def</f>
        <v>20290.110265698626</v>
      </c>
      <c r="L59" s="51">
        <f>prev_ PB_model *accnt_b_def+ prev PB_def</f>
        <v>22599.956426123528</v>
      </c>
      <c r="M59" s="51">
        <f>prev_ PB_model *accnt_b_def+ prev PB_def</f>
        <v>24864.62356832518</v>
      </c>
      <c r="N59" s="51">
        <f>prev_ PB_model *accnt_b_def+ prev PB_def</f>
        <v>27052.113101247971</v>
      </c>
      <c r="O59" s="51">
        <f>prev_ PB_model *accnt_b_def+ prev PB_def</f>
        <v>29135.86594827853</v>
      </c>
      <c r="P59" s="51">
        <f>prev_ PB_model *accnt_b_def+ prev PB_def</f>
        <v>31094.487367845668</v>
      </c>
      <c r="Q59" s="51">
        <f>prev_ PB_model *accnt_b_def+ prev PB_def</f>
        <v>32911.44476980601</v>
      </c>
      <c r="R59" s="51">
        <f>prev_ PB_model *accnt_b_def+ prev PB_def</f>
        <v>34574.74369004945</v>
      </c>
      <c r="S59" s="51">
        <f>prev_ PB_model *accnt_b_def+ prev PB_def</f>
        <v>36076.586954758583</v>
      </c>
      <c r="T59" s="51">
        <f>prev_ PB_model *accnt_b_def+ prev PB_def</f>
        <v>37413.021880971188</v>
      </c>
      <c r="U59" s="51">
        <f>prev_ PB_model *accnt_b_def+ prev PB_def</f>
        <v>38583.580128188471</v>
      </c>
      <c r="V59" s="51">
        <f>prev_ PB_model *accnt_b_def+ prev PB_def</f>
        <v>39590.914543597901</v>
      </c>
      <c r="W59" s="51">
        <f>prev_ PB_model *accnt_b_def+ prev PB_def</f>
        <v>40440.437037953103</v>
      </c>
      <c r="X59" s="51">
        <f>prev_ PB_model *accnt_b_def+ prev PB_def</f>
        <v>41139.961197133787</v>
      </c>
      <c r="Y59" s="51">
        <f>prev_ PB_model *accnt_b_def+ prev PB_def</f>
        <v>41699.352982590637</v>
      </c>
      <c r="Z59" s="51">
        <f>prev_ PB_model *accnt_b_def+ prev PB_def</f>
        <v>42130.192508699547</v>
      </c>
      <c r="AA59" s="51">
        <f>prev_ PB_model *accnt_b_def+ prev PB_def</f>
        <v>42445.449512601343</v>
      </c>
    </row>
    <row r="60" spans="1:87" x14ac:dyDescent="0.3">
      <c r="A60" s="47"/>
      <c r="B60" s="27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87" ht="15.6" x14ac:dyDescent="0.3">
      <c r="A61" s="77" t="s">
        <v>65</v>
      </c>
      <c r="B61" s="2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87" x14ac:dyDescent="0.3">
      <c r="A62" s="29" t="s">
        <v>111</v>
      </c>
      <c r="B62" s="27" t="s">
        <v>11</v>
      </c>
      <c r="C62" s="53">
        <f t="shared" ref="C62:H62" si="5">GB_cur+GB_dlq</f>
        <v>500000</v>
      </c>
      <c r="D62" s="53">
        <f t="shared" si="5"/>
        <v>467252.56126020144</v>
      </c>
      <c r="E62" s="53">
        <f t="shared" si="5"/>
        <v>440492.07487348816</v>
      </c>
      <c r="F62" s="53">
        <f t="shared" si="5"/>
        <v>414281.83251015365</v>
      </c>
      <c r="G62" s="53">
        <f t="shared" si="5"/>
        <v>378166.40042338666</v>
      </c>
      <c r="H62" s="53">
        <f t="shared" si="5"/>
        <v>351936.0762734664</v>
      </c>
      <c r="I62" s="53">
        <f t="shared" ref="I62:AA62" si="6">GB_cur+GB_dlq</f>
        <v>326273.96743143478</v>
      </c>
      <c r="J62" s="53">
        <f t="shared" si="6"/>
        <v>301237.38148287468</v>
      </c>
      <c r="K62" s="53">
        <f t="shared" si="6"/>
        <v>276878.23737367388</v>
      </c>
      <c r="L62" s="53">
        <f t="shared" si="6"/>
        <v>253243.01776713843</v>
      </c>
      <c r="M62" s="53">
        <f t="shared" si="6"/>
        <v>230372.7626561925</v>
      </c>
      <c r="N62" s="53">
        <f t="shared" si="6"/>
        <v>208303.10206808097</v>
      </c>
      <c r="O62" s="53">
        <f t="shared" si="6"/>
        <v>187064.32543841898</v>
      </c>
      <c r="P62" s="53">
        <f t="shared" si="6"/>
        <v>166681.48501380853</v>
      </c>
      <c r="Q62" s="53">
        <f t="shared" si="6"/>
        <v>147174.53046754078</v>
      </c>
      <c r="R62" s="53">
        <f t="shared" si="6"/>
        <v>128558.47178050163</v>
      </c>
      <c r="S62" s="53">
        <f t="shared" si="6"/>
        <v>110843.56734813108</v>
      </c>
      <c r="T62" s="53">
        <f t="shared" si="6"/>
        <v>94035.534222495262</v>
      </c>
      <c r="U62" s="53">
        <f t="shared" si="6"/>
        <v>78135.777384138084</v>
      </c>
      <c r="V62" s="53">
        <f t="shared" si="6"/>
        <v>63141.634958934803</v>
      </c>
      <c r="W62" s="53">
        <f t="shared" si="6"/>
        <v>49046.636347931279</v>
      </c>
      <c r="X62" s="53">
        <f t="shared" si="6"/>
        <v>35840.770320145122</v>
      </c>
      <c r="Y62" s="53">
        <f t="shared" si="6"/>
        <v>23510.760226371385</v>
      </c>
      <c r="Z62" s="53">
        <f t="shared" si="6"/>
        <v>12040.343622925138</v>
      </c>
      <c r="AA62" s="53">
        <f t="shared" si="6"/>
        <v>0</v>
      </c>
    </row>
    <row r="63" spans="1:87" x14ac:dyDescent="0.3">
      <c r="A63" s="32" t="s">
        <v>115</v>
      </c>
      <c r="B63" s="33" t="s">
        <v>12</v>
      </c>
      <c r="C63" s="53">
        <f t="shared" ref="C63:AA63" si="7">PB_model*accnt_cur</f>
        <v>500000</v>
      </c>
      <c r="D63" s="53">
        <f t="shared" si="7"/>
        <v>430019.21012364613</v>
      </c>
      <c r="E63" s="53">
        <f t="shared" si="7"/>
        <v>399711.2631776295</v>
      </c>
      <c r="F63" s="53">
        <f t="shared" si="7"/>
        <v>371616.81342275866</v>
      </c>
      <c r="G63" s="53">
        <f t="shared" si="7"/>
        <v>344626.81230770913</v>
      </c>
      <c r="H63" s="53">
        <f t="shared" si="7"/>
        <v>318356.82861467462</v>
      </c>
      <c r="I63" s="53">
        <f t="shared" si="7"/>
        <v>293061.61098895944</v>
      </c>
      <c r="J63" s="53">
        <f t="shared" si="7"/>
        <v>268753.09027065581</v>
      </c>
      <c r="K63" s="53">
        <f t="shared" si="7"/>
        <v>245438.49757039855</v>
      </c>
      <c r="L63" s="53">
        <f t="shared" si="7"/>
        <v>223120.66676969666</v>
      </c>
      <c r="M63" s="53">
        <f t="shared" si="7"/>
        <v>201798.34410429947</v>
      </c>
      <c r="N63" s="53">
        <f t="shared" si="7"/>
        <v>181466.50143235183</v>
      </c>
      <c r="O63" s="53">
        <f t="shared" si="7"/>
        <v>162116.6500563625</v>
      </c>
      <c r="P63" s="53">
        <f t="shared" si="7"/>
        <v>143737.15225049932</v>
      </c>
      <c r="Q63" s="53">
        <f t="shared" si="7"/>
        <v>126313.52793690849</v>
      </c>
      <c r="R63" s="53">
        <f t="shared" si="7"/>
        <v>109828.75425143822</v>
      </c>
      <c r="S63" s="53">
        <f t="shared" si="7"/>
        <v>94263.556035572285</v>
      </c>
      <c r="T63" s="53">
        <f t="shared" si="7"/>
        <v>79596.685583279163</v>
      </c>
      <c r="U63" s="53">
        <f t="shared" si="7"/>
        <v>65805.190255063164</v>
      </c>
      <c r="V63" s="53">
        <f t="shared" si="7"/>
        <v>52864.666843496023</v>
      </c>
      <c r="W63" s="53">
        <f t="shared" si="7"/>
        <v>40749.501832185153</v>
      </c>
      <c r="X63" s="53">
        <f t="shared" si="7"/>
        <v>29433.096931251814</v>
      </c>
      <c r="Y63" s="53">
        <f t="shared" si="7"/>
        <v>18888.079495245202</v>
      </c>
      <c r="Z63" s="53">
        <f t="shared" si="7"/>
        <v>9086.4976327527638</v>
      </c>
      <c r="AA63" s="53">
        <f t="shared" si="7"/>
        <v>0</v>
      </c>
    </row>
    <row r="64" spans="1:87" x14ac:dyDescent="0.3">
      <c r="A64" s="32" t="s">
        <v>13</v>
      </c>
      <c r="B64" s="33" t="s">
        <v>14</v>
      </c>
      <c r="C64" s="48">
        <f>0</f>
        <v>0</v>
      </c>
      <c r="D64" s="49">
        <f>(PB_model+regular_payment)*accnt_dlq</f>
        <v>37233.351136555299</v>
      </c>
      <c r="E64" s="49">
        <f t="shared" ref="E64:AA64" si="8">(PB_model+regular_payment)*accnt_dlq</f>
        <v>40780.811695858691</v>
      </c>
      <c r="F64" s="49">
        <f t="shared" si="8"/>
        <v>42665.019087395012</v>
      </c>
      <c r="G64" s="49">
        <f t="shared" si="8"/>
        <v>33539.588115677529</v>
      </c>
      <c r="H64" s="49">
        <f t="shared" si="8"/>
        <v>33579.247658791755</v>
      </c>
      <c r="I64" s="49">
        <f t="shared" si="8"/>
        <v>33212.356442475328</v>
      </c>
      <c r="J64" s="49">
        <f t="shared" si="8"/>
        <v>32484.291212218857</v>
      </c>
      <c r="K64" s="49">
        <f t="shared" si="8"/>
        <v>31439.739803275312</v>
      </c>
      <c r="L64" s="49">
        <f t="shared" si="8"/>
        <v>30122.350997441776</v>
      </c>
      <c r="M64" s="49">
        <f t="shared" si="8"/>
        <v>28574.418551893032</v>
      </c>
      <c r="N64" s="49">
        <f t="shared" si="8"/>
        <v>26836.600635729134</v>
      </c>
      <c r="O64" s="49">
        <f t="shared" si="8"/>
        <v>24947.675382056477</v>
      </c>
      <c r="P64" s="49">
        <f t="shared" si="8"/>
        <v>22944.332763309216</v>
      </c>
      <c r="Q64" s="49">
        <f t="shared" si="8"/>
        <v>20861.002530632304</v>
      </c>
      <c r="R64" s="49">
        <f t="shared" si="8"/>
        <v>18729.717529063411</v>
      </c>
      <c r="S64" s="49">
        <f t="shared" si="8"/>
        <v>16580.011312558796</v>
      </c>
      <c r="T64" s="49">
        <f t="shared" si="8"/>
        <v>14438.848639216101</v>
      </c>
      <c r="U64" s="49">
        <f t="shared" si="8"/>
        <v>12330.587129074918</v>
      </c>
      <c r="V64" s="49">
        <f t="shared" si="8"/>
        <v>10276.968115438782</v>
      </c>
      <c r="W64" s="49">
        <f t="shared" si="8"/>
        <v>8297.1345157461237</v>
      </c>
      <c r="X64" s="49">
        <f t="shared" si="8"/>
        <v>6407.6733888933049</v>
      </c>
      <c r="Y64" s="49">
        <f t="shared" si="8"/>
        <v>4622.6807311261828</v>
      </c>
      <c r="Z64" s="49">
        <f t="shared" si="8"/>
        <v>2953.8459901723754</v>
      </c>
      <c r="AA64" s="49">
        <f t="shared" si="8"/>
        <v>0</v>
      </c>
    </row>
    <row r="65" spans="1:87" s="4" customFormat="1" x14ac:dyDescent="0.3">
      <c r="A65" s="51" t="s">
        <v>92</v>
      </c>
      <c r="B65" s="50" t="s">
        <v>93</v>
      </c>
      <c r="C65" s="51">
        <v>0</v>
      </c>
      <c r="D65" s="51">
        <v>0</v>
      </c>
      <c r="E65" s="51">
        <v>0</v>
      </c>
      <c r="F65" s="51">
        <v>0</v>
      </c>
      <c r="G65" s="51">
        <f>(PB_model +4*regular_payment)*accnt_b_def+ prev GB_DEF</f>
        <v>12311.411481262867</v>
      </c>
      <c r="H65" s="51">
        <f>(PB_model +4*regular_payment)*accnt_b_def+ prev GB_DEF</f>
        <v>14521.186146818342</v>
      </c>
      <c r="I65" s="51">
        <f>(PB_model +4*regular_payment)*accnt_b_def+ prev GB_DEF</f>
        <v>16882.634564832937</v>
      </c>
      <c r="J65" s="51">
        <f>(PB_model +4*regular_payment)*accnt_b_def+ prev GB_DEF</f>
        <v>19335.649835864591</v>
      </c>
      <c r="K65" s="51">
        <f>(PB_model +4*regular_payment)*accnt_b_def+ prev GB_DEF</f>
        <v>21826.783222295966</v>
      </c>
      <c r="L65" s="51">
        <f>(PB_model +4*regular_payment)*accnt_b_def+ prev GB_DEF</f>
        <v>24309.118962515171</v>
      </c>
      <c r="M65" s="51">
        <f>(PB_model +4*regular_payment)*accnt_b_def+ prev GB_DEF</f>
        <v>26742.097640483767</v>
      </c>
      <c r="N65" s="51">
        <f>(PB_model +4*regular_payment)*accnt_b_def+ prev GB_DEF</f>
        <v>29091.293547520072</v>
      </c>
      <c r="O65" s="51">
        <f>(PB_model +4*regular_payment)*accnt_b_def+ prev GB_DEF</f>
        <v>31328.151625897633</v>
      </c>
      <c r="P65" s="51">
        <f>(PB_model +4*regular_payment)*accnt_b_def+ prev GB_DEF</f>
        <v>33429.68965480529</v>
      </c>
      <c r="Q65" s="51">
        <f>(PB_model +4*regular_payment)*accnt_b_def+ prev GB_DEF</f>
        <v>35378.171333207996</v>
      </c>
      <c r="R65" s="51">
        <f>(PB_model +4*regular_payment)*accnt_b_def+ prev GB_DEF</f>
        <v>37160.755836875825</v>
      </c>
      <c r="S65" s="51">
        <f>(PB_model +4*regular_payment)*accnt_b_def+ prev GB_DEF</f>
        <v>38769.129284661336</v>
      </c>
      <c r="T65" s="51">
        <f>(PB_model +4*regular_payment)*accnt_b_def+ prev GB_DEF</f>
        <v>40199.123348855981</v>
      </c>
      <c r="U65" s="51">
        <f>(PB_model +4*regular_payment)*accnt_b_def+ prev GB_DEF</f>
        <v>41450.325993347979</v>
      </c>
      <c r="V65" s="51">
        <f>(PB_model +4*regular_payment)*accnt_b_def+ prev GB_DEF</f>
        <v>42525.689028745604</v>
      </c>
      <c r="W65" s="51">
        <f>(PB_model +4*regular_payment)*accnt_b_def+ prev GB_DEF</f>
        <v>43431.136843094144</v>
      </c>
      <c r="X65" s="51">
        <f>(PB_model +4*regular_payment)*accnt_b_def+ prev GB_DEF</f>
        <v>44175.180307714458</v>
      </c>
      <c r="Y65" s="51">
        <f>(PB_model +4*regular_payment)*accnt_b_def+ prev GB_DEF</f>
        <v>44768.539477259648</v>
      </c>
      <c r="Z65" s="51">
        <f>(PB_model +4*regular_payment)*accnt_b_def+ prev GB_DEF</f>
        <v>45223.77830827704</v>
      </c>
      <c r="AA65" s="51">
        <f>(PB_model +4*regular_payment)*accnt_b_def+ prev GB_DEF</f>
        <v>45554.954217959428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</row>
    <row r="66" spans="1:87" x14ac:dyDescent="0.3">
      <c r="A66" s="29"/>
      <c r="B66" s="27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1:87" ht="15.6" x14ac:dyDescent="0.3">
      <c r="A67" s="77" t="s">
        <v>96</v>
      </c>
      <c r="B67" s="27"/>
      <c r="C67" s="53"/>
      <c r="D67" s="53"/>
      <c r="E67" s="53"/>
      <c r="F67" s="53"/>
      <c r="G67" s="53"/>
      <c r="H67" s="53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87" x14ac:dyDescent="0.3">
      <c r="A68" s="45" t="s">
        <v>94</v>
      </c>
      <c r="B68" s="27" t="s">
        <v>97</v>
      </c>
      <c r="C68" s="53">
        <f t="shared" ref="C68" si="9">interest+recovery_st</f>
        <v>0</v>
      </c>
      <c r="D68" s="53">
        <f t="shared" ref="D68:AA68" si="10">interest+recovery_st+insurance</f>
        <v>14000</v>
      </c>
      <c r="E68" s="53">
        <f t="shared" si="10"/>
        <v>11663.062388791039</v>
      </c>
      <c r="F68" s="53">
        <f t="shared" si="10"/>
        <v>10992.311277868646</v>
      </c>
      <c r="G68" s="53">
        <f t="shared" si="10"/>
        <v>12798.413883963574</v>
      </c>
      <c r="H68" s="53">
        <f t="shared" si="10"/>
        <v>9879.6739691292514</v>
      </c>
      <c r="I68" s="53">
        <f t="shared" si="10"/>
        <v>9254.2311749205637</v>
      </c>
      <c r="J68" s="53">
        <f t="shared" si="10"/>
        <v>8631.1716731086326</v>
      </c>
      <c r="K68" s="53">
        <f t="shared" si="10"/>
        <v>8013.2375421952884</v>
      </c>
      <c r="L68" s="53">
        <f t="shared" si="10"/>
        <v>7403.0114452272182</v>
      </c>
      <c r="M68" s="53">
        <f t="shared" si="10"/>
        <v>6802.9053214400992</v>
      </c>
      <c r="N68" s="53">
        <f t="shared" si="10"/>
        <v>6215.1511798944784</v>
      </c>
      <c r="O68" s="53">
        <f t="shared" si="10"/>
        <v>5641.7939709874736</v>
      </c>
      <c r="P68" s="53">
        <f t="shared" si="10"/>
        <v>5084.6864891037421</v>
      </c>
      <c r="Q68" s="53">
        <f t="shared" si="10"/>
        <v>4545.4862390829558</v>
      </c>
      <c r="R68" s="53">
        <f t="shared" si="10"/>
        <v>4025.6541807894228</v>
      </c>
      <c r="S68" s="53">
        <f t="shared" si="10"/>
        <v>3526.4552499867686</v>
      </c>
      <c r="T68" s="53">
        <f t="shared" si="10"/>
        <v>3048.9605400164419</v>
      </c>
      <c r="U68" s="53">
        <f t="shared" si="10"/>
        <v>2594.0510174807732</v>
      </c>
      <c r="V68" s="53">
        <f t="shared" si="10"/>
        <v>2162.4226362275481</v>
      </c>
      <c r="W68" s="53">
        <f t="shared" si="10"/>
        <v>1754.5927073747255</v>
      </c>
      <c r="X68" s="53">
        <f t="shared" si="10"/>
        <v>1370.9073788205083</v>
      </c>
      <c r="Y68" s="53">
        <f t="shared" si="10"/>
        <v>1011.5500755455614</v>
      </c>
      <c r="Z68" s="53">
        <f t="shared" si="10"/>
        <v>676.55075189652473</v>
      </c>
      <c r="AA68" s="53">
        <f t="shared" si="10"/>
        <v>365.7958087889333</v>
      </c>
    </row>
    <row r="69" spans="1:87" x14ac:dyDescent="0.3">
      <c r="A69" s="32" t="s">
        <v>34</v>
      </c>
      <c r="B69" s="33" t="s">
        <v>34</v>
      </c>
      <c r="C69" s="53">
        <f>0</f>
        <v>0</v>
      </c>
      <c r="D69" s="53">
        <f>prev PB_act*interest_rate/12</f>
        <v>10000</v>
      </c>
      <c r="E69" s="53">
        <f>prev PB_act*interest_rate/12</f>
        <v>9330.4499110328306</v>
      </c>
      <c r="F69" s="53">
        <f>prev PB_act*interest_rate/12</f>
        <v>8793.8490222949167</v>
      </c>
      <c r="G69" s="53">
        <f>prev PB_act*interest_rate/12</f>
        <v>8268.9052701687997</v>
      </c>
      <c r="H69" s="53">
        <f>prev PB_act*interest_rate/12</f>
        <v>7550.1752288145253</v>
      </c>
      <c r="I69" s="53">
        <f>prev PB_act*interest_rate/12</f>
        <v>7025.5531930541147</v>
      </c>
      <c r="J69" s="53">
        <f>prev PB_act*interest_rate/12</f>
        <v>6512.4548951218412</v>
      </c>
      <c r="K69" s="53">
        <f>prev PB_act*interest_rate/12</f>
        <v>6012.0086919272107</v>
      </c>
      <c r="L69" s="53">
        <f>prev PB_act*interest_rate/12</f>
        <v>5525.2354377467018</v>
      </c>
      <c r="M69" s="53">
        <f>prev PB_act*interest_rate/12</f>
        <v>5053.0476686771044</v>
      </c>
      <c r="N69" s="53">
        <f>prev PB_act*interest_rate/12</f>
        <v>4596.2495987897737</v>
      </c>
      <c r="O69" s="53">
        <f>prev PB_act*interest_rate/12</f>
        <v>4155.5378842495684</v>
      </c>
      <c r="P69" s="53">
        <f>prev PB_act*interest_rate/12</f>
        <v>3731.5031066577685</v>
      </c>
      <c r="Q69" s="53">
        <f>prev PB_act*interest_rate/12</f>
        <v>3324.6319227219315</v>
      </c>
      <c r="R69" s="53">
        <f>prev PB_act*interest_rate/12</f>
        <v>2935.3098240446857</v>
      </c>
      <c r="S69" s="53">
        <f>prev PB_act*interest_rate/12</f>
        <v>2563.8244483437329</v>
      </c>
      <c r="T69" s="53">
        <f>prev PB_act*interest_rate/12</f>
        <v>2210.3693817420103</v>
      </c>
      <c r="U69" s="53">
        <f>prev PB_act*interest_rate/12</f>
        <v>1875.0483908658989</v>
      </c>
      <c r="V69" s="53">
        <f>prev PB_act*interest_rate/12</f>
        <v>1557.8800233184184</v>
      </c>
      <c r="W69" s="53">
        <f>prev PB_act*interest_rate/12</f>
        <v>1258.8025156040142</v>
      </c>
      <c r="X69" s="53">
        <f>prev PB_act*interest_rate/12</f>
        <v>977.67894871715635</v>
      </c>
      <c r="Y69" s="53">
        <f>prev PB_act*interest_rate/12</f>
        <v>714.30259330921865</v>
      </c>
      <c r="Z69" s="53">
        <f>prev PB_act*interest_rate/12</f>
        <v>468.40238855443704</v>
      </c>
      <c r="AA69" s="53">
        <f>prev PB_act*interest_rate/12</f>
        <v>239.64850148196459</v>
      </c>
    </row>
    <row r="70" spans="1:87" x14ac:dyDescent="0.3">
      <c r="A70" s="32" t="s">
        <v>66</v>
      </c>
      <c r="B70" s="33" t="s">
        <v>106</v>
      </c>
      <c r="C70" s="53">
        <v>0</v>
      </c>
      <c r="D70" s="53">
        <f>(GB_DEF-prev GB_DEF)*recovery</f>
        <v>0</v>
      </c>
      <c r="E70" s="53">
        <f>(GB_DEF-prev GB_DEF)*recovery</f>
        <v>0</v>
      </c>
      <c r="F70" s="53">
        <f>(GB_DEF-prev GB_DEF)*recovery</f>
        <v>0</v>
      </c>
      <c r="G70" s="53">
        <f>(GB_DEF-prev GB_DEF)*recovery</f>
        <v>2462.2822962525734</v>
      </c>
      <c r="H70" s="53">
        <f>(GB_DEF-prev GB_DEF)*recovery</f>
        <v>441.95493311109499</v>
      </c>
      <c r="I70" s="53">
        <f>(GB_DEF-prev GB_DEF)*recovery</f>
        <v>472.28968360291913</v>
      </c>
      <c r="J70" s="53">
        <f>(GB_DEF-prev GB_DEF)*recovery</f>
        <v>490.60305420633085</v>
      </c>
      <c r="K70" s="53">
        <f>(GB_DEF-prev GB_DEF)*recovery</f>
        <v>498.22667728627493</v>
      </c>
      <c r="L70" s="53">
        <f>(GB_DEF-prev GB_DEF)*recovery</f>
        <v>496.46714804384101</v>
      </c>
      <c r="M70" s="53">
        <f>(GB_DEF-prev GB_DEF)*recovery</f>
        <v>486.59573559371933</v>
      </c>
      <c r="N70" s="53">
        <f>(GB_DEF-prev GB_DEF)*recovery</f>
        <v>469.83918140726092</v>
      </c>
      <c r="O70" s="53">
        <f>(GB_DEF-prev GB_DEF)*recovery</f>
        <v>447.37161567551232</v>
      </c>
      <c r="P70" s="53">
        <f>(GB_DEF-prev GB_DEF)*recovery</f>
        <v>420.30760578153132</v>
      </c>
      <c r="Q70" s="53">
        <f>(GB_DEF-prev GB_DEF)*recovery</f>
        <v>389.69633568054127</v>
      </c>
      <c r="R70" s="53">
        <f>(GB_DEF-prev GB_DEF)*recovery</f>
        <v>356.51690073356588</v>
      </c>
      <c r="S70" s="53">
        <f>(GB_DEF-prev GB_DEF)*recovery</f>
        <v>321.67468955710211</v>
      </c>
      <c r="T70" s="53">
        <f>(GB_DEF-prev GB_DEF)*recovery</f>
        <v>285.99881283892904</v>
      </c>
      <c r="U70" s="53">
        <f>(GB_DEF-prev GB_DEF)*recovery</f>
        <v>250.2405288983995</v>
      </c>
      <c r="V70" s="53">
        <f>(GB_DEF-prev GB_DEF)*recovery</f>
        <v>215.0726070795252</v>
      </c>
      <c r="W70" s="53">
        <f>(GB_DEF-prev GB_DEF)*recovery</f>
        <v>181.08956286970789</v>
      </c>
      <c r="X70" s="53">
        <f>(GB_DEF-prev GB_DEF)*recovery</f>
        <v>148.8086929240628</v>
      </c>
      <c r="Y70" s="53">
        <f>(GB_DEF-prev GB_DEF)*recovery</f>
        <v>118.67183390903811</v>
      </c>
      <c r="Z70" s="53">
        <f>(GB_DEF-prev GB_DEF)*recovery</f>
        <v>91.047766203478389</v>
      </c>
      <c r="AA70" s="53">
        <f>(GB_DEF-prev GB_DEF)*recovery</f>
        <v>66.235181936477602</v>
      </c>
    </row>
    <row r="71" spans="1:87" x14ac:dyDescent="0.3">
      <c r="A71" s="29" t="s">
        <v>122</v>
      </c>
      <c r="B71" s="27" t="s">
        <v>122</v>
      </c>
      <c r="C71" s="82">
        <v>0</v>
      </c>
      <c r="D71" s="81">
        <f>prev PB_act*0.8*0.01</f>
        <v>4000</v>
      </c>
      <c r="E71" s="81">
        <f>prev PB_act*0.5*0.01</f>
        <v>2332.6124777582077</v>
      </c>
      <c r="F71" s="81">
        <f>prev PB_act*0.5*0.01</f>
        <v>2198.4622555737292</v>
      </c>
      <c r="G71" s="81">
        <f>prev PB_act*0.5*0.01</f>
        <v>2067.2263175422004</v>
      </c>
      <c r="H71" s="81">
        <f>prev PB_act*0.5*0.01</f>
        <v>1887.5438072036316</v>
      </c>
      <c r="I71" s="81">
        <f>prev PB_act*0.5*0.01</f>
        <v>1756.3882982635289</v>
      </c>
      <c r="J71" s="81">
        <f>prev PB_act*0.5*0.01</f>
        <v>1628.1137237804605</v>
      </c>
      <c r="K71" s="81">
        <f>prev PB_act*0.5*0.01</f>
        <v>1503.0021729818027</v>
      </c>
      <c r="L71" s="81">
        <f>prev PB_act*0.5*0.01</f>
        <v>1381.3088594366757</v>
      </c>
      <c r="M71" s="81">
        <f>prev PB_act*0.5*0.01</f>
        <v>1263.2619171692763</v>
      </c>
      <c r="N71" s="81">
        <f>prev PB_act*0.5*0.01</f>
        <v>1149.0623996974434</v>
      </c>
      <c r="O71" s="81">
        <f>prev PB_act*0.5*0.01</f>
        <v>1038.8844710623921</v>
      </c>
      <c r="P71" s="81">
        <f>prev PB_act*0.5*0.01</f>
        <v>932.87577666444224</v>
      </c>
      <c r="Q71" s="81">
        <f>prev PB_act*0.5*0.01</f>
        <v>831.15798068048286</v>
      </c>
      <c r="R71" s="81">
        <f>prev PB_act*0.5*0.01</f>
        <v>733.82745601117142</v>
      </c>
      <c r="S71" s="81">
        <f>prev PB_act*0.5*0.01</f>
        <v>640.95611208593334</v>
      </c>
      <c r="T71" s="81">
        <f>prev PB_act*0.5*0.01</f>
        <v>552.59234543550258</v>
      </c>
      <c r="U71" s="81">
        <f>prev PB_act*0.5*0.01</f>
        <v>468.76209771647473</v>
      </c>
      <c r="V71" s="81">
        <f>prev PB_act*0.5*0.01</f>
        <v>389.47000582960464</v>
      </c>
      <c r="W71" s="81">
        <f>prev PB_act*0.5*0.01</f>
        <v>314.70062890100354</v>
      </c>
      <c r="X71" s="81">
        <f>prev PB_act*0.5*0.01</f>
        <v>244.41973717928911</v>
      </c>
      <c r="Y71" s="81">
        <f>prev PB_act*0.5*0.01</f>
        <v>178.57564832730466</v>
      </c>
      <c r="Z71" s="81">
        <f>prev PB_act*0.5*0.01</f>
        <v>117.10059713860926</v>
      </c>
      <c r="AA71" s="81">
        <f>prev PB_act*0.5*0.01</f>
        <v>59.912125370491147</v>
      </c>
    </row>
    <row r="72" spans="1:87" ht="15.6" x14ac:dyDescent="0.3">
      <c r="A72" s="77" t="s">
        <v>95</v>
      </c>
      <c r="B72" s="27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87" x14ac:dyDescent="0.3">
      <c r="A73" s="45" t="s">
        <v>95</v>
      </c>
      <c r="B73" s="54" t="s">
        <v>112</v>
      </c>
      <c r="C73" s="53">
        <f t="shared" ref="C73:AA73" si="11">Loan_Loss+Cost_of_Funds+Operation_cost+collect_cost</f>
        <v>0</v>
      </c>
      <c r="D73" s="53">
        <f t="shared" si="11"/>
        <v>6297.916666666667</v>
      </c>
      <c r="E73" s="53">
        <f t="shared" si="11"/>
        <v>5924.715785541759</v>
      </c>
      <c r="F73" s="53">
        <f t="shared" si="11"/>
        <v>5595.502356160755</v>
      </c>
      <c r="G73" s="53">
        <f t="shared" si="11"/>
        <v>17583.180568934164</v>
      </c>
      <c r="H73" s="53">
        <f t="shared" si="11"/>
        <v>7032.5028308533065</v>
      </c>
      <c r="I73" s="53">
        <f t="shared" si="11"/>
        <v>6848.6200703566155</v>
      </c>
      <c r="J73" s="53">
        <f t="shared" si="11"/>
        <v>6620.8866318385826</v>
      </c>
      <c r="K73" s="53">
        <f t="shared" si="11"/>
        <v>6347.1062766948889</v>
      </c>
      <c r="L73" s="53">
        <f t="shared" si="11"/>
        <v>6034.4825183410239</v>
      </c>
      <c r="M73" s="53">
        <f t="shared" si="11"/>
        <v>5689.9751751577442</v>
      </c>
      <c r="N73" s="53">
        <f t="shared" si="11"/>
        <v>5320.2540713438275</v>
      </c>
      <c r="O73" s="53">
        <f t="shared" si="11"/>
        <v>4931.6588242458192</v>
      </c>
      <c r="P73" s="53">
        <f t="shared" si="11"/>
        <v>4530.1647602253561</v>
      </c>
      <c r="Q73" s="53">
        <f t="shared" si="11"/>
        <v>4121.3549212444686</v>
      </c>
      <c r="R73" s="53">
        <f t="shared" si="11"/>
        <v>3710.3980506951475</v>
      </c>
      <c r="S73" s="53">
        <f t="shared" si="11"/>
        <v>3302.0323802263915</v>
      </c>
      <c r="T73" s="53">
        <f t="shared" si="11"/>
        <v>2900.554979922038</v>
      </c>
      <c r="U73" s="53">
        <f t="shared" si="11"/>
        <v>2509.8163824876888</v>
      </c>
      <c r="V73" s="53">
        <f t="shared" si="11"/>
        <v>2133.2201482960586</v>
      </c>
      <c r="W73" s="53">
        <f t="shared" si="11"/>
        <v>1773.727002252507</v>
      </c>
      <c r="X73" s="53">
        <f t="shared" si="11"/>
        <v>1433.8631453830453</v>
      </c>
      <c r="Y73" s="53">
        <f t="shared" si="11"/>
        <v>1115.732323600376</v>
      </c>
      <c r="Z73" s="53">
        <f t="shared" si="11"/>
        <v>821.03122295069113</v>
      </c>
      <c r="AA73" s="53">
        <f t="shared" si="11"/>
        <v>551.06775437527676</v>
      </c>
    </row>
    <row r="74" spans="1:87" x14ac:dyDescent="0.3">
      <c r="A74" s="32" t="s">
        <v>16</v>
      </c>
      <c r="B74" s="33" t="s">
        <v>102</v>
      </c>
      <c r="C74" s="53">
        <f>Cost_of_Funds+operational_cost+collect_cost</f>
        <v>0</v>
      </c>
      <c r="D74" s="53">
        <f>GB_DEF-prev GB_DEF</f>
        <v>0</v>
      </c>
      <c r="E74" s="53">
        <f>GB_DEF-prev GB_DEF</f>
        <v>0</v>
      </c>
      <c r="F74" s="53">
        <f>GB_DEF-prev GB_DEF</f>
        <v>0</v>
      </c>
      <c r="G74" s="53">
        <f>GB_DEF-prev GB_DEF</f>
        <v>12311.411481262867</v>
      </c>
      <c r="H74" s="53">
        <f>GB_DEF-prev GB_DEF</f>
        <v>2209.7746655554747</v>
      </c>
      <c r="I74" s="53">
        <f>GB_DEF-prev GB_DEF</f>
        <v>2361.4484180145955</v>
      </c>
      <c r="J74" s="53">
        <f>GB_DEF-prev GB_DEF</f>
        <v>2453.0152710316543</v>
      </c>
      <c r="K74" s="53">
        <f>GB_DEF-prev GB_DEF</f>
        <v>2491.1333864313747</v>
      </c>
      <c r="L74" s="53">
        <f>GB_DEF-prev GB_DEF</f>
        <v>2482.335740219205</v>
      </c>
      <c r="M74" s="53">
        <f>GB_DEF-prev GB_DEF</f>
        <v>2432.9786779685965</v>
      </c>
      <c r="N74" s="53">
        <f>GB_DEF-prev GB_DEF</f>
        <v>2349.1959070363046</v>
      </c>
      <c r="O74" s="53">
        <f>GB_DEF-prev GB_DEF</f>
        <v>2236.8580783775615</v>
      </c>
      <c r="P74" s="53">
        <f>GB_DEF-prev GB_DEF</f>
        <v>2101.5380289076566</v>
      </c>
      <c r="Q74" s="53">
        <f>GB_DEF-prev GB_DEF</f>
        <v>1948.4816784027062</v>
      </c>
      <c r="R74" s="53">
        <f>GB_DEF-prev GB_DEF</f>
        <v>1782.5845036678293</v>
      </c>
      <c r="S74" s="53">
        <f>GB_DEF-prev GB_DEF</f>
        <v>1608.3734477855105</v>
      </c>
      <c r="T74" s="53">
        <f>GB_DEF-prev GB_DEF</f>
        <v>1429.994064194645</v>
      </c>
      <c r="U74" s="53">
        <f>GB_DEF-prev GB_DEF</f>
        <v>1251.2026444919975</v>
      </c>
      <c r="V74" s="53">
        <f>GB_DEF-prev GB_DEF</f>
        <v>1075.3630353976259</v>
      </c>
      <c r="W74" s="53">
        <f>GB_DEF-prev GB_DEF</f>
        <v>905.4478143485394</v>
      </c>
      <c r="X74" s="53">
        <f>GB_DEF-prev GB_DEF</f>
        <v>744.0434646203139</v>
      </c>
      <c r="Y74" s="53">
        <f>GB_DEF-prev GB_DEF</f>
        <v>593.35916954519053</v>
      </c>
      <c r="Z74" s="53">
        <f>GB_DEF-prev GB_DEF</f>
        <v>455.23883101739193</v>
      </c>
      <c r="AA74" s="53">
        <f>GB_DEF-prev GB_DEF</f>
        <v>331.17590968238801</v>
      </c>
    </row>
    <row r="75" spans="1:87" x14ac:dyDescent="0.3">
      <c r="A75" s="32" t="s">
        <v>15</v>
      </c>
      <c r="B75" s="33" t="s">
        <v>98</v>
      </c>
      <c r="C75" s="53">
        <f>IF(statement_no=0,0,prev AT1_req*At1_int_rate/12)</f>
        <v>0</v>
      </c>
      <c r="D75" s="53">
        <f>(1-Equity_Req)*prev GB_act*CoF/12</f>
        <v>6197.916666666667</v>
      </c>
      <c r="E75" s="53">
        <f>(1-Equity_Req)*prev GB_act*CoF/12</f>
        <v>5791.9848739545805</v>
      </c>
      <c r="F75" s="53">
        <f>(1-Equity_Req)*prev GB_act*CoF/12</f>
        <v>5460.2663447859468</v>
      </c>
      <c r="G75" s="53">
        <f>(1-Equity_Req)*prev GB_act*CoF/12</f>
        <v>5135.3685488237797</v>
      </c>
      <c r="H75" s="53">
        <f>(1-Equity_Req)*prev GB_act*CoF/12</f>
        <v>4687.6876719148977</v>
      </c>
      <c r="I75" s="53">
        <f>(1-Equity_Req)*prev GB_act*CoF/12</f>
        <v>4362.5409454731771</v>
      </c>
      <c r="J75" s="53">
        <f>(1-Equity_Req)*prev GB_act*CoF/12</f>
        <v>4044.4377212854938</v>
      </c>
      <c r="K75" s="53">
        <f>(1-Equity_Req)*prev GB_act*CoF/12</f>
        <v>3734.088374631468</v>
      </c>
      <c r="L75" s="53">
        <f>(1-Equity_Req)*prev GB_act*CoF/12</f>
        <v>3432.1364841111663</v>
      </c>
      <c r="M75" s="53">
        <f>(1-Equity_Req)*prev GB_act*CoF/12</f>
        <v>3139.1582410718206</v>
      </c>
      <c r="N75" s="53">
        <f>(1-Equity_Req)*prev GB_act*CoF/12</f>
        <v>2855.6623704257199</v>
      </c>
      <c r="O75" s="53">
        <f>(1-Equity_Req)*prev GB_act*CoF/12</f>
        <v>2582.0905360522538</v>
      </c>
      <c r="P75" s="53">
        <f>(1-Equity_Req)*prev GB_act*CoF/12</f>
        <v>2318.8182007470691</v>
      </c>
      <c r="Q75" s="53">
        <f>(1-Equity_Req)*prev GB_act*CoF/12</f>
        <v>2066.1559079836684</v>
      </c>
      <c r="R75" s="53">
        <f>(1-Equity_Req)*prev GB_act*CoF/12</f>
        <v>1824.3509505872246</v>
      </c>
      <c r="S75" s="53">
        <f>(1-Equity_Req)*prev GB_act*CoF/12</f>
        <v>1593.5893897791348</v>
      </c>
      <c r="T75" s="53">
        <f>(1-Equity_Req)*prev GB_act*CoF/12</f>
        <v>1373.9983869195414</v>
      </c>
      <c r="U75" s="53">
        <f>(1-Equity_Req)*prev GB_act*CoF/12</f>
        <v>1165.6488096330143</v>
      </c>
      <c r="V75" s="53">
        <f>(1-Equity_Req)*prev GB_act*CoF/12</f>
        <v>968.55807382421165</v>
      </c>
      <c r="W75" s="53">
        <f>(1-Equity_Req)*prev GB_act*CoF/12</f>
        <v>782.69318334512946</v>
      </c>
      <c r="X75" s="53">
        <f>(1-Equity_Req)*prev GB_act*CoF/12</f>
        <v>607.97392972956482</v>
      </c>
      <c r="Y75" s="53">
        <f>(1-Equity_Req)*prev GB_act*CoF/12</f>
        <v>444.27621542679896</v>
      </c>
      <c r="Z75" s="53">
        <f>(1-Equity_Req)*prev GB_act*CoF/12</f>
        <v>291.43546530606199</v>
      </c>
      <c r="AA75" s="53">
        <f>(1-Equity_Req)*prev GB_act*CoF/12</f>
        <v>149.25009282584287</v>
      </c>
    </row>
    <row r="76" spans="1:87" x14ac:dyDescent="0.3">
      <c r="A76" s="32" t="s">
        <v>99</v>
      </c>
      <c r="B76" s="33" t="s">
        <v>105</v>
      </c>
      <c r="C76" s="53">
        <f>0</f>
        <v>0</v>
      </c>
      <c r="D76" s="53">
        <f>prev accnt_act*oper_cost</f>
        <v>100</v>
      </c>
      <c r="E76" s="53">
        <f>prev accnt_act*oper_cost</f>
        <v>96.227626159182833</v>
      </c>
      <c r="F76" s="53">
        <f>prev accnt_act*oper_cost</f>
        <v>93.895929588847721</v>
      </c>
      <c r="G76" s="53">
        <f>prev accnt_act*oper_cost</f>
        <v>91.59716170375286</v>
      </c>
      <c r="H76" s="53">
        <f>prev accnt_act*oper_cost</f>
        <v>87.038869235877755</v>
      </c>
      <c r="I76" s="53">
        <f>prev accnt_act*oper_cost</f>
        <v>84.426811574784594</v>
      </c>
      <c r="J76" s="53">
        <f>prev accnt_act*oper_cost</f>
        <v>81.801336687078503</v>
      </c>
      <c r="K76" s="53">
        <f>prev accnt_act*oper_cost</f>
        <v>79.169515457091279</v>
      </c>
      <c r="L76" s="53">
        <f>prev accnt_act*oper_cost</f>
        <v>76.538134773553907</v>
      </c>
      <c r="M76" s="53">
        <f>prev accnt_act*oper_cost</f>
        <v>73.913676563090618</v>
      </c>
      <c r="N76" s="53">
        <f>prev accnt_act*oper_cost</f>
        <v>71.302299870394791</v>
      </c>
      <c r="O76" s="53">
        <f>prev accnt_act*oper_cost</f>
        <v>68.709825953830517</v>
      </c>
      <c r="P76" s="53">
        <f>prev accnt_act*oper_cost</f>
        <v>66.141726339520972</v>
      </c>
      <c r="Q76" s="53">
        <f>prev accnt_act*oper_cost</f>
        <v>63.603113753540718</v>
      </c>
      <c r="R76" s="53">
        <f>prev accnt_act*oper_cost</f>
        <v>61.098735830747664</v>
      </c>
      <c r="S76" s="53">
        <f>prev accnt_act*oper_cost</f>
        <v>58.632971480163896</v>
      </c>
      <c r="T76" s="53">
        <f>prev accnt_act*oper_cost</f>
        <v>56.209829770688138</v>
      </c>
      <c r="U76" s="53">
        <f>prev accnt_act*oper_cost</f>
        <v>53.832951187309874</v>
      </c>
      <c r="V76" s="53">
        <f>prev accnt_act*oper_cost</f>
        <v>51.505611096875349</v>
      </c>
      <c r="W76" s="53">
        <f>prev accnt_act*oper_cost</f>
        <v>49.230725253773002</v>
      </c>
      <c r="X76" s="53">
        <f>prev accnt_act*oper_cost</f>
        <v>47.010857169582238</v>
      </c>
      <c r="Y76" s="53">
        <f>prev accnt_act*oper_cost</f>
        <v>44.84822716665883</v>
      </c>
      <c r="Z76" s="53">
        <f>prev accnt_act*oper_cost</f>
        <v>42.744722933685729</v>
      </c>
      <c r="AA76" s="53">
        <f>prev accnt_act*oper_cost</f>
        <v>40.701911401257789</v>
      </c>
    </row>
    <row r="77" spans="1:87" x14ac:dyDescent="0.3">
      <c r="A77" s="32" t="s">
        <v>100</v>
      </c>
      <c r="B77" s="33" t="s">
        <v>101</v>
      </c>
      <c r="C77" s="53">
        <v>0</v>
      </c>
      <c r="D77" s="53">
        <f>(prev accnt_dlq+prev accnt_b_def)*collection_cost</f>
        <v>0</v>
      </c>
      <c r="E77" s="53">
        <f>(prev accnt_dlq+prev accnt_b_def)*collection_cost</f>
        <v>36.503285427995394</v>
      </c>
      <c r="F77" s="53">
        <f>(prev accnt_dlq+prev accnt_b_def)*collection_cost</f>
        <v>41.340081785959967</v>
      </c>
      <c r="G77" s="53">
        <f>(prev accnt_dlq+prev accnt_b_def)*collection_cost</f>
        <v>44.803377143761985</v>
      </c>
      <c r="H77" s="53">
        <f>(prev accnt_dlq+prev accnt_b_def)*collection_cost</f>
        <v>48.001624147056695</v>
      </c>
      <c r="I77" s="53">
        <f>(prev accnt_dlq+prev accnt_b_def)*collection_cost</f>
        <v>40.203895294058796</v>
      </c>
      <c r="J77" s="53">
        <f>(prev accnt_dlq+prev accnt_b_def)*collection_cost</f>
        <v>41.632302834355841</v>
      </c>
      <c r="K77" s="53">
        <f>(prev accnt_dlq+prev accnt_b_def)*collection_cost</f>
        <v>42.715000174954412</v>
      </c>
      <c r="L77" s="53">
        <f>(prev accnt_dlq+prev accnt_b_def)*collection_cost</f>
        <v>43.472159237098936</v>
      </c>
      <c r="M77" s="53">
        <f>(prev accnt_dlq+prev accnt_b_def)*collection_cost</f>
        <v>43.924579554236558</v>
      </c>
      <c r="N77" s="53">
        <f>(prev accnt_dlq+prev accnt_b_def)*collection_cost</f>
        <v>44.09349401140836</v>
      </c>
      <c r="O77" s="53">
        <f>(prev accnt_dlq+prev accnt_b_def)*collection_cost</f>
        <v>44.000383862173528</v>
      </c>
      <c r="P77" s="53">
        <f>(prev accnt_dlq+prev accnt_b_def)*collection_cost</f>
        <v>43.666804231109218</v>
      </c>
      <c r="Q77" s="53">
        <f>(prev accnt_dlq+prev accnt_b_def)*collection_cost</f>
        <v>43.114221104553188</v>
      </c>
      <c r="R77" s="53">
        <f>(prev accnt_dlq+prev accnt_b_def)*collection_cost</f>
        <v>42.363860609346546</v>
      </c>
      <c r="S77" s="53">
        <f>(prev accnt_dlq+prev accnt_b_def)*collection_cost</f>
        <v>41.436571181582153</v>
      </c>
      <c r="T77" s="53">
        <f>(prev accnt_dlq+prev accnt_b_def)*collection_cost</f>
        <v>40.352699037163873</v>
      </c>
      <c r="U77" s="53">
        <f>(prev accnt_dlq+prev accnt_b_def)*collection_cost</f>
        <v>39.13197717536751</v>
      </c>
      <c r="V77" s="53">
        <f>(prev accnt_dlq+prev accnt_b_def)*collection_cost</f>
        <v>37.793427977345608</v>
      </c>
      <c r="W77" s="53">
        <f>(prev accnt_dlq+prev accnt_b_def)*collection_cost</f>
        <v>36.355279305065125</v>
      </c>
      <c r="X77" s="53">
        <f>(prev accnt_dlq+prev accnt_b_def)*collection_cost</f>
        <v>34.834893863584185</v>
      </c>
      <c r="Y77" s="53">
        <f>(prev accnt_dlq+prev accnt_b_def)*collection_cost</f>
        <v>33.248711461727709</v>
      </c>
      <c r="Z77" s="53">
        <f>(prev accnt_dlq+prev accnt_b_def)*collection_cost</f>
        <v>31.6122036935515</v>
      </c>
      <c r="AA77" s="53">
        <f>(prev accnt_dlq+prev accnt_b_def)*collection_cost</f>
        <v>29.939840465788038</v>
      </c>
    </row>
    <row r="78" spans="1:87" x14ac:dyDescent="0.3">
      <c r="A78" s="55"/>
      <c r="B78" s="56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87" ht="15.6" x14ac:dyDescent="0.3">
      <c r="A79" s="77" t="s">
        <v>47</v>
      </c>
      <c r="B79" s="27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58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87" x14ac:dyDescent="0.3">
      <c r="A80" s="59" t="s">
        <v>42</v>
      </c>
      <c r="B80" s="60" t="s">
        <v>48</v>
      </c>
      <c r="C80" s="51">
        <f>C68</f>
        <v>0</v>
      </c>
      <c r="D80" s="51">
        <f>(prev GB_act- GB_act)+(prev GB_DEF - GB_DEF)+Gross_profit</f>
        <v>46747.438739798556</v>
      </c>
      <c r="E80" s="51">
        <f>(prev GB_act- GB_act)+(prev GB_DEF - GB_DEF)+Gross_profit</f>
        <v>38423.548775504321</v>
      </c>
      <c r="F80" s="51">
        <f>(prev GB_act- GB_act)+(prev GB_DEF - GB_DEF)+Gross_profit</f>
        <v>37202.553641203165</v>
      </c>
      <c r="G80" s="51">
        <f>(prev GB_act- GB_act)+(prev GB_DEF - GB_DEF)+Gross_profit</f>
        <v>36602.434489467691</v>
      </c>
      <c r="H80" s="51">
        <f>(prev GB_act- GB_act)+(prev GB_DEF - GB_DEF)+Gross_profit</f>
        <v>33900.223453494036</v>
      </c>
      <c r="I80" s="51">
        <f>(prev GB_act- GB_act)+(prev GB_DEF - GB_DEF)+Gross_profit</f>
        <v>32554.891598937589</v>
      </c>
      <c r="J80" s="51">
        <f>(prev GB_act- GB_act)+(prev GB_DEF - GB_DEF)+Gross_profit</f>
        <v>31214.742350637076</v>
      </c>
      <c r="K80" s="51">
        <f>(prev GB_act- GB_act)+(prev GB_DEF - GB_DEF)+Gross_profit</f>
        <v>29881.248264964717</v>
      </c>
      <c r="L80" s="51">
        <f>(prev GB_act- GB_act)+(prev GB_DEF - GB_DEF)+Gross_profit</f>
        <v>28555.895311543463</v>
      </c>
      <c r="M80" s="51">
        <f>(prev GB_act- GB_act)+(prev GB_DEF - GB_DEF)+Gross_profit</f>
        <v>27240.181754417434</v>
      </c>
      <c r="N80" s="51">
        <f>(prev GB_act- GB_act)+(prev GB_DEF - GB_DEF)+Gross_profit</f>
        <v>25935.615860969698</v>
      </c>
      <c r="O80" s="51">
        <f>(prev GB_act- GB_act)+(prev GB_DEF - GB_DEF)+Gross_profit</f>
        <v>24643.712522271908</v>
      </c>
      <c r="P80" s="51">
        <f>(prev GB_act- GB_act)+(prev GB_DEF - GB_DEF)+Gross_profit</f>
        <v>23365.988884806531</v>
      </c>
      <c r="Q80" s="51">
        <f>(prev GB_act- GB_act)+(prev GB_DEF - GB_DEF)+Gross_profit</f>
        <v>22103.959106947997</v>
      </c>
      <c r="R80" s="51">
        <f>(prev GB_act- GB_act)+(prev GB_DEF - GB_DEF)+Gross_profit</f>
        <v>20859.128364160752</v>
      </c>
      <c r="S80" s="51">
        <f>(prev GB_act- GB_act)+(prev GB_DEF - GB_DEF)+Gross_profit</f>
        <v>19632.986234571803</v>
      </c>
      <c r="T80" s="51">
        <f>(prev GB_act- GB_act)+(prev GB_DEF - GB_DEF)+Gross_profit</f>
        <v>18426.999601457617</v>
      </c>
      <c r="U80" s="51">
        <f>(prev GB_act- GB_act)+(prev GB_DEF - GB_DEF)+Gross_profit</f>
        <v>17242.605211345952</v>
      </c>
      <c r="V80" s="51">
        <f>(prev GB_act- GB_act)+(prev GB_DEF - GB_DEF)+Gross_profit</f>
        <v>16081.202026033203</v>
      </c>
      <c r="W80" s="51">
        <f>(prev GB_act- GB_act)+(prev GB_DEF - GB_DEF)+Gross_profit</f>
        <v>14944.143504029711</v>
      </c>
      <c r="X80" s="51">
        <f>(prev GB_act- GB_act)+(prev GB_DEF - GB_DEF)+Gross_profit</f>
        <v>13832.72994198635</v>
      </c>
      <c r="Y80" s="51">
        <f>(prev GB_act- GB_act)+(prev GB_DEF - GB_DEF)+Gross_profit</f>
        <v>12748.200999774108</v>
      </c>
      <c r="Z80" s="51">
        <f>(prev GB_act- GB_act)+(prev GB_DEF - GB_DEF)+Gross_profit</f>
        <v>11691.728524325379</v>
      </c>
      <c r="AA80" s="51">
        <f>(prev GB_act- GB_act)+(prev GB_DEF - GB_DEF)+Gross_profit</f>
        <v>12074.963522031683</v>
      </c>
    </row>
    <row r="81" spans="1:87" x14ac:dyDescent="0.3">
      <c r="A81" s="29"/>
      <c r="B81" s="27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spans="1:87" ht="15.6" x14ac:dyDescent="0.3">
      <c r="A82" s="77" t="s">
        <v>41</v>
      </c>
      <c r="B82" s="27"/>
      <c r="C82" s="4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87" x14ac:dyDescent="0.3">
      <c r="A83" s="29" t="s">
        <v>17</v>
      </c>
      <c r="B83" s="27" t="s">
        <v>18</v>
      </c>
      <c r="C83" s="53">
        <f>Gross_profit-Loan_Loss</f>
        <v>0</v>
      </c>
      <c r="D83" s="53">
        <f t="shared" ref="D83:AA83" si="12">Gross_profit-Gross_Loss</f>
        <v>7702.083333333333</v>
      </c>
      <c r="E83" s="53">
        <f t="shared" si="12"/>
        <v>5738.3466032492797</v>
      </c>
      <c r="F83" s="53">
        <f t="shared" si="12"/>
        <v>5396.8089217078914</v>
      </c>
      <c r="G83" s="53">
        <f t="shared" si="12"/>
        <v>-4784.7666849705893</v>
      </c>
      <c r="H83" s="53">
        <f t="shared" si="12"/>
        <v>2847.1711382759449</v>
      </c>
      <c r="I83" s="53">
        <f t="shared" si="12"/>
        <v>2405.6111045639482</v>
      </c>
      <c r="J83" s="53">
        <f t="shared" si="12"/>
        <v>2010.28504127005</v>
      </c>
      <c r="K83" s="53">
        <f t="shared" si="12"/>
        <v>1666.1312655003994</v>
      </c>
      <c r="L83" s="53">
        <f t="shared" si="12"/>
        <v>1368.5289268861943</v>
      </c>
      <c r="M83" s="53">
        <f t="shared" si="12"/>
        <v>1112.9301462823551</v>
      </c>
      <c r="N83" s="53">
        <f t="shared" si="12"/>
        <v>894.89710855065096</v>
      </c>
      <c r="O83" s="53">
        <f t="shared" si="12"/>
        <v>710.13514674165435</v>
      </c>
      <c r="P83" s="53">
        <f t="shared" si="12"/>
        <v>554.52172887838606</v>
      </c>
      <c r="Q83" s="53">
        <f t="shared" si="12"/>
        <v>424.13131783848712</v>
      </c>
      <c r="R83" s="53">
        <f t="shared" si="12"/>
        <v>315.25613009427525</v>
      </c>
      <c r="S83" s="53">
        <f t="shared" si="12"/>
        <v>224.42286976037713</v>
      </c>
      <c r="T83" s="53">
        <f t="shared" si="12"/>
        <v>148.40556009440388</v>
      </c>
      <c r="U83" s="53">
        <f t="shared" si="12"/>
        <v>84.234634993084455</v>
      </c>
      <c r="V83" s="53">
        <f t="shared" si="12"/>
        <v>29.202487931489486</v>
      </c>
      <c r="W83" s="53">
        <f t="shared" si="12"/>
        <v>-19.134294877781485</v>
      </c>
      <c r="X83" s="53">
        <f t="shared" si="12"/>
        <v>-62.955766562537065</v>
      </c>
      <c r="Y83" s="53">
        <f t="shared" si="12"/>
        <v>-104.18224805481464</v>
      </c>
      <c r="Z83" s="53">
        <f t="shared" si="12"/>
        <v>-144.4804710541664</v>
      </c>
      <c r="AA83" s="53">
        <f t="shared" si="12"/>
        <v>-185.27194558634346</v>
      </c>
    </row>
    <row r="84" spans="1:87" x14ac:dyDescent="0.3">
      <c r="A84" s="29" t="s">
        <v>19</v>
      </c>
      <c r="B84" s="27" t="s">
        <v>19</v>
      </c>
      <c r="C84" s="53">
        <f t="shared" ref="C84:AA84" si="13">Net_Income_Bax*tax_rate</f>
        <v>0</v>
      </c>
      <c r="D84" s="53">
        <f>Net_Income_Bax*tax_rate</f>
        <v>1540.4166666666667</v>
      </c>
      <c r="E84" s="53">
        <f t="shared" si="13"/>
        <v>1147.669320649856</v>
      </c>
      <c r="F84" s="53">
        <f>Net_Income_Bax*tax_rate</f>
        <v>1079.3617843415784</v>
      </c>
      <c r="G84" s="53">
        <f t="shared" si="13"/>
        <v>-956.95333699411788</v>
      </c>
      <c r="H84" s="53">
        <f t="shared" si="13"/>
        <v>569.43422765518903</v>
      </c>
      <c r="I84" s="53">
        <f>Net_Income_Bax*tax_rate</f>
        <v>481.12222091278966</v>
      </c>
      <c r="J84" s="53">
        <f t="shared" si="13"/>
        <v>402.05700825401004</v>
      </c>
      <c r="K84" s="53">
        <f t="shared" si="13"/>
        <v>333.22625310007993</v>
      </c>
      <c r="L84" s="53">
        <f t="shared" si="13"/>
        <v>273.7057853772389</v>
      </c>
      <c r="M84" s="53">
        <f t="shared" si="13"/>
        <v>222.58602925647102</v>
      </c>
      <c r="N84" s="53">
        <f t="shared" si="13"/>
        <v>178.9794217101302</v>
      </c>
      <c r="O84" s="53">
        <f t="shared" si="13"/>
        <v>142.02702934833087</v>
      </c>
      <c r="P84" s="53">
        <f t="shared" si="13"/>
        <v>110.90434577567721</v>
      </c>
      <c r="Q84" s="53">
        <f t="shared" si="13"/>
        <v>84.826263567697424</v>
      </c>
      <c r="R84" s="53">
        <f t="shared" si="13"/>
        <v>63.051226018855054</v>
      </c>
      <c r="S84" s="53">
        <f t="shared" si="13"/>
        <v>44.884573952075428</v>
      </c>
      <c r="T84" s="53">
        <f t="shared" si="13"/>
        <v>29.681112018880778</v>
      </c>
      <c r="U84" s="53">
        <f t="shared" si="13"/>
        <v>16.84692699861689</v>
      </c>
      <c r="V84" s="53">
        <f t="shared" si="13"/>
        <v>5.8404975862978974</v>
      </c>
      <c r="W84" s="53">
        <f t="shared" si="13"/>
        <v>-3.8268589755562972</v>
      </c>
      <c r="X84" s="53">
        <f t="shared" si="13"/>
        <v>-12.591153312507414</v>
      </c>
      <c r="Y84" s="53">
        <f t="shared" si="13"/>
        <v>-20.83644961096293</v>
      </c>
      <c r="Z84" s="53">
        <f t="shared" si="13"/>
        <v>-28.896094210833283</v>
      </c>
      <c r="AA84" s="53">
        <f t="shared" si="13"/>
        <v>-37.054389117268691</v>
      </c>
    </row>
    <row r="85" spans="1:87" s="5" customFormat="1" x14ac:dyDescent="0.3">
      <c r="A85" s="61" t="s">
        <v>40</v>
      </c>
      <c r="B85" s="62" t="s">
        <v>20</v>
      </c>
      <c r="C85" s="63">
        <f t="shared" ref="C85:AA85" si="14">Net_Income_Bax-Tax</f>
        <v>0</v>
      </c>
      <c r="D85" s="63">
        <f t="shared" si="14"/>
        <v>6161.6666666666661</v>
      </c>
      <c r="E85" s="63">
        <f t="shared" si="14"/>
        <v>4590.677282599424</v>
      </c>
      <c r="F85" s="63">
        <f t="shared" si="14"/>
        <v>4317.4471373663127</v>
      </c>
      <c r="G85" s="63">
        <f t="shared" si="14"/>
        <v>-3827.8133479764715</v>
      </c>
      <c r="H85" s="63">
        <f t="shared" si="14"/>
        <v>2277.7369106207561</v>
      </c>
      <c r="I85" s="63">
        <f t="shared" si="14"/>
        <v>1924.4888836511586</v>
      </c>
      <c r="J85" s="63">
        <f t="shared" si="14"/>
        <v>1608.2280330160399</v>
      </c>
      <c r="K85" s="63">
        <f t="shared" si="14"/>
        <v>1332.9050124003195</v>
      </c>
      <c r="L85" s="63">
        <f t="shared" si="14"/>
        <v>1094.8231415089554</v>
      </c>
      <c r="M85" s="63">
        <f t="shared" si="14"/>
        <v>890.34411702588409</v>
      </c>
      <c r="N85" s="63">
        <f t="shared" si="14"/>
        <v>715.91768684052079</v>
      </c>
      <c r="O85" s="63">
        <f t="shared" si="14"/>
        <v>568.10811739332348</v>
      </c>
      <c r="P85" s="63">
        <f t="shared" si="14"/>
        <v>443.61738310270886</v>
      </c>
      <c r="Q85" s="63">
        <f t="shared" si="14"/>
        <v>339.3050542707897</v>
      </c>
      <c r="R85" s="63">
        <f t="shared" si="14"/>
        <v>252.20490407542019</v>
      </c>
      <c r="S85" s="63">
        <f t="shared" si="14"/>
        <v>179.53829580830171</v>
      </c>
      <c r="T85" s="63">
        <f t="shared" si="14"/>
        <v>118.7244480755231</v>
      </c>
      <c r="U85" s="63">
        <f t="shared" si="14"/>
        <v>67.387707994467561</v>
      </c>
      <c r="V85" s="63">
        <f t="shared" si="14"/>
        <v>23.36199034519159</v>
      </c>
      <c r="W85" s="63">
        <f t="shared" si="14"/>
        <v>-15.307435902225189</v>
      </c>
      <c r="X85" s="63">
        <f t="shared" si="14"/>
        <v>-50.364613250029649</v>
      </c>
      <c r="Y85" s="63">
        <f t="shared" si="14"/>
        <v>-83.345798443851706</v>
      </c>
      <c r="Z85" s="63">
        <f t="shared" si="14"/>
        <v>-115.58437684333312</v>
      </c>
      <c r="AA85" s="63">
        <f t="shared" si="14"/>
        <v>-148.21755646907476</v>
      </c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</row>
    <row r="86" spans="1:87" x14ac:dyDescent="0.3">
      <c r="A86" s="29"/>
      <c r="B86" s="27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87" ht="15.6" x14ac:dyDescent="0.3">
      <c r="A87" s="77" t="s">
        <v>64</v>
      </c>
      <c r="B87" s="27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87" s="2" customFormat="1" x14ac:dyDescent="0.3">
      <c r="A88" s="45" t="s">
        <v>51</v>
      </c>
      <c r="B88" s="27" t="s">
        <v>52</v>
      </c>
      <c r="C88" s="53">
        <f t="shared" ref="C88:AA88" si="15">GB_act</f>
        <v>500000</v>
      </c>
      <c r="D88" s="53">
        <f t="shared" si="15"/>
        <v>467252.56126020144</v>
      </c>
      <c r="E88" s="53">
        <f t="shared" si="15"/>
        <v>440492.07487348816</v>
      </c>
      <c r="F88" s="53">
        <f t="shared" si="15"/>
        <v>414281.83251015365</v>
      </c>
      <c r="G88" s="53">
        <f t="shared" si="15"/>
        <v>378166.40042338666</v>
      </c>
      <c r="H88" s="53">
        <f t="shared" si="15"/>
        <v>351936.0762734664</v>
      </c>
      <c r="I88" s="53">
        <f t="shared" si="15"/>
        <v>326273.96743143478</v>
      </c>
      <c r="J88" s="53">
        <f t="shared" si="15"/>
        <v>301237.38148287468</v>
      </c>
      <c r="K88" s="53">
        <f t="shared" si="15"/>
        <v>276878.23737367388</v>
      </c>
      <c r="L88" s="53">
        <f t="shared" si="15"/>
        <v>253243.01776713843</v>
      </c>
      <c r="M88" s="53">
        <f t="shared" si="15"/>
        <v>230372.7626561925</v>
      </c>
      <c r="N88" s="53">
        <f t="shared" si="15"/>
        <v>208303.10206808097</v>
      </c>
      <c r="O88" s="53">
        <f t="shared" si="15"/>
        <v>187064.32543841898</v>
      </c>
      <c r="P88" s="53">
        <f t="shared" si="15"/>
        <v>166681.48501380853</v>
      </c>
      <c r="Q88" s="53">
        <f t="shared" si="15"/>
        <v>147174.53046754078</v>
      </c>
      <c r="R88" s="53">
        <f t="shared" si="15"/>
        <v>128558.47178050163</v>
      </c>
      <c r="S88" s="53">
        <f t="shared" si="15"/>
        <v>110843.56734813108</v>
      </c>
      <c r="T88" s="53">
        <f t="shared" si="15"/>
        <v>94035.534222495262</v>
      </c>
      <c r="U88" s="53">
        <f t="shared" si="15"/>
        <v>78135.777384138084</v>
      </c>
      <c r="V88" s="53">
        <f t="shared" si="15"/>
        <v>63141.634958934803</v>
      </c>
      <c r="W88" s="53">
        <f t="shared" si="15"/>
        <v>49046.636347931279</v>
      </c>
      <c r="X88" s="53">
        <f t="shared" si="15"/>
        <v>35840.770320145122</v>
      </c>
      <c r="Y88" s="53">
        <f t="shared" si="15"/>
        <v>23510.760226371385</v>
      </c>
      <c r="Z88" s="53">
        <f t="shared" si="15"/>
        <v>12040.343622925138</v>
      </c>
      <c r="AA88" s="53">
        <f t="shared" si="15"/>
        <v>0</v>
      </c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2" customFormat="1" x14ac:dyDescent="0.3">
      <c r="A89" s="45" t="s">
        <v>50</v>
      </c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2" customFormat="1" x14ac:dyDescent="0.3">
      <c r="A90" s="29" t="s">
        <v>55</v>
      </c>
      <c r="B90" s="27" t="s">
        <v>54</v>
      </c>
      <c r="C90" s="53">
        <f t="shared" ref="C90:AA90" si="16">GB_act*Equity_Req</f>
        <v>62500</v>
      </c>
      <c r="D90" s="53">
        <f t="shared" si="16"/>
        <v>58406.570157525181</v>
      </c>
      <c r="E90" s="53">
        <f t="shared" si="16"/>
        <v>55061.50935918602</v>
      </c>
      <c r="F90" s="53">
        <f t="shared" si="16"/>
        <v>51785.229063769206</v>
      </c>
      <c r="G90" s="53">
        <f t="shared" si="16"/>
        <v>47270.800052923332</v>
      </c>
      <c r="H90" s="53">
        <f t="shared" si="16"/>
        <v>43992.0095341833</v>
      </c>
      <c r="I90" s="53">
        <f t="shared" si="16"/>
        <v>40784.245928929347</v>
      </c>
      <c r="J90" s="53">
        <f t="shared" si="16"/>
        <v>37654.672685359335</v>
      </c>
      <c r="K90" s="53">
        <f t="shared" si="16"/>
        <v>34609.779671709235</v>
      </c>
      <c r="L90" s="53">
        <f t="shared" si="16"/>
        <v>31655.377220892304</v>
      </c>
      <c r="M90" s="53">
        <f t="shared" si="16"/>
        <v>28796.595332024062</v>
      </c>
      <c r="N90" s="53">
        <f t="shared" si="16"/>
        <v>26037.887758510122</v>
      </c>
      <c r="O90" s="53">
        <f t="shared" si="16"/>
        <v>23383.040679802372</v>
      </c>
      <c r="P90" s="53">
        <f t="shared" si="16"/>
        <v>20835.185626726066</v>
      </c>
      <c r="Q90" s="53">
        <f t="shared" si="16"/>
        <v>18396.816308442598</v>
      </c>
      <c r="R90" s="53">
        <f t="shared" si="16"/>
        <v>16069.808972562703</v>
      </c>
      <c r="S90" s="53">
        <f t="shared" si="16"/>
        <v>13855.445918516385</v>
      </c>
      <c r="T90" s="53">
        <f t="shared" si="16"/>
        <v>11754.441777811908</v>
      </c>
      <c r="U90" s="53">
        <f t="shared" si="16"/>
        <v>9766.9721730172605</v>
      </c>
      <c r="V90" s="53">
        <f t="shared" si="16"/>
        <v>7892.7043698668504</v>
      </c>
      <c r="W90" s="53">
        <f t="shared" si="16"/>
        <v>6130.8295434914098</v>
      </c>
      <c r="X90" s="53">
        <f t="shared" si="16"/>
        <v>4480.0962900181403</v>
      </c>
      <c r="Y90" s="53">
        <f t="shared" si="16"/>
        <v>2938.8450282964232</v>
      </c>
      <c r="Z90" s="53">
        <f t="shared" si="16"/>
        <v>1505.0429528656423</v>
      </c>
      <c r="AA90" s="53">
        <f t="shared" si="16"/>
        <v>0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2" customFormat="1" x14ac:dyDescent="0.3">
      <c r="A91" s="29" t="s">
        <v>61</v>
      </c>
      <c r="B91" s="27" t="s">
        <v>56</v>
      </c>
      <c r="C91" s="53">
        <f t="shared" ref="C91:AA91" si="17">GB_act*(1-Equity_Req)</f>
        <v>437500</v>
      </c>
      <c r="D91" s="53">
        <f t="shared" si="17"/>
        <v>408845.99110267626</v>
      </c>
      <c r="E91" s="53">
        <f t="shared" si="17"/>
        <v>385430.56551430211</v>
      </c>
      <c r="F91" s="53">
        <f t="shared" si="17"/>
        <v>362496.60344638443</v>
      </c>
      <c r="G91" s="53">
        <f t="shared" si="17"/>
        <v>330895.60037046333</v>
      </c>
      <c r="H91" s="53">
        <f t="shared" si="17"/>
        <v>307944.06673928309</v>
      </c>
      <c r="I91" s="53">
        <f t="shared" si="17"/>
        <v>285489.72150250542</v>
      </c>
      <c r="J91" s="53">
        <f t="shared" si="17"/>
        <v>263582.70879751537</v>
      </c>
      <c r="K91" s="53">
        <f t="shared" si="17"/>
        <v>242268.45770196465</v>
      </c>
      <c r="L91" s="53">
        <f t="shared" si="17"/>
        <v>221587.64054624614</v>
      </c>
      <c r="M91" s="53">
        <f t="shared" si="17"/>
        <v>201576.16732416843</v>
      </c>
      <c r="N91" s="53">
        <f t="shared" si="17"/>
        <v>182265.21430957085</v>
      </c>
      <c r="O91" s="53">
        <f t="shared" si="17"/>
        <v>163681.28475861662</v>
      </c>
      <c r="P91" s="53">
        <f t="shared" si="17"/>
        <v>145846.29938708246</v>
      </c>
      <c r="Q91" s="53">
        <f t="shared" si="17"/>
        <v>128777.71415909819</v>
      </c>
      <c r="R91" s="53">
        <f t="shared" si="17"/>
        <v>112488.66280793892</v>
      </c>
      <c r="S91" s="53">
        <f t="shared" si="17"/>
        <v>96988.121429614694</v>
      </c>
      <c r="T91" s="53">
        <f t="shared" si="17"/>
        <v>82281.092444683352</v>
      </c>
      <c r="U91" s="53">
        <f t="shared" si="17"/>
        <v>68368.805211120824</v>
      </c>
      <c r="V91" s="53">
        <f t="shared" si="17"/>
        <v>55248.930589067953</v>
      </c>
      <c r="W91" s="53">
        <f t="shared" si="17"/>
        <v>42915.806804439868</v>
      </c>
      <c r="X91" s="53">
        <f t="shared" si="17"/>
        <v>31360.674030126982</v>
      </c>
      <c r="Y91" s="53">
        <f t="shared" si="17"/>
        <v>20571.915198074963</v>
      </c>
      <c r="Z91" s="53">
        <f t="shared" si="17"/>
        <v>10535.300670059496</v>
      </c>
      <c r="AA91" s="53">
        <f t="shared" si="17"/>
        <v>0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2" customFormat="1" x14ac:dyDescent="0.3">
      <c r="A92" s="29"/>
      <c r="B92" s="27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>
        <f t="shared" ref="X92:AA92" si="18">assets-Eq_req-AT1_req</f>
        <v>0</v>
      </c>
      <c r="Y92" s="29">
        <f t="shared" si="18"/>
        <v>0</v>
      </c>
      <c r="Z92" s="29">
        <f t="shared" si="18"/>
        <v>0</v>
      </c>
      <c r="AA92" s="29">
        <f t="shared" si="18"/>
        <v>0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2" customFormat="1" x14ac:dyDescent="0.3">
      <c r="A93" s="45" t="s">
        <v>53</v>
      </c>
      <c r="B93" s="27" t="s">
        <v>60</v>
      </c>
      <c r="C93" s="53">
        <v>500000</v>
      </c>
      <c r="D93" s="53">
        <f>assets-prev assets</f>
        <v>-32747.438739798556</v>
      </c>
      <c r="E93" s="53">
        <f>assets-prev assets</f>
        <v>-26760.486386713281</v>
      </c>
      <c r="F93" s="53">
        <f>assets-prev assets</f>
        <v>-26210.242363334517</v>
      </c>
      <c r="G93" s="53">
        <f>assets-prev assets</f>
        <v>-36115.432086766989</v>
      </c>
      <c r="H93" s="53">
        <f>assets-prev assets</f>
        <v>-26230.324149920256</v>
      </c>
      <c r="I93" s="53">
        <f>assets-prev assets</f>
        <v>-25662.108842031623</v>
      </c>
      <c r="J93" s="53">
        <f>assets-prev assets</f>
        <v>-25036.585948560096</v>
      </c>
      <c r="K93" s="53">
        <f>assets-prev assets</f>
        <v>-24359.144109200803</v>
      </c>
      <c r="L93" s="53">
        <f>assets-prev assets</f>
        <v>-23635.219606535451</v>
      </c>
      <c r="M93" s="53">
        <f>assets-prev assets</f>
        <v>-22870.255110945931</v>
      </c>
      <c r="N93" s="53">
        <f>assets-prev assets</f>
        <v>-22069.660588111525</v>
      </c>
      <c r="O93" s="53">
        <f>assets-prev assets</f>
        <v>-21238.776629661996</v>
      </c>
      <c r="P93" s="53">
        <f>assets-prev assets</f>
        <v>-20382.840424610447</v>
      </c>
      <c r="Q93" s="53">
        <f>assets-prev assets</f>
        <v>-19506.954546267749</v>
      </c>
      <c r="R93" s="53">
        <f>assets-prev assets</f>
        <v>-18616.058687039156</v>
      </c>
      <c r="S93" s="53">
        <f>assets-prev assets</f>
        <v>-17714.904432370546</v>
      </c>
      <c r="T93" s="53">
        <f>assets-prev assets</f>
        <v>-16808.033125635819</v>
      </c>
      <c r="U93" s="53">
        <f>assets-prev assets</f>
        <v>-15899.756838357178</v>
      </c>
      <c r="V93" s="53">
        <f>assets-prev assets</f>
        <v>-14994.142425203281</v>
      </c>
      <c r="W93" s="53">
        <f>assets-prev assets</f>
        <v>-14094.998611003524</v>
      </c>
      <c r="X93" s="53">
        <f>assets-prev assets</f>
        <v>-13205.866027786156</v>
      </c>
      <c r="Y93" s="53">
        <f>assets-prev assets</f>
        <v>-12330.010093773737</v>
      </c>
      <c r="Z93" s="53">
        <f>assets-prev assets</f>
        <v>-11470.416603446247</v>
      </c>
      <c r="AA93" s="53">
        <f>assets-prev assets</f>
        <v>-12040.343622925138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s="2" customFormat="1" x14ac:dyDescent="0.3">
      <c r="A94" s="45" t="s">
        <v>57</v>
      </c>
      <c r="B94" s="27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</row>
    <row r="95" spans="1:87" s="2" customFormat="1" x14ac:dyDescent="0.3">
      <c r="A95" s="29" t="s">
        <v>58</v>
      </c>
      <c r="B95" s="27" t="s">
        <v>59</v>
      </c>
      <c r="C95" s="53">
        <f>C90</f>
        <v>62500</v>
      </c>
      <c r="D95" s="53">
        <f>Eq_req-prev Eq_req</f>
        <v>-4093.4298424748195</v>
      </c>
      <c r="E95" s="53">
        <f>Eq_req-prev Eq_req</f>
        <v>-3345.0607983391601</v>
      </c>
      <c r="F95" s="53">
        <f>Eq_req-prev Eq_req</f>
        <v>-3276.2802954168146</v>
      </c>
      <c r="G95" s="53">
        <f>Eq_req-prev Eq_req</f>
        <v>-4514.4290108458736</v>
      </c>
      <c r="H95" s="53">
        <f>Eq_req-prev Eq_req</f>
        <v>-3278.790518740032</v>
      </c>
      <c r="I95" s="53">
        <f>Eq_req-prev Eq_req</f>
        <v>-3207.7636052539528</v>
      </c>
      <c r="J95" s="53">
        <f>Eq_req-prev Eq_req</f>
        <v>-3129.573243570012</v>
      </c>
      <c r="K95" s="53">
        <f>Eq_req-prev Eq_req</f>
        <v>-3044.8930136501003</v>
      </c>
      <c r="L95" s="53">
        <f>Eq_req-prev Eq_req</f>
        <v>-2954.4024508169314</v>
      </c>
      <c r="M95" s="53">
        <f>Eq_req-prev Eq_req</f>
        <v>-2858.7818888682414</v>
      </c>
      <c r="N95" s="53">
        <f>Eq_req-prev Eq_req</f>
        <v>-2758.7075735139406</v>
      </c>
      <c r="O95" s="53">
        <f>Eq_req-prev Eq_req</f>
        <v>-2654.8470787077495</v>
      </c>
      <c r="P95" s="53">
        <f>Eq_req-prev Eq_req</f>
        <v>-2547.8550530763059</v>
      </c>
      <c r="Q95" s="53">
        <f>Eq_req-prev Eq_req</f>
        <v>-2438.3693182834686</v>
      </c>
      <c r="R95" s="53">
        <f>Eq_req-prev Eq_req</f>
        <v>-2327.0073358798945</v>
      </c>
      <c r="S95" s="53">
        <f>Eq_req-prev Eq_req</f>
        <v>-2214.3630540463182</v>
      </c>
      <c r="T95" s="53">
        <f>Eq_req-prev Eq_req</f>
        <v>-2101.0041407044773</v>
      </c>
      <c r="U95" s="53">
        <f>Eq_req-prev Eq_req</f>
        <v>-1987.4696047946472</v>
      </c>
      <c r="V95" s="53">
        <f>Eq_req-prev Eq_req</f>
        <v>-1874.2678031504101</v>
      </c>
      <c r="W95" s="53">
        <f>Eq_req-prev Eq_req</f>
        <v>-1761.8748263754405</v>
      </c>
      <c r="X95" s="53">
        <f>Eq_req-prev Eq_req</f>
        <v>-1650.7332534732695</v>
      </c>
      <c r="Y95" s="53">
        <f>Eq_req-prev Eq_req</f>
        <v>-1541.2512617217171</v>
      </c>
      <c r="Z95" s="53">
        <f>Eq_req-prev Eq_req</f>
        <v>-1433.8020754307809</v>
      </c>
      <c r="AA95" s="53">
        <f>Eq_req-prev Eq_req</f>
        <v>-1505.0429528656423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</row>
    <row r="96" spans="1:87" s="2" customFormat="1" x14ac:dyDescent="0.3">
      <c r="A96" s="29" t="s">
        <v>62</v>
      </c>
      <c r="B96" s="27" t="s">
        <v>63</v>
      </c>
      <c r="C96" s="53">
        <f>C91</f>
        <v>437500</v>
      </c>
      <c r="D96" s="53">
        <f>Fund_req-prev Fund_req</f>
        <v>-28654.008897323743</v>
      </c>
      <c r="E96" s="53">
        <f>Fund_req-prev Fund_req</f>
        <v>-23415.425588374143</v>
      </c>
      <c r="F96" s="53">
        <f>Fund_req-prev Fund_req</f>
        <v>-22933.962067917688</v>
      </c>
      <c r="G96" s="53">
        <f>Fund_req-prev Fund_req</f>
        <v>-31601.003075921093</v>
      </c>
      <c r="H96" s="53">
        <f>Fund_req-prev Fund_req</f>
        <v>-22951.533631180238</v>
      </c>
      <c r="I96" s="53">
        <f>Fund_req-prev Fund_req</f>
        <v>-22454.345236777677</v>
      </c>
      <c r="J96" s="53">
        <f>Fund_req-prev Fund_req</f>
        <v>-21907.012704990047</v>
      </c>
      <c r="K96" s="53">
        <f>Fund_req-prev Fund_req</f>
        <v>-21314.251095550717</v>
      </c>
      <c r="L96" s="53">
        <f>Fund_req-prev Fund_req</f>
        <v>-20680.817155718512</v>
      </c>
      <c r="M96" s="53">
        <f>Fund_req-prev Fund_req</f>
        <v>-20011.473222077708</v>
      </c>
      <c r="N96" s="53">
        <f>Fund_req-prev Fund_req</f>
        <v>-19310.953014597588</v>
      </c>
      <c r="O96" s="53">
        <f>Fund_req-prev Fund_req</f>
        <v>-18583.929550954228</v>
      </c>
      <c r="P96" s="53">
        <f>Fund_req-prev Fund_req</f>
        <v>-17834.98537153416</v>
      </c>
      <c r="Q96" s="53">
        <f>Fund_req-prev Fund_req</f>
        <v>-17068.585227984266</v>
      </c>
      <c r="R96" s="53">
        <f>Fund_req-prev Fund_req</f>
        <v>-16289.051351159273</v>
      </c>
      <c r="S96" s="53">
        <f>Fund_req-prev Fund_req</f>
        <v>-15500.541378324226</v>
      </c>
      <c r="T96" s="53">
        <f>Fund_req-prev Fund_req</f>
        <v>-14707.028984931341</v>
      </c>
      <c r="U96" s="53">
        <f>Fund_req-prev Fund_req</f>
        <v>-13912.287233562529</v>
      </c>
      <c r="V96" s="53">
        <f>Fund_req-prev Fund_req</f>
        <v>-13119.87462205287</v>
      </c>
      <c r="W96" s="53">
        <f>Fund_req-prev Fund_req</f>
        <v>-12333.123784628086</v>
      </c>
      <c r="X96" s="53">
        <f>Fund_req-prev Fund_req</f>
        <v>-11555.132774312886</v>
      </c>
      <c r="Y96" s="53">
        <f>Fund_req-prev Fund_req</f>
        <v>-10788.758832052019</v>
      </c>
      <c r="Z96" s="53">
        <f>Fund_req-prev Fund_req</f>
        <v>-10036.614528015467</v>
      </c>
      <c r="AA96" s="53">
        <f>Fund_req-prev Fund_req</f>
        <v>-10535.300670059496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</row>
    <row r="97" spans="1:87" x14ac:dyDescent="0.3">
      <c r="A97" s="29"/>
      <c r="B97" s="27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87" ht="15.6" x14ac:dyDescent="0.3">
      <c r="A98" s="77" t="s">
        <v>21</v>
      </c>
      <c r="B98" s="27"/>
      <c r="C98" s="10"/>
      <c r="E98" s="58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87" x14ac:dyDescent="0.3">
      <c r="A99" s="9" t="s">
        <v>22</v>
      </c>
      <c r="B99" s="64" t="s">
        <v>23</v>
      </c>
      <c r="C99" s="65">
        <f>1/(1+discount_rate_month)^(statement_no)</f>
        <v>1</v>
      </c>
      <c r="D99" s="65">
        <f>1/(1+discount_rate_month)^(statement_no)</f>
        <v>0.97837358933250107</v>
      </c>
      <c r="E99" s="65">
        <f t="shared" ref="E99:AA99" si="19">1/(1+discount_rate_month)^(statement_no)</f>
        <v>0.95721488030336144</v>
      </c>
      <c r="F99" s="65">
        <f t="shared" si="19"/>
        <v>0.93651375820488014</v>
      </c>
      <c r="G99" s="65">
        <f t="shared" si="19"/>
        <v>0.91626032707417848</v>
      </c>
      <c r="H99" s="65">
        <f t="shared" si="19"/>
        <v>0.89644490496253548</v>
      </c>
      <c r="I99" s="65">
        <f t="shared" si="19"/>
        <v>0.87705801930702865</v>
      </c>
      <c r="J99" s="65">
        <f t="shared" si="19"/>
        <v>0.85809040240227163</v>
      </c>
      <c r="K99" s="65">
        <f t="shared" si="19"/>
        <v>0.83953298697008061</v>
      </c>
      <c r="L99" s="65">
        <f t="shared" si="19"/>
        <v>0.8213769018249536</v>
      </c>
      <c r="M99" s="65">
        <f t="shared" si="19"/>
        <v>0.80361346763328922</v>
      </c>
      <c r="N99" s="65">
        <f t="shared" si="19"/>
        <v>0.78623419276431894</v>
      </c>
      <c r="O99" s="65">
        <f t="shared" si="19"/>
        <v>0.76923076923076805</v>
      </c>
      <c r="P99" s="65">
        <f t="shared" si="19"/>
        <v>0.75259506871730741</v>
      </c>
      <c r="Q99" s="65">
        <f t="shared" si="19"/>
        <v>0.73631913869489241</v>
      </c>
      <c r="R99" s="65">
        <f t="shared" si="19"/>
        <v>0.72039519861913748</v>
      </c>
      <c r="S99" s="65">
        <f t="shared" si="19"/>
        <v>0.70481563621090548</v>
      </c>
      <c r="T99" s="65">
        <f t="shared" si="19"/>
        <v>0.68957300381733388</v>
      </c>
      <c r="U99" s="65">
        <f t="shared" si="19"/>
        <v>0.67466001485155946</v>
      </c>
      <c r="V99" s="65">
        <f t="shared" si="19"/>
        <v>0.66006954030943865</v>
      </c>
      <c r="W99" s="65">
        <f t="shared" si="19"/>
        <v>0.64579460536159949</v>
      </c>
      <c r="X99" s="65">
        <f t="shared" si="19"/>
        <v>0.63182838601919411</v>
      </c>
      <c r="Y99" s="65">
        <f t="shared" si="19"/>
        <v>0.61816420587176002</v>
      </c>
      <c r="Z99" s="65">
        <f t="shared" si="19"/>
        <v>0.60479553289562893</v>
      </c>
      <c r="AA99" s="65">
        <f t="shared" si="19"/>
        <v>0.59171597633135908</v>
      </c>
    </row>
    <row r="100" spans="1:87" x14ac:dyDescent="0.3">
      <c r="B100" s="66">
        <f>((1+discount_rate)^(1/12)-1)</f>
        <v>2.2104450593615876E-2</v>
      </c>
      <c r="C100" s="10"/>
      <c r="D100" s="9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87" x14ac:dyDescent="0.3">
      <c r="A101" s="9" t="s">
        <v>107</v>
      </c>
      <c r="B101" s="68">
        <f>SUMPRODUCT(Cash_flow_to_Client,coeff_discount)</f>
        <v>15431.599173234856</v>
      </c>
      <c r="C101" s="69">
        <f>initial_amount-repayment</f>
        <v>500000</v>
      </c>
      <c r="D101" s="67">
        <f>-repayment</f>
        <v>-46747.438739798556</v>
      </c>
      <c r="E101" s="67">
        <f>-repayment</f>
        <v>-38423.548775504321</v>
      </c>
      <c r="F101" s="67">
        <f>-repayment</f>
        <v>-37202.553641203165</v>
      </c>
      <c r="G101" s="67">
        <f t="shared" ref="G101:AA101" si="20">-repayment</f>
        <v>-36602.434489467691</v>
      </c>
      <c r="H101" s="67">
        <f t="shared" si="20"/>
        <v>-33900.223453494036</v>
      </c>
      <c r="I101" s="67">
        <f t="shared" si="20"/>
        <v>-32554.891598937589</v>
      </c>
      <c r="J101" s="67">
        <f t="shared" si="20"/>
        <v>-31214.742350637076</v>
      </c>
      <c r="K101" s="67">
        <f t="shared" si="20"/>
        <v>-29881.248264964717</v>
      </c>
      <c r="L101" s="67">
        <f t="shared" si="20"/>
        <v>-28555.895311543463</v>
      </c>
      <c r="M101" s="67">
        <f t="shared" si="20"/>
        <v>-27240.181754417434</v>
      </c>
      <c r="N101" s="67">
        <f t="shared" si="20"/>
        <v>-25935.615860969698</v>
      </c>
      <c r="O101" s="67">
        <f t="shared" si="20"/>
        <v>-24643.712522271908</v>
      </c>
      <c r="P101" s="67">
        <f t="shared" si="20"/>
        <v>-23365.988884806531</v>
      </c>
      <c r="Q101" s="67">
        <f t="shared" si="20"/>
        <v>-22103.959106947997</v>
      </c>
      <c r="R101" s="67">
        <f t="shared" si="20"/>
        <v>-20859.128364160752</v>
      </c>
      <c r="S101" s="67">
        <f t="shared" si="20"/>
        <v>-19632.986234571803</v>
      </c>
      <c r="T101" s="67">
        <f t="shared" si="20"/>
        <v>-18426.999601457617</v>
      </c>
      <c r="U101" s="67">
        <f t="shared" si="20"/>
        <v>-17242.605211345952</v>
      </c>
      <c r="V101" s="67">
        <f t="shared" si="20"/>
        <v>-16081.202026033203</v>
      </c>
      <c r="W101" s="67">
        <f t="shared" si="20"/>
        <v>-14944.143504029711</v>
      </c>
      <c r="X101" s="67">
        <f t="shared" si="20"/>
        <v>-13832.72994198635</v>
      </c>
      <c r="Y101" s="67">
        <f t="shared" si="20"/>
        <v>-12748.200999774108</v>
      </c>
      <c r="Z101" s="67">
        <f t="shared" si="20"/>
        <v>-11691.728524325379</v>
      </c>
      <c r="AA101" s="67">
        <f t="shared" si="20"/>
        <v>-12074.963522031683</v>
      </c>
    </row>
    <row r="102" spans="1:87" x14ac:dyDescent="0.3">
      <c r="A102" s="9" t="s">
        <v>108</v>
      </c>
      <c r="B102" s="68">
        <f>SUMPRODUCT(to_bondholders,coeff_discount)</f>
        <v>-30895.699711071538</v>
      </c>
      <c r="C102" s="69">
        <f>Cost_of_Funds-Fund_req_chng</f>
        <v>-437500</v>
      </c>
      <c r="D102" s="69">
        <f t="shared" ref="D102:AA102" si="21">Cost_of_Funds-Fund_req_chng</f>
        <v>34851.925563990408</v>
      </c>
      <c r="E102" s="69">
        <f t="shared" si="21"/>
        <v>29207.410462328724</v>
      </c>
      <c r="F102" s="69">
        <f t="shared" si="21"/>
        <v>28394.228412703633</v>
      </c>
      <c r="G102" s="69">
        <f t="shared" si="21"/>
        <v>36736.371624744876</v>
      </c>
      <c r="H102" s="69">
        <f t="shared" si="21"/>
        <v>27639.221303095135</v>
      </c>
      <c r="I102" s="69">
        <f t="shared" si="21"/>
        <v>26816.886182250855</v>
      </c>
      <c r="J102" s="69">
        <f t="shared" si="21"/>
        <v>25951.45042627554</v>
      </c>
      <c r="K102" s="69">
        <f t="shared" si="21"/>
        <v>25048.339470182185</v>
      </c>
      <c r="L102" s="69">
        <f t="shared" si="21"/>
        <v>24112.953639829677</v>
      </c>
      <c r="M102" s="69">
        <f t="shared" si="21"/>
        <v>23150.63146314953</v>
      </c>
      <c r="N102" s="69">
        <f t="shared" si="21"/>
        <v>22166.615385023309</v>
      </c>
      <c r="O102" s="69">
        <f t="shared" si="21"/>
        <v>21166.02008700648</v>
      </c>
      <c r="P102" s="69">
        <f t="shared" si="21"/>
        <v>20153.803572281227</v>
      </c>
      <c r="Q102" s="69">
        <f t="shared" si="21"/>
        <v>19134.741135967935</v>
      </c>
      <c r="R102" s="69">
        <f t="shared" si="21"/>
        <v>18113.402301746497</v>
      </c>
      <c r="S102" s="69">
        <f t="shared" si="21"/>
        <v>17094.130768103361</v>
      </c>
      <c r="T102" s="69">
        <f t="shared" si="21"/>
        <v>16081.027371850883</v>
      </c>
      <c r="U102" s="69">
        <f t="shared" si="21"/>
        <v>15077.936043195543</v>
      </c>
      <c r="V102" s="69">
        <f t="shared" si="21"/>
        <v>14088.432695877082</v>
      </c>
      <c r="W102" s="69">
        <f t="shared" si="21"/>
        <v>13115.816967973215</v>
      </c>
      <c r="X102" s="69">
        <f t="shared" si="21"/>
        <v>12163.106704042451</v>
      </c>
      <c r="Y102" s="69">
        <f t="shared" si="21"/>
        <v>11233.035047478817</v>
      </c>
      <c r="Z102" s="69">
        <f t="shared" si="21"/>
        <v>10328.049993321529</v>
      </c>
      <c r="AA102" s="69">
        <f t="shared" si="21"/>
        <v>10684.550762885339</v>
      </c>
    </row>
    <row r="103" spans="1:87" x14ac:dyDescent="0.3">
      <c r="A103" s="9" t="s">
        <v>109</v>
      </c>
      <c r="B103" s="68">
        <f>SUMPRODUCT(cost_tax,coeff_discount)</f>
        <v>7168.8933253776477</v>
      </c>
      <c r="C103" s="69">
        <f t="shared" ref="C103:AA103" si="22">Operation_cost+collect_cost+Tax</f>
        <v>0</v>
      </c>
      <c r="D103" s="69">
        <f t="shared" si="22"/>
        <v>1640.4166666666667</v>
      </c>
      <c r="E103" s="69">
        <f t="shared" si="22"/>
        <v>1280.4002322370343</v>
      </c>
      <c r="F103" s="69">
        <f t="shared" si="22"/>
        <v>1214.5977957163861</v>
      </c>
      <c r="G103" s="69">
        <f t="shared" si="22"/>
        <v>-820.55279814660298</v>
      </c>
      <c r="H103" s="69">
        <f t="shared" si="22"/>
        <v>704.47472103812345</v>
      </c>
      <c r="I103" s="69">
        <f t="shared" si="22"/>
        <v>605.75292778163305</v>
      </c>
      <c r="J103" s="69">
        <f t="shared" si="22"/>
        <v>525.49064777544436</v>
      </c>
      <c r="K103" s="69">
        <f t="shared" si="22"/>
        <v>455.11076873212562</v>
      </c>
      <c r="L103" s="69">
        <f t="shared" si="22"/>
        <v>393.71607938789174</v>
      </c>
      <c r="M103" s="69">
        <f t="shared" si="22"/>
        <v>340.42428537379817</v>
      </c>
      <c r="N103" s="69">
        <f t="shared" si="22"/>
        <v>294.37521559193334</v>
      </c>
      <c r="O103" s="69">
        <f t="shared" si="22"/>
        <v>254.73723916433491</v>
      </c>
      <c r="P103" s="69">
        <f t="shared" si="22"/>
        <v>220.71287634630738</v>
      </c>
      <c r="Q103" s="69">
        <f t="shared" si="22"/>
        <v>191.54359842579134</v>
      </c>
      <c r="R103" s="69">
        <f t="shared" si="22"/>
        <v>166.51382245894928</v>
      </c>
      <c r="S103" s="69">
        <f t="shared" si="22"/>
        <v>144.9541166138215</v>
      </c>
      <c r="T103" s="69">
        <f t="shared" si="22"/>
        <v>126.24364082673279</v>
      </c>
      <c r="U103" s="69">
        <f t="shared" si="22"/>
        <v>109.81185536129428</v>
      </c>
      <c r="V103" s="69">
        <f t="shared" si="22"/>
        <v>95.139536660518857</v>
      </c>
      <c r="W103" s="69">
        <f t="shared" si="22"/>
        <v>81.759145583281835</v>
      </c>
      <c r="X103" s="69">
        <f t="shared" si="22"/>
        <v>69.254597720659007</v>
      </c>
      <c r="Y103" s="69">
        <f t="shared" si="22"/>
        <v>57.260489017423609</v>
      </c>
      <c r="Z103" s="69">
        <f t="shared" si="22"/>
        <v>45.460832416403946</v>
      </c>
      <c r="AA103" s="69">
        <f t="shared" si="22"/>
        <v>33.587362749777135</v>
      </c>
    </row>
    <row r="104" spans="1:87" s="7" customFormat="1" x14ac:dyDescent="0.3">
      <c r="A104" s="70" t="s">
        <v>110</v>
      </c>
      <c r="B104" s="71">
        <f>SUMPRODUCT(shareholders,coeff_discount)</f>
        <v>8295.2072124590159</v>
      </c>
      <c r="C104" s="72">
        <f t="shared" ref="C104:AA104" si="23">Net_Income_Atax-Eq_req_chng</f>
        <v>-62500</v>
      </c>
      <c r="D104" s="72">
        <f t="shared" si="23"/>
        <v>10255.096509141486</v>
      </c>
      <c r="E104" s="72">
        <f t="shared" si="23"/>
        <v>7935.7380809385841</v>
      </c>
      <c r="F104" s="72">
        <f t="shared" si="23"/>
        <v>7593.7274327831274</v>
      </c>
      <c r="G104" s="72">
        <f t="shared" si="23"/>
        <v>686.61566286940206</v>
      </c>
      <c r="H104" s="72">
        <f t="shared" si="23"/>
        <v>5556.5274293607881</v>
      </c>
      <c r="I104" s="72">
        <f t="shared" si="23"/>
        <v>5132.252488905111</v>
      </c>
      <c r="J104" s="72">
        <f t="shared" si="23"/>
        <v>4737.8012765860522</v>
      </c>
      <c r="K104" s="72">
        <f t="shared" si="23"/>
        <v>4377.79802605042</v>
      </c>
      <c r="L104" s="72">
        <f t="shared" si="23"/>
        <v>4049.2255923258867</v>
      </c>
      <c r="M104" s="72">
        <f t="shared" si="23"/>
        <v>3749.1260058941252</v>
      </c>
      <c r="N104" s="72">
        <f t="shared" si="23"/>
        <v>3474.6252603544613</v>
      </c>
      <c r="O104" s="72">
        <f t="shared" si="23"/>
        <v>3222.9551961010729</v>
      </c>
      <c r="P104" s="72">
        <f t="shared" si="23"/>
        <v>2991.4724361790149</v>
      </c>
      <c r="Q104" s="72">
        <f t="shared" si="23"/>
        <v>2777.6743725542583</v>
      </c>
      <c r="R104" s="72">
        <f t="shared" si="23"/>
        <v>2579.2122399553145</v>
      </c>
      <c r="S104" s="72">
        <f t="shared" si="23"/>
        <v>2393.9013498546201</v>
      </c>
      <c r="T104" s="72">
        <f t="shared" si="23"/>
        <v>2219.7285887800003</v>
      </c>
      <c r="U104" s="72">
        <f t="shared" si="23"/>
        <v>2054.857312789115</v>
      </c>
      <c r="V104" s="72">
        <f t="shared" si="23"/>
        <v>1897.6297934956017</v>
      </c>
      <c r="W104" s="72">
        <f t="shared" si="23"/>
        <v>1746.5673904732153</v>
      </c>
      <c r="X104" s="72">
        <f t="shared" si="23"/>
        <v>1600.3686402232399</v>
      </c>
      <c r="Y104" s="72">
        <f t="shared" si="23"/>
        <v>1457.9054632778655</v>
      </c>
      <c r="Z104" s="72">
        <f t="shared" si="23"/>
        <v>1318.2176985874478</v>
      </c>
      <c r="AA104" s="72">
        <f t="shared" si="23"/>
        <v>1356.8253963965676</v>
      </c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</row>
    <row r="105" spans="1:87" x14ac:dyDescent="0.3">
      <c r="A105" s="73"/>
      <c r="C105" s="74">
        <v>-62499.841999999997</v>
      </c>
      <c r="D105" s="74">
        <v>7013.8196294079262</v>
      </c>
      <c r="E105" s="74">
        <v>5791.9432377544508</v>
      </c>
      <c r="F105" s="74">
        <v>5689.4548950202461</v>
      </c>
      <c r="G105" s="74">
        <v>-5229.1033213884366</v>
      </c>
      <c r="H105" s="74">
        <v>2796.0011834785464</v>
      </c>
      <c r="I105" s="74">
        <v>2506.3731006017915</v>
      </c>
      <c r="J105" s="74">
        <v>2246.329156959358</v>
      </c>
      <c r="K105" s="74">
        <v>2023.4347139357185</v>
      </c>
      <c r="L105" s="74">
        <v>1834.9851537589602</v>
      </c>
      <c r="M105" s="74">
        <v>1677.726406278432</v>
      </c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87" x14ac:dyDescent="0.3">
      <c r="C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87" x14ac:dyDescent="0.3">
      <c r="A107" s="9" t="s">
        <v>45</v>
      </c>
      <c r="B107" s="75" t="s">
        <v>46</v>
      </c>
      <c r="C107" s="58">
        <f>CFtS*coeff_discount</f>
        <v>-62500</v>
      </c>
      <c r="D107" s="58">
        <f>prev C107 + CFtS*coeff_discount</f>
        <v>-52466.684419400044</v>
      </c>
      <c r="E107" s="58">
        <f>prev D107 + CFtS*coeff_discount</f>
        <v>-44870.477842135588</v>
      </c>
      <c r="F107" s="58">
        <f>prev E107 + CFtS*coeff_discount</f>
        <v>-37758.847625276365</v>
      </c>
      <c r="G107" s="58">
        <f>prev F107 + CFtS*coeff_discount</f>
        <v>-37129.728933441394</v>
      </c>
      <c r="H107" s="58">
        <f>prev G107 + CFtS*coeff_discount</f>
        <v>-32148.608230106343</v>
      </c>
      <c r="I107" s="58">
        <f>prev H107 + CFtS*coeff_discount</f>
        <v>-27647.32502760366</v>
      </c>
      <c r="J107" s="58">
        <f>prev I107 + CFtS*coeff_discount</f>
        <v>-23581.863223675937</v>
      </c>
      <c r="K107" s="58">
        <f>prev J107 + CFtS*coeff_discount</f>
        <v>-19906.557370514107</v>
      </c>
      <c r="L107" s="58">
        <f>prev K107 + CFtS*coeff_discount</f>
        <v>-16580.616998699159</v>
      </c>
      <c r="M107" s="58">
        <f>prev L107 + CFtS*coeff_discount</f>
        <v>-13567.768848508438</v>
      </c>
      <c r="N107" s="58">
        <f>prev M107 + CFtS*coeff_discount</f>
        <v>-10835.899661775136</v>
      </c>
      <c r="O107" s="58">
        <f>prev N107 + CFtS*coeff_discount</f>
        <v>-8356.7033570820076</v>
      </c>
      <c r="P107" s="58">
        <f>prev O107 + CFtS*coeff_discount</f>
        <v>-6105.3359534099309</v>
      </c>
      <c r="Q107" s="58">
        <f>prev P107 + CFtS*coeff_discount</f>
        <v>-4060.0811518359037</v>
      </c>
      <c r="R107" s="58">
        <f>prev Q107 + CFtS*coeff_discount</f>
        <v>-2202.0290379523844</v>
      </c>
      <c r="S107" s="58">
        <f>prev R107 + CFtS*coeff_discount</f>
        <v>-514.76993502845494</v>
      </c>
      <c r="T107" s="58">
        <f>prev S107 + CFtS*coeff_discount</f>
        <v>1015.8949755957815</v>
      </c>
      <c r="U107" s="58">
        <f>prev T107 + CFtS*coeff_discount</f>
        <v>2402.2250407599213</v>
      </c>
      <c r="V107" s="58">
        <f>prev U107 + CFtS*coeff_discount</f>
        <v>3654.7926662300579</v>
      </c>
      <c r="W107" s="58">
        <f>prev V107 + CFtS*coeff_discount</f>
        <v>4782.716464898147</v>
      </c>
      <c r="X107" s="58">
        <f>prev W107 + CFtS*coeff_discount</f>
        <v>5793.874799886129</v>
      </c>
      <c r="Y107" s="58">
        <f>prev X107 + CFtS*coeff_discount</f>
        <v>6695.0997728293914</v>
      </c>
      <c r="Z107" s="58">
        <f>prev Y107 + CFtS*coeff_discount</f>
        <v>7492.3519483190366</v>
      </c>
      <c r="AA107" s="58">
        <f>prev Z107 + CFtS*coeff_discount</f>
        <v>8295.2072124590159</v>
      </c>
    </row>
    <row r="108" spans="1:87" x14ac:dyDescent="0.3"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spans="1:87" x14ac:dyDescent="0.3">
      <c r="D109" s="46"/>
      <c r="E109" s="76"/>
      <c r="F109" s="40"/>
      <c r="G109" s="40"/>
      <c r="H109" s="40"/>
      <c r="I109" s="41"/>
      <c r="J109" s="41"/>
      <c r="K109" s="28"/>
    </row>
    <row r="110" spans="1:87" x14ac:dyDescent="0.3">
      <c r="D110" s="46"/>
      <c r="E110" s="76"/>
      <c r="F110" s="40"/>
      <c r="G110" s="40"/>
      <c r="H110" s="40"/>
      <c r="I110" s="41"/>
      <c r="J110" s="41"/>
      <c r="K110" s="28"/>
    </row>
    <row r="111" spans="1:87" x14ac:dyDescent="0.3">
      <c r="D111" s="46"/>
      <c r="E111" s="76"/>
      <c r="F111" s="40"/>
      <c r="G111" s="40"/>
      <c r="H111" s="40"/>
      <c r="I111" s="41"/>
      <c r="J111" s="41"/>
      <c r="K111" s="28"/>
    </row>
    <row r="112" spans="1:87" x14ac:dyDescent="0.3">
      <c r="D112" s="46"/>
      <c r="E112" s="76"/>
      <c r="F112" s="41"/>
      <c r="G112" s="41"/>
      <c r="H112" s="41"/>
      <c r="I112" s="41"/>
      <c r="J112" s="41"/>
      <c r="K112" s="28"/>
    </row>
    <row r="113" spans="4:11" x14ac:dyDescent="0.3">
      <c r="D113" s="46"/>
      <c r="E113" s="76"/>
      <c r="F113" s="41"/>
      <c r="G113" s="41"/>
      <c r="H113" s="41"/>
      <c r="I113" s="41"/>
      <c r="J113" s="41"/>
      <c r="K113" s="28"/>
    </row>
    <row r="114" spans="4:11" x14ac:dyDescent="0.3">
      <c r="D114" s="46"/>
      <c r="E114" s="76"/>
      <c r="F114" s="41"/>
      <c r="G114" s="41"/>
      <c r="H114" s="41"/>
      <c r="I114" s="41"/>
      <c r="J114" s="41"/>
      <c r="K114" s="28"/>
    </row>
    <row r="115" spans="4:11" x14ac:dyDescent="0.3">
      <c r="D115" s="46"/>
      <c r="E115" s="76"/>
      <c r="F115" s="41"/>
      <c r="G115" s="41"/>
      <c r="H115" s="41"/>
      <c r="I115" s="41"/>
      <c r="J115" s="41"/>
      <c r="K115" s="28"/>
    </row>
    <row r="116" spans="4:11" x14ac:dyDescent="0.3">
      <c r="D116" s="58"/>
      <c r="E116" s="76"/>
      <c r="F116" s="28"/>
      <c r="G116" s="28"/>
      <c r="H116" s="28"/>
      <c r="I116" s="28"/>
      <c r="J116" s="41"/>
      <c r="K116" s="28"/>
    </row>
    <row r="117" spans="4:11" x14ac:dyDescent="0.3">
      <c r="D117" s="58"/>
      <c r="E117" s="76"/>
      <c r="F117" s="28"/>
      <c r="G117" s="28"/>
      <c r="H117" s="28"/>
      <c r="I117" s="28"/>
      <c r="J117" s="28"/>
      <c r="K117" s="28"/>
    </row>
    <row r="118" spans="4:11" x14ac:dyDescent="0.3">
      <c r="D118" s="58"/>
      <c r="E118" s="76"/>
      <c r="F118" s="28"/>
      <c r="G118" s="28"/>
      <c r="H118" s="28"/>
      <c r="I118" s="28"/>
      <c r="J118" s="28"/>
      <c r="K118" s="28"/>
    </row>
    <row r="119" spans="4:11" x14ac:dyDescent="0.3">
      <c r="E119" s="76"/>
    </row>
    <row r="120" spans="4:11" x14ac:dyDescent="0.3">
      <c r="E120" s="76"/>
    </row>
    <row r="121" spans="4:11" x14ac:dyDescent="0.3">
      <c r="E121" s="67"/>
    </row>
    <row r="122" spans="4:11" x14ac:dyDescent="0.3">
      <c r="E122" s="67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22"/>
  <sheetViews>
    <sheetView topLeftCell="A97" zoomScaleNormal="100" workbookViewId="0">
      <pane xSplit="1" topLeftCell="T1" activePane="topRight" state="frozen"/>
      <selection activeCell="A12" sqref="A12"/>
      <selection pane="topRight" activeCell="Q128" sqref="Q128"/>
    </sheetView>
  </sheetViews>
  <sheetFormatPr defaultColWidth="9.109375" defaultRowHeight="14.4" x14ac:dyDescent="0.3"/>
  <cols>
    <col min="1" max="1" width="40" style="9" customWidth="1"/>
    <col min="2" max="2" width="19.44140625" style="9" customWidth="1"/>
    <col min="3" max="3" width="19.6640625" style="9" customWidth="1"/>
    <col min="4" max="4" width="11.44140625" style="10" customWidth="1"/>
    <col min="5" max="5" width="18" style="9" customWidth="1"/>
    <col min="6" max="6" width="12.6640625" style="9" bestFit="1" customWidth="1"/>
    <col min="7" max="7" width="13.44140625" style="9" bestFit="1" customWidth="1"/>
    <col min="8" max="8" width="12.6640625" style="9" bestFit="1" customWidth="1"/>
    <col min="9" max="9" width="13" style="9" bestFit="1" customWidth="1"/>
    <col min="10" max="10" width="14.109375" style="9" bestFit="1" customWidth="1"/>
    <col min="11" max="11" width="10" style="9" customWidth="1"/>
    <col min="12" max="15" width="13" style="9" bestFit="1" customWidth="1"/>
    <col min="16" max="16" width="12.77734375" style="9" bestFit="1" customWidth="1"/>
    <col min="17" max="27" width="11.77734375" style="9" bestFit="1" customWidth="1"/>
    <col min="28" max="87" width="9.109375" style="9"/>
    <col min="88" max="16384" width="9.109375" style="1"/>
  </cols>
  <sheetData>
    <row r="2" spans="1:87" x14ac:dyDescent="0.3">
      <c r="CE2" s="1"/>
      <c r="CF2" s="1"/>
      <c r="CG2" s="1"/>
      <c r="CH2" s="1"/>
      <c r="CI2" s="1"/>
    </row>
    <row r="3" spans="1:87" x14ac:dyDescent="0.3">
      <c r="CE3" s="1"/>
      <c r="CF3" s="1"/>
      <c r="CG3" s="1"/>
      <c r="CH3" s="1"/>
      <c r="CI3" s="1"/>
    </row>
    <row r="4" spans="1:87" x14ac:dyDescent="0.3">
      <c r="CE4" s="1"/>
      <c r="CF4" s="1"/>
      <c r="CG4" s="1"/>
      <c r="CH4" s="1"/>
      <c r="CI4" s="1"/>
    </row>
    <row r="5" spans="1:87" x14ac:dyDescent="0.3">
      <c r="CE5" s="1"/>
      <c r="CF5" s="1"/>
      <c r="CG5" s="1"/>
      <c r="CH5" s="1"/>
      <c r="CI5" s="1"/>
    </row>
    <row r="6" spans="1:87" x14ac:dyDescent="0.3">
      <c r="CE6" s="1"/>
      <c r="CF6" s="1"/>
      <c r="CG6" s="1"/>
      <c r="CH6" s="1"/>
      <c r="CI6" s="1"/>
    </row>
    <row r="7" spans="1:87" ht="15.6" x14ac:dyDescent="0.3">
      <c r="A7" s="77" t="s">
        <v>0</v>
      </c>
      <c r="B7" s="11"/>
      <c r="C7" s="11"/>
      <c r="CE7" s="1"/>
      <c r="CF7" s="1"/>
      <c r="CG7" s="1"/>
      <c r="CH7" s="1"/>
      <c r="CI7" s="1"/>
    </row>
    <row r="8" spans="1:87" x14ac:dyDescent="0.3">
      <c r="A8" s="13" t="s">
        <v>1</v>
      </c>
      <c r="B8" s="12" t="s">
        <v>25</v>
      </c>
      <c r="C8" s="14">
        <v>0.05</v>
      </c>
      <c r="CE8" s="1"/>
      <c r="CF8" s="1"/>
      <c r="CG8" s="1"/>
      <c r="CH8" s="1"/>
      <c r="CI8" s="1"/>
    </row>
    <row r="9" spans="1:87" x14ac:dyDescent="0.3">
      <c r="A9" s="15" t="s">
        <v>67</v>
      </c>
      <c r="B9" s="12" t="s">
        <v>113</v>
      </c>
      <c r="C9" s="14">
        <v>0.14000000000000001</v>
      </c>
      <c r="CE9" s="1"/>
      <c r="CF9" s="1"/>
      <c r="CG9" s="1"/>
      <c r="CH9" s="1"/>
      <c r="CI9" s="1"/>
    </row>
    <row r="10" spans="1:87" x14ac:dyDescent="0.3">
      <c r="A10" s="15" t="s">
        <v>68</v>
      </c>
      <c r="B10" s="12" t="s">
        <v>70</v>
      </c>
      <c r="C10" s="16">
        <v>500000</v>
      </c>
      <c r="CE10" s="1"/>
      <c r="CF10" s="1"/>
      <c r="CG10" s="1"/>
      <c r="CH10" s="1"/>
      <c r="CI10" s="1"/>
    </row>
    <row r="11" spans="1:87" x14ac:dyDescent="0.3">
      <c r="A11" s="15" t="s">
        <v>69</v>
      </c>
      <c r="B11" s="12" t="s">
        <v>69</v>
      </c>
      <c r="C11" s="16">
        <v>24</v>
      </c>
      <c r="CE11" s="1"/>
      <c r="CF11" s="1"/>
      <c r="CG11" s="1"/>
      <c r="CH11" s="1"/>
      <c r="CI11" s="1"/>
    </row>
    <row r="12" spans="1:87" x14ac:dyDescent="0.3">
      <c r="A12" s="17" t="s">
        <v>5</v>
      </c>
      <c r="B12" s="12" t="s">
        <v>71</v>
      </c>
      <c r="C12" s="18">
        <f>initial_amount * (interest_rate/12)/(1-POWER(1+interest_rate/12,-initial_term))</f>
        <v>26435.54862662495</v>
      </c>
      <c r="CE12" s="1"/>
      <c r="CF12" s="1"/>
      <c r="CG12" s="1"/>
      <c r="CH12" s="1"/>
      <c r="CI12" s="1"/>
    </row>
    <row r="13" spans="1:87" x14ac:dyDescent="0.3">
      <c r="A13" s="19"/>
      <c r="B13" s="19"/>
      <c r="C13" s="19"/>
      <c r="CE13" s="1"/>
      <c r="CF13" s="1"/>
      <c r="CG13" s="1"/>
      <c r="CH13" s="1"/>
      <c r="CI13" s="1"/>
    </row>
    <row r="14" spans="1:87" ht="15.6" x14ac:dyDescent="0.3">
      <c r="A14" s="77" t="s">
        <v>2</v>
      </c>
      <c r="B14" s="19"/>
      <c r="C14" s="19"/>
      <c r="CE14" s="1"/>
      <c r="CF14" s="1"/>
      <c r="CG14" s="1"/>
      <c r="CH14" s="1"/>
      <c r="CI14" s="1"/>
    </row>
    <row r="15" spans="1:87" x14ac:dyDescent="0.3">
      <c r="A15" s="13" t="s">
        <v>6</v>
      </c>
      <c r="B15" s="12" t="s">
        <v>72</v>
      </c>
      <c r="C15" s="20">
        <v>0.24</v>
      </c>
      <c r="CE15" s="1"/>
      <c r="CF15" s="1"/>
      <c r="CG15" s="1"/>
      <c r="CH15" s="1"/>
      <c r="CI15" s="1"/>
    </row>
    <row r="16" spans="1:87" x14ac:dyDescent="0.3">
      <c r="A16" s="17" t="s">
        <v>114</v>
      </c>
      <c r="B16" s="21" t="s">
        <v>114</v>
      </c>
      <c r="C16" s="14">
        <v>0.01</v>
      </c>
      <c r="CE16" s="1"/>
      <c r="CF16" s="1"/>
      <c r="CG16" s="1"/>
      <c r="CH16" s="1"/>
      <c r="CI16" s="1"/>
    </row>
    <row r="17" spans="1:87" x14ac:dyDescent="0.3">
      <c r="A17" s="19"/>
      <c r="B17" s="19"/>
      <c r="C17" s="19"/>
      <c r="CE17" s="1"/>
      <c r="CF17" s="1"/>
      <c r="CG17" s="1"/>
      <c r="CH17" s="1"/>
      <c r="CI17" s="1"/>
    </row>
    <row r="18" spans="1:87" ht="15.6" x14ac:dyDescent="0.3">
      <c r="A18" s="77" t="s">
        <v>31</v>
      </c>
      <c r="B18" s="19"/>
      <c r="C18" s="19"/>
      <c r="CE18" s="1"/>
      <c r="CF18" s="1"/>
      <c r="CG18" s="1"/>
      <c r="CH18" s="1"/>
      <c r="CI18" s="1"/>
    </row>
    <row r="19" spans="1:87" x14ac:dyDescent="0.3">
      <c r="A19" s="13" t="s">
        <v>15</v>
      </c>
      <c r="B19" s="12" t="s">
        <v>49</v>
      </c>
      <c r="C19" s="20">
        <v>0.17</v>
      </c>
    </row>
    <row r="20" spans="1:87" x14ac:dyDescent="0.3">
      <c r="A20" s="15" t="s">
        <v>7</v>
      </c>
      <c r="B20" s="12" t="s">
        <v>26</v>
      </c>
      <c r="C20" s="20">
        <v>0.2</v>
      </c>
    </row>
    <row r="21" spans="1:87" x14ac:dyDescent="0.3">
      <c r="A21" s="15" t="s">
        <v>30</v>
      </c>
      <c r="B21" s="12" t="s">
        <v>27</v>
      </c>
      <c r="C21" s="20">
        <v>0.3</v>
      </c>
    </row>
    <row r="22" spans="1:87" x14ac:dyDescent="0.3">
      <c r="A22" s="17" t="s">
        <v>55</v>
      </c>
      <c r="B22" s="12" t="s">
        <v>73</v>
      </c>
      <c r="C22" s="22">
        <v>0.125</v>
      </c>
    </row>
    <row r="23" spans="1:87" x14ac:dyDescent="0.3">
      <c r="A23" s="19"/>
      <c r="B23" s="19"/>
      <c r="C23" s="19"/>
    </row>
    <row r="24" spans="1:87" ht="15.6" x14ac:dyDescent="0.3">
      <c r="A24" s="77" t="s">
        <v>8</v>
      </c>
      <c r="B24" s="19"/>
      <c r="C24" s="19"/>
    </row>
    <row r="25" spans="1:87" x14ac:dyDescent="0.3">
      <c r="A25" s="13" t="s">
        <v>3</v>
      </c>
      <c r="B25" s="12" t="s">
        <v>28</v>
      </c>
      <c r="C25" s="16">
        <v>100</v>
      </c>
    </row>
    <row r="26" spans="1:87" x14ac:dyDescent="0.3">
      <c r="A26" s="15" t="s">
        <v>4</v>
      </c>
      <c r="B26" s="12" t="s">
        <v>29</v>
      </c>
      <c r="C26" s="16">
        <v>500</v>
      </c>
    </row>
    <row r="27" spans="1:87" x14ac:dyDescent="0.3">
      <c r="A27" s="17" t="s">
        <v>66</v>
      </c>
      <c r="B27" s="12" t="s">
        <v>74</v>
      </c>
      <c r="C27" s="20">
        <v>0.2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87" x14ac:dyDescent="0.3">
      <c r="A28" s="19"/>
      <c r="B28" s="2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87" x14ac:dyDescent="0.3">
      <c r="A29" s="19"/>
      <c r="B29" s="23"/>
      <c r="C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87" x14ac:dyDescent="0.3">
      <c r="A30" s="19"/>
      <c r="B30" s="23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87" x14ac:dyDescent="0.3">
      <c r="A31" s="19"/>
      <c r="B31" s="23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87" x14ac:dyDescent="0.3">
      <c r="A32" s="19"/>
      <c r="B32" s="2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87" x14ac:dyDescent="0.3">
      <c r="A33" s="19"/>
      <c r="B33" s="23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87" x14ac:dyDescent="0.3">
      <c r="A34" s="19"/>
      <c r="C34" s="10">
        <v>0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</row>
    <row r="35" spans="1:87" s="6" customFormat="1" x14ac:dyDescent="0.3">
      <c r="A35" s="24"/>
      <c r="B35" s="25" t="s">
        <v>75</v>
      </c>
      <c r="C35" s="26">
        <v>0</v>
      </c>
      <c r="D35" s="26">
        <v>0</v>
      </c>
      <c r="E35" s="26">
        <v>0</v>
      </c>
      <c r="F35" s="26">
        <v>0</v>
      </c>
      <c r="G35" s="26">
        <v>2.4982879923231002E-2</v>
      </c>
      <c r="H35" s="26">
        <v>4.8803983239302804E-3</v>
      </c>
      <c r="I35" s="26">
        <v>5.5710663546813203E-3</v>
      </c>
      <c r="J35" s="26">
        <v>6.2014518040146302E-3</v>
      </c>
      <c r="K35" s="26">
        <v>6.7715546719302197E-3</v>
      </c>
      <c r="L35" s="26">
        <v>7.2813749584280897E-3</v>
      </c>
      <c r="M35" s="26">
        <v>7.7309126635082296E-3</v>
      </c>
      <c r="N35" s="26">
        <v>8.1201677871706492E-3</v>
      </c>
      <c r="O35" s="26">
        <v>8.4491403294153396E-3</v>
      </c>
      <c r="P35" s="26">
        <v>8.7178302902423104E-3</v>
      </c>
      <c r="Q35" s="26">
        <v>8.9262376696515495E-3</v>
      </c>
      <c r="R35" s="26">
        <v>9.0743624676430795E-3</v>
      </c>
      <c r="S35" s="26">
        <v>9.1622046842168708E-3</v>
      </c>
      <c r="T35" s="26">
        <v>9.1897643193729495E-3</v>
      </c>
      <c r="U35" s="26">
        <v>9.1570413731112896E-3</v>
      </c>
      <c r="V35" s="26">
        <v>9.0640358454319205E-3</v>
      </c>
      <c r="W35" s="26">
        <v>8.9107477363348196E-3</v>
      </c>
      <c r="X35" s="26">
        <v>8.6971770458199905E-3</v>
      </c>
      <c r="Y35" s="26">
        <v>8.4233237738874402E-3</v>
      </c>
      <c r="Z35" s="26">
        <v>8.0891879205371702E-3</v>
      </c>
      <c r="AA35" s="26">
        <v>7.6947694857691798E-3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87" s="6" customFormat="1" x14ac:dyDescent="0.3">
      <c r="A36" s="24"/>
      <c r="B36" s="25" t="s">
        <v>78</v>
      </c>
      <c r="C36" s="26">
        <v>0</v>
      </c>
      <c r="D36" s="26">
        <v>7.5868618784402903E-2</v>
      </c>
      <c r="E36" s="26">
        <v>8.8055109453583899E-2</v>
      </c>
      <c r="F36" s="26">
        <v>9.7826998807379703E-2</v>
      </c>
      <c r="G36" s="26">
        <v>8.4008029992233502E-2</v>
      </c>
      <c r="H36" s="26">
        <v>9.0208247418297999E-2</v>
      </c>
      <c r="I36" s="26">
        <v>9.6038934272266396E-2</v>
      </c>
      <c r="J36" s="26">
        <v>0.101500090554138</v>
      </c>
      <c r="K36" s="26">
        <v>0.106591716263914</v>
      </c>
      <c r="L36" s="26">
        <v>0.11131381140159501</v>
      </c>
      <c r="M36" s="26">
        <v>0.11566637596717901</v>
      </c>
      <c r="N36" s="26">
        <v>0.119649409960667</v>
      </c>
      <c r="O36" s="26">
        <v>0.123262913382059</v>
      </c>
      <c r="P36" s="26">
        <v>0.126506886231354</v>
      </c>
      <c r="Q36" s="26">
        <v>0.12938132850855399</v>
      </c>
      <c r="R36" s="26">
        <v>0.131886240213658</v>
      </c>
      <c r="S36" s="26">
        <v>0.13402162134666501</v>
      </c>
      <c r="T36" s="26">
        <v>0.13578747190757701</v>
      </c>
      <c r="U36" s="26">
        <v>0.13718379189639199</v>
      </c>
      <c r="V36" s="26">
        <v>0.13821058131311201</v>
      </c>
      <c r="W36" s="26">
        <v>0.13886784015773501</v>
      </c>
      <c r="X36" s="26">
        <v>0.139155568430262</v>
      </c>
      <c r="Y36" s="26">
        <v>0.139073766130693</v>
      </c>
      <c r="Z36" s="26">
        <v>0.13862243325902801</v>
      </c>
      <c r="AA36" s="26">
        <v>0.13862243325902801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</row>
    <row r="37" spans="1:87" s="6" customFormat="1" x14ac:dyDescent="0.3">
      <c r="A37" s="24"/>
      <c r="B37" s="25" t="s">
        <v>76</v>
      </c>
      <c r="C37" s="26">
        <v>0</v>
      </c>
      <c r="D37" s="26">
        <v>3.3055083247474998E-2</v>
      </c>
      <c r="E37" s="26">
        <v>2.1429764377308601E-2</v>
      </c>
      <c r="F37" s="26">
        <v>2.1684996613341299E-2</v>
      </c>
      <c r="G37" s="26">
        <v>2.1990337782427299E-2</v>
      </c>
      <c r="H37" s="26">
        <v>2.2345787884566599E-2</v>
      </c>
      <c r="I37" s="26">
        <v>2.2751346919759E-2</v>
      </c>
      <c r="J37" s="26">
        <v>2.3207014888004699E-2</v>
      </c>
      <c r="K37" s="26">
        <v>2.3712791789303599E-2</v>
      </c>
      <c r="L37" s="26">
        <v>2.4268677623655699E-2</v>
      </c>
      <c r="M37" s="26">
        <v>2.4874672391061101E-2</v>
      </c>
      <c r="N37" s="26">
        <v>2.55307760915197E-2</v>
      </c>
      <c r="O37" s="26">
        <v>2.6236988725031499E-2</v>
      </c>
      <c r="P37" s="26">
        <v>2.69933102915965E-2</v>
      </c>
      <c r="Q37" s="26">
        <v>2.7799740791214701E-2</v>
      </c>
      <c r="R37" s="26">
        <v>2.86562802238862E-2</v>
      </c>
      <c r="S37" s="26">
        <v>2.9562928589610901E-2</v>
      </c>
      <c r="T37" s="26">
        <v>3.0519685888388898E-2</v>
      </c>
      <c r="U37" s="26">
        <v>3.152655212022E-2</v>
      </c>
      <c r="V37" s="26">
        <v>3.2583527285104399E-2</v>
      </c>
      <c r="W37" s="26">
        <v>3.3690611383042003E-2</v>
      </c>
      <c r="X37" s="26">
        <v>3.4847804414032797E-2</v>
      </c>
      <c r="Y37" s="26">
        <v>3.60551063780769E-2</v>
      </c>
      <c r="Z37" s="26">
        <v>3.7312517275174199E-2</v>
      </c>
      <c r="AA37" s="26">
        <v>3.8620037105324703E-2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1:87" x14ac:dyDescent="0.3">
      <c r="A38" s="19"/>
      <c r="B38" s="23"/>
      <c r="C38" s="80"/>
      <c r="D38" s="80"/>
      <c r="E38" s="80"/>
      <c r="F38" s="80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spans="1:87" x14ac:dyDescent="0.3">
      <c r="A39" s="19"/>
      <c r="B39" s="23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 spans="1:87" x14ac:dyDescent="0.3">
      <c r="B40" s="23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 spans="1:87" x14ac:dyDescent="0.3">
      <c r="B41" s="19"/>
      <c r="C41" s="23" t="s">
        <v>77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87" s="3" customFormat="1" ht="15.6" x14ac:dyDescent="0.3">
      <c r="A42" s="77" t="s">
        <v>24</v>
      </c>
      <c r="B42" s="27"/>
      <c r="C42" s="10">
        <v>0</v>
      </c>
      <c r="D42" s="10">
        <v>1</v>
      </c>
      <c r="E42" s="10">
        <v>2</v>
      </c>
      <c r="F42" s="10">
        <v>3</v>
      </c>
      <c r="G42" s="10">
        <v>4</v>
      </c>
      <c r="H42" s="10">
        <v>5</v>
      </c>
      <c r="I42" s="10">
        <v>6</v>
      </c>
      <c r="J42" s="10">
        <v>7</v>
      </c>
      <c r="K42" s="10">
        <v>8</v>
      </c>
      <c r="L42" s="10">
        <v>9</v>
      </c>
      <c r="M42" s="10">
        <v>10</v>
      </c>
      <c r="N42" s="10">
        <v>11</v>
      </c>
      <c r="O42" s="10">
        <v>12</v>
      </c>
      <c r="P42" s="10">
        <v>13</v>
      </c>
      <c r="Q42" s="10">
        <v>14</v>
      </c>
      <c r="R42" s="10">
        <v>15</v>
      </c>
      <c r="S42" s="10">
        <v>16</v>
      </c>
      <c r="T42" s="10">
        <v>17</v>
      </c>
      <c r="U42" s="10">
        <v>18</v>
      </c>
      <c r="V42" s="10">
        <v>19</v>
      </c>
      <c r="W42" s="10">
        <v>20</v>
      </c>
      <c r="X42" s="10">
        <v>21</v>
      </c>
      <c r="Y42" s="10">
        <v>22</v>
      </c>
      <c r="Z42" s="10">
        <v>23</v>
      </c>
      <c r="AA42" s="10">
        <v>24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 spans="1:87" s="3" customFormat="1" x14ac:dyDescent="0.3">
      <c r="A43" s="29" t="s">
        <v>36</v>
      </c>
      <c r="B43" s="27" t="s">
        <v>37</v>
      </c>
      <c r="C43" s="30">
        <f>1-accnt_wro-accnt_clo</f>
        <v>1</v>
      </c>
      <c r="D43" s="31">
        <f>1-accnt_wro-accnt_clo</f>
        <v>0.96694491675252503</v>
      </c>
      <c r="E43" s="31">
        <f t="shared" ref="E43:AA43" si="0">1-accnt_wro-accnt_clo</f>
        <v>0.94622351502068214</v>
      </c>
      <c r="F43" s="31">
        <f t="shared" si="0"/>
        <v>0.92570466130199469</v>
      </c>
      <c r="G43" s="31">
        <f t="shared" si="0"/>
        <v>0.88222133471551345</v>
      </c>
      <c r="H43" s="31">
        <f t="shared" si="0"/>
        <v>0.85820181237944027</v>
      </c>
      <c r="I43" s="31">
        <f t="shared" si="0"/>
        <v>0.833895465976356</v>
      </c>
      <c r="J43" s="31">
        <f t="shared" si="0"/>
        <v>0.8093718789405645</v>
      </c>
      <c r="K43" s="31">
        <f t="shared" si="0"/>
        <v>0.78469870616696047</v>
      </c>
      <c r="L43" s="31">
        <f t="shared" si="0"/>
        <v>0.75994142072629967</v>
      </c>
      <c r="M43" s="31">
        <f t="shared" si="0"/>
        <v>0.73516308609631809</v>
      </c>
      <c r="N43" s="31">
        <f t="shared" si="0"/>
        <v>0.71042415434440609</v>
      </c>
      <c r="O43" s="31">
        <f t="shared" si="0"/>
        <v>0.68578229044341965</v>
      </c>
      <c r="P43" s="31">
        <f t="shared" si="0"/>
        <v>0.6612922226608593</v>
      </c>
      <c r="Q43" s="31">
        <f t="shared" si="0"/>
        <v>0.63700561873507833</v>
      </c>
      <c r="R43" s="31">
        <f t="shared" si="0"/>
        <v>0.61297098734208855</v>
      </c>
      <c r="S43" s="31">
        <f t="shared" si="0"/>
        <v>0.58923360416427628</v>
      </c>
      <c r="T43" s="31">
        <f t="shared" si="0"/>
        <v>0.56583546169897492</v>
      </c>
      <c r="U43" s="31">
        <f t="shared" si="0"/>
        <v>0.54281524179110241</v>
      </c>
      <c r="V43" s="31">
        <f t="shared" si="0"/>
        <v>0.52020830974039023</v>
      </c>
      <c r="W43" s="31">
        <f t="shared" si="0"/>
        <v>0.49804672872025579</v>
      </c>
      <c r="X43" s="31">
        <f t="shared" si="0"/>
        <v>0.47635929315199194</v>
      </c>
      <c r="Y43" s="31">
        <f t="shared" si="0"/>
        <v>0.45517157960429194</v>
      </c>
      <c r="Z43" s="31">
        <f t="shared" si="0"/>
        <v>0.43450601373363157</v>
      </c>
      <c r="AA43" s="31">
        <f t="shared" si="0"/>
        <v>0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 spans="1:87" s="3" customFormat="1" x14ac:dyDescent="0.3">
      <c r="A44" s="32" t="s">
        <v>9</v>
      </c>
      <c r="B44" s="33" t="s">
        <v>32</v>
      </c>
      <c r="C44" s="30">
        <v>1</v>
      </c>
      <c r="D44" s="26">
        <f>accnt_act-accnt_dlq</f>
        <v>0.89358414147791154</v>
      </c>
      <c r="E44" s="26">
        <f t="shared" ref="E44:AA44" si="1">accnt_act-accnt_dlq</f>
        <v>0.8629036998379811</v>
      </c>
      <c r="F44" s="26">
        <f t="shared" si="1"/>
        <v>0.83514575250481859</v>
      </c>
      <c r="G44" s="26">
        <f t="shared" si="1"/>
        <v>0.80810765836894438</v>
      </c>
      <c r="H44" s="26">
        <f t="shared" si="1"/>
        <v>0.780784930953484</v>
      </c>
      <c r="I44" s="26">
        <f t="shared" si="1"/>
        <v>0.75380903412951183</v>
      </c>
      <c r="J44" s="26">
        <f t="shared" si="1"/>
        <v>0.72722055993612433</v>
      </c>
      <c r="K44" s="26">
        <f t="shared" si="1"/>
        <v>0.70105632432655141</v>
      </c>
      <c r="L44" s="26">
        <f t="shared" si="1"/>
        <v>0.67534944474331216</v>
      </c>
      <c r="M44" s="26">
        <f t="shared" si="1"/>
        <v>0.6501294361827098</v>
      </c>
      <c r="N44" s="26">
        <f t="shared" si="1"/>
        <v>0.62542232345529203</v>
      </c>
      <c r="O44" s="26">
        <f t="shared" si="1"/>
        <v>0.60125076737754235</v>
      </c>
      <c r="P44" s="26">
        <f t="shared" si="1"/>
        <v>0.57763420268302279</v>
      </c>
      <c r="Q44" s="26">
        <f t="shared" si="1"/>
        <v>0.55458898551572045</v>
      </c>
      <c r="R44" s="26">
        <f t="shared" si="1"/>
        <v>0.53212854846148672</v>
      </c>
      <c r="S44" s="26">
        <f t="shared" si="1"/>
        <v>0.51026356118224092</v>
      </c>
      <c r="T44" s="26">
        <f t="shared" si="1"/>
        <v>0.48900209483921453</v>
      </c>
      <c r="U44" s="26">
        <f t="shared" si="1"/>
        <v>0.46834978862304211</v>
      </c>
      <c r="V44" s="26">
        <f t="shared" si="1"/>
        <v>0.44831001684725946</v>
      </c>
      <c r="W44" s="26">
        <f t="shared" si="1"/>
        <v>0.42888405520524853</v>
      </c>
      <c r="X44" s="26">
        <f t="shared" si="1"/>
        <v>0.41007124493638869</v>
      </c>
      <c r="Y44" s="26">
        <f t="shared" si="1"/>
        <v>0.39186915379306653</v>
      </c>
      <c r="Z44" s="26">
        <f t="shared" si="1"/>
        <v>0.37427373284419491</v>
      </c>
      <c r="AA44" s="26">
        <f t="shared" si="1"/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 spans="1:87" s="3" customFormat="1" ht="14.25" customHeight="1" x14ac:dyDescent="0.3">
      <c r="A45" s="32" t="s">
        <v>10</v>
      </c>
      <c r="B45" s="33" t="s">
        <v>33</v>
      </c>
      <c r="C45" s="30">
        <v>0</v>
      </c>
      <c r="D45" s="26">
        <f>accnt_act*DLNQ_Ratio</f>
        <v>7.3360775274613516E-2</v>
      </c>
      <c r="E45" s="26">
        <f t="shared" ref="E45:AA45" si="2">accnt_act*DLNQ_Ratio</f>
        <v>8.3319815182701054E-2</v>
      </c>
      <c r="F45" s="26">
        <f t="shared" si="2"/>
        <v>9.0558908797176069E-2</v>
      </c>
      <c r="G45" s="26">
        <f t="shared" si="2"/>
        <v>7.4113676346569124E-2</v>
      </c>
      <c r="H45" s="26">
        <f t="shared" si="2"/>
        <v>7.7416881425956305E-2</v>
      </c>
      <c r="I45" s="26">
        <f t="shared" si="2"/>
        <v>8.0086431846844219E-2</v>
      </c>
      <c r="J45" s="26">
        <f t="shared" si="2"/>
        <v>8.2151319004440115E-2</v>
      </c>
      <c r="K45" s="26">
        <f t="shared" si="2"/>
        <v>8.3642381840409077E-2</v>
      </c>
      <c r="L45" s="26">
        <f t="shared" si="2"/>
        <v>8.4591975982987483E-2</v>
      </c>
      <c r="M45" s="26">
        <f t="shared" si="2"/>
        <v>8.5033649913608317E-2</v>
      </c>
      <c r="N45" s="26">
        <f t="shared" si="2"/>
        <v>8.5001830889114019E-2</v>
      </c>
      <c r="O45" s="26">
        <f t="shared" si="2"/>
        <v>8.4531523065877259E-2</v>
      </c>
      <c r="P45" s="26">
        <f t="shared" si="2"/>
        <v>8.3658019977836548E-2</v>
      </c>
      <c r="Q45" s="26">
        <f t="shared" si="2"/>
        <v>8.2416633219357868E-2</v>
      </c>
      <c r="R45" s="26">
        <f t="shared" si="2"/>
        <v>8.0842438880601802E-2</v>
      </c>
      <c r="S45" s="26">
        <f t="shared" si="2"/>
        <v>7.8970042982035332E-2</v>
      </c>
      <c r="T45" s="26">
        <f t="shared" si="2"/>
        <v>7.6833366859760416E-2</v>
      </c>
      <c r="U45" s="26">
        <f t="shared" si="2"/>
        <v>7.4465453168060289E-2</v>
      </c>
      <c r="V45" s="26">
        <f t="shared" si="2"/>
        <v>7.1898292893130766E-2</v>
      </c>
      <c r="W45" s="26">
        <f t="shared" si="2"/>
        <v>6.9162673515007295E-2</v>
      </c>
      <c r="X45" s="26">
        <f t="shared" si="2"/>
        <v>6.6288048215603246E-2</v>
      </c>
      <c r="Y45" s="26">
        <f t="shared" si="2"/>
        <v>6.3302425811225416E-2</v>
      </c>
      <c r="Z45" s="26">
        <f t="shared" si="2"/>
        <v>6.0232280889436648E-2</v>
      </c>
      <c r="AA45" s="26">
        <f t="shared" si="2"/>
        <v>0</v>
      </c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 spans="1:87" s="3" customFormat="1" x14ac:dyDescent="0.3">
      <c r="A46" s="29" t="s">
        <v>38</v>
      </c>
      <c r="B46" s="27" t="s">
        <v>39</v>
      </c>
      <c r="C46" s="30">
        <v>0</v>
      </c>
      <c r="D46" s="26">
        <f>prev accnt_act*CLO_Rate +prev accnt_clo</f>
        <v>3.3055083247474998E-2</v>
      </c>
      <c r="E46" s="26">
        <f>prev accnt_act*CLO_Rate +prev accnt_clo</f>
        <v>5.377648497931789E-2</v>
      </c>
      <c r="F46" s="26">
        <f>prev accnt_act*CLO_Rate +prev accnt_clo</f>
        <v>7.4295338698005281E-2</v>
      </c>
      <c r="G46" s="26">
        <f>prev accnt_act*CLO_Rate +prev accnt_clo</f>
        <v>9.4651896886803602E-2</v>
      </c>
      <c r="H46" s="26">
        <f>prev accnt_act*CLO_Rate +prev accnt_clo</f>
        <v>0.11436582769959569</v>
      </c>
      <c r="I46" s="26">
        <f>prev accnt_act*CLO_Rate +prev accnt_clo</f>
        <v>0.13389107486020627</v>
      </c>
      <c r="J46" s="26">
        <f>prev accnt_act*CLO_Rate +prev accnt_clo</f>
        <v>0.15324329935415917</v>
      </c>
      <c r="K46" s="26">
        <f>prev accnt_act*CLO_Rate +prev accnt_clo</f>
        <v>0.17243576619959422</v>
      </c>
      <c r="L46" s="26">
        <f>prev accnt_act*CLO_Rate +prev accnt_clo</f>
        <v>0.1914793661312599</v>
      </c>
      <c r="M46" s="26">
        <f>prev accnt_act*CLO_Rate +prev accnt_clo</f>
        <v>0.21038266000822414</v>
      </c>
      <c r="N46" s="26">
        <f>prev accnt_act*CLO_Rate +prev accnt_clo</f>
        <v>0.22915194415009987</v>
      </c>
      <c r="O46" s="26">
        <f>prev accnt_act*CLO_Rate +prev accnt_clo</f>
        <v>0.2477913346776241</v>
      </c>
      <c r="P46" s="26">
        <f>prev accnt_act*CLO_Rate +prev accnt_clo</f>
        <v>0.26630286883604509</v>
      </c>
      <c r="Q46" s="26">
        <f>prev accnt_act*CLO_Rate +prev accnt_clo</f>
        <v>0.28468662121326321</v>
      </c>
      <c r="R46" s="26">
        <f>prev accnt_act*CLO_Rate +prev accnt_clo</f>
        <v>0.30294083272792566</v>
      </c>
      <c r="S46" s="26">
        <f>prev accnt_act*CLO_Rate +prev accnt_clo</f>
        <v>0.32106205025422313</v>
      </c>
      <c r="T46" s="26">
        <f>prev accnt_act*CLO_Rate +prev accnt_clo</f>
        <v>0.33904527476820012</v>
      </c>
      <c r="U46" s="26">
        <f>prev accnt_act*CLO_Rate +prev accnt_clo</f>
        <v>0.35688411594292158</v>
      </c>
      <c r="V46" s="26">
        <f>prev accnt_act*CLO_Rate +prev accnt_clo</f>
        <v>0.37457095118459249</v>
      </c>
      <c r="W46" s="26">
        <f>prev accnt_act*CLO_Rate +prev accnt_clo</f>
        <v>0.39209708718628511</v>
      </c>
      <c r="X46" s="26">
        <f>prev accnt_act*CLO_Rate +prev accnt_clo</f>
        <v>0.40945292217777746</v>
      </c>
      <c r="Y46" s="26">
        <f>prev accnt_act*CLO_Rate +prev accnt_clo</f>
        <v>0.42662810716655802</v>
      </c>
      <c r="Z46" s="26">
        <f>prev accnt_act*CLO_Rate +prev accnt_clo</f>
        <v>0.44361170459371152</v>
      </c>
      <c r="AA46" s="26">
        <f>1-accnt_wro</f>
        <v>0.87477429471148238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 spans="1:87" s="3" customFormat="1" x14ac:dyDescent="0.3">
      <c r="A47" s="29" t="s">
        <v>90</v>
      </c>
      <c r="B47" s="34" t="s">
        <v>91</v>
      </c>
      <c r="C47" s="35">
        <v>0</v>
      </c>
      <c r="D47" s="36">
        <f>prev accnt_act*DEF_Rate+prev accnt_DEF</f>
        <v>0</v>
      </c>
      <c r="E47" s="36">
        <f>prev accnt_act*DEF_Rate+prev accnt_DEF</f>
        <v>0</v>
      </c>
      <c r="F47" s="36">
        <f>prev accnt_act*DEF_Rate+prev accnt_DEF</f>
        <v>0</v>
      </c>
      <c r="G47" s="36">
        <f>prev accnt_act*DEF_Rate+prev accnt_DEF</f>
        <v>2.3126768397682958E-2</v>
      </c>
      <c r="H47" s="36">
        <f>prev accnt_act*DEF_Rate+prev accnt_DEF</f>
        <v>2.7432359920964086E-2</v>
      </c>
      <c r="I47" s="36">
        <f>prev accnt_act*DEF_Rate+prev accnt_DEF</f>
        <v>3.2213459163437715E-2</v>
      </c>
      <c r="J47" s="36">
        <f>prev accnt_act*DEF_Rate+prev accnt_DEF</f>
        <v>3.7384821705276405E-2</v>
      </c>
      <c r="K47" s="36">
        <f>prev accnt_act*DEF_Rate+prev accnt_DEF</f>
        <v>4.2865527633445324E-2</v>
      </c>
      <c r="L47" s="36">
        <f>prev accnt_act*DEF_Rate+prev accnt_DEF</f>
        <v>4.8579213142440354E-2</v>
      </c>
      <c r="M47" s="36">
        <f>prev accnt_act*DEF_Rate+prev accnt_DEF</f>
        <v>5.4454253895457737E-2</v>
      </c>
      <c r="N47" s="36">
        <f>prev accnt_act*DEF_Rate+prev accnt_DEF</f>
        <v>6.0423901505494024E-2</v>
      </c>
      <c r="O47" s="36">
        <f>prev accnt_act*DEF_Rate+prev accnt_DEF</f>
        <v>6.642637487895614E-2</v>
      </c>
      <c r="P47" s="36">
        <f>prev accnt_act*DEF_Rate+prev accnt_DEF</f>
        <v>7.2404908503095528E-2</v>
      </c>
      <c r="Q47" s="36">
        <f>prev accnt_act*DEF_Rate+prev accnt_DEF</f>
        <v>7.8307760051658487E-2</v>
      </c>
      <c r="R47" s="36">
        <f>prev accnt_act*DEF_Rate+prev accnt_DEF</f>
        <v>8.4088179929985837E-2</v>
      </c>
      <c r="S47" s="36">
        <f>prev accnt_act*DEF_Rate+prev accnt_DEF</f>
        <v>8.9704345581500561E-2</v>
      </c>
      <c r="T47" s="36">
        <f>prev accnt_act*DEF_Rate+prev accnt_DEF</f>
        <v>9.5119263532824946E-2</v>
      </c>
      <c r="U47" s="36">
        <f>prev accnt_act*DEF_Rate+prev accnt_DEF</f>
        <v>0.10030064226597599</v>
      </c>
      <c r="V47" s="36">
        <f>prev accnt_act*DEF_Rate+prev accnt_DEF</f>
        <v>0.10522073907501733</v>
      </c>
      <c r="W47" s="36">
        <f>prev accnt_act*DEF_Rate+prev accnt_DEF</f>
        <v>0.10985618409345908</v>
      </c>
      <c r="X47" s="36">
        <f>prev accnt_act*DEF_Rate+prev accnt_DEF</f>
        <v>0.11418778467023062</v>
      </c>
      <c r="Y47" s="36">
        <f>prev accnt_act*DEF_Rate+prev accnt_DEF</f>
        <v>0.11820031322915001</v>
      </c>
      <c r="Z47" s="36">
        <f>prev accnt_act*DEF_Rate+prev accnt_DEF</f>
        <v>0.12188228167265687</v>
      </c>
      <c r="AA47" s="36">
        <f>prev accnt_act*DEF_Rate+prev accnt_DEF</f>
        <v>0.12522570528851762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</row>
    <row r="48" spans="1:87" s="3" customFormat="1" ht="15.75" customHeight="1" x14ac:dyDescent="0.3">
      <c r="A48" s="28"/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40"/>
      <c r="M48" s="40"/>
      <c r="N48" s="41"/>
      <c r="O48" s="41"/>
      <c r="P48" s="41"/>
      <c r="Q48" s="41"/>
      <c r="R48" s="42"/>
      <c r="S48" s="38"/>
      <c r="T48" s="38"/>
      <c r="U48" s="38"/>
      <c r="V48" s="38"/>
      <c r="W48" s="38"/>
      <c r="X48" s="38"/>
      <c r="Y48" s="38"/>
      <c r="Z48" s="38"/>
      <c r="AA48" s="3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</row>
    <row r="49" spans="1:87" s="3" customFormat="1" x14ac:dyDescent="0.3">
      <c r="A49" s="29" t="s">
        <v>103</v>
      </c>
      <c r="B49" s="27" t="s">
        <v>104</v>
      </c>
      <c r="C49" s="31">
        <v>0</v>
      </c>
      <c r="D49" s="43">
        <f>accnt_DEF-prev accnt_DEF</f>
        <v>0</v>
      </c>
      <c r="E49" s="43">
        <f>accnt_DEF-prev accnt_DEF</f>
        <v>0</v>
      </c>
      <c r="F49" s="43">
        <f>accnt_DEF-prev accnt_DEF</f>
        <v>0</v>
      </c>
      <c r="G49" s="43">
        <f>accnt_DEF-prev accnt_DEF</f>
        <v>2.3126768397682958E-2</v>
      </c>
      <c r="H49" s="43">
        <f>accnt_DEF-prev accnt_DEF</f>
        <v>4.3055915232811277E-3</v>
      </c>
      <c r="I49" s="43">
        <f>accnt_DEF-prev accnt_DEF</f>
        <v>4.7810992424736284E-3</v>
      </c>
      <c r="J49" s="43">
        <f>accnt_DEF-prev accnt_DEF</f>
        <v>5.1713625418386908E-3</v>
      </c>
      <c r="K49" s="43">
        <f>accnt_DEF-prev accnt_DEF</f>
        <v>5.4807059281689191E-3</v>
      </c>
      <c r="L49" s="43">
        <f>accnt_DEF-prev accnt_DEF</f>
        <v>5.7136855089950297E-3</v>
      </c>
      <c r="M49" s="43">
        <f>accnt_DEF-prev accnt_DEF</f>
        <v>5.8750407530173826E-3</v>
      </c>
      <c r="N49" s="43">
        <f>accnt_DEF-prev accnt_DEF</f>
        <v>5.9696476100362869E-3</v>
      </c>
      <c r="O49" s="43">
        <f>accnt_DEF-prev accnt_DEF</f>
        <v>6.0024733734621166E-3</v>
      </c>
      <c r="P49" s="43">
        <f>accnt_DEF-prev accnt_DEF</f>
        <v>5.9785336241393872E-3</v>
      </c>
      <c r="Q49" s="43">
        <f>accnt_DEF-prev accnt_DEF</f>
        <v>5.9028515485629596E-3</v>
      </c>
      <c r="R49" s="43">
        <f>accnt_DEF-prev accnt_DEF</f>
        <v>5.7804198783273503E-3</v>
      </c>
      <c r="S49" s="43">
        <f>accnt_DEF-prev accnt_DEF</f>
        <v>5.6161656515147235E-3</v>
      </c>
      <c r="T49" s="43">
        <f>accnt_DEF-prev accnt_DEF</f>
        <v>5.4149179513243856E-3</v>
      </c>
      <c r="U49" s="43">
        <f>accnt_DEF-prev accnt_DEF</f>
        <v>5.1813787331510403E-3</v>
      </c>
      <c r="V49" s="43">
        <f>accnt_DEF-prev accnt_DEF</f>
        <v>4.9200968090413466E-3</v>
      </c>
      <c r="W49" s="43">
        <f>accnt_DEF-prev accnt_DEF</f>
        <v>4.6354450184417501E-3</v>
      </c>
      <c r="X49" s="43">
        <f>accnt_DEF-prev accnt_DEF</f>
        <v>4.3316005767715382E-3</v>
      </c>
      <c r="Y49" s="43">
        <f>accnt_DEF-prev accnt_DEF</f>
        <v>4.0125285589193843E-3</v>
      </c>
      <c r="Z49" s="43">
        <f>accnt_DEF-prev accnt_DEF</f>
        <v>3.6819684435068639E-3</v>
      </c>
      <c r="AA49" s="43">
        <f>accnt_DEF-prev accnt_DEF</f>
        <v>3.3434236158607494E-3</v>
      </c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</row>
    <row r="50" spans="1:87" x14ac:dyDescent="0.3">
      <c r="A50" s="29"/>
      <c r="B50" s="27"/>
      <c r="C50" s="44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87" ht="15.6" x14ac:dyDescent="0.3">
      <c r="A51" s="77" t="s">
        <v>79</v>
      </c>
      <c r="B51" s="27"/>
      <c r="C51" s="45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87" x14ac:dyDescent="0.3">
      <c r="A52" s="47" t="s">
        <v>35</v>
      </c>
      <c r="B52" s="27" t="s">
        <v>82</v>
      </c>
      <c r="C52" s="48">
        <f>initial_amount</f>
        <v>500000</v>
      </c>
      <c r="D52" s="49">
        <f>prev PB_model+int_model-regular_payment</f>
        <v>483564.45137337502</v>
      </c>
      <c r="E52" s="49">
        <f>prev PB_model+int_model-regular_payment</f>
        <v>466800.19177421753</v>
      </c>
      <c r="F52" s="49">
        <f>prev PB_model+int_model-regular_payment</f>
        <v>449700.64698307693</v>
      </c>
      <c r="G52" s="49">
        <f>prev PB_model+int_model-regular_payment</f>
        <v>432259.11129611358</v>
      </c>
      <c r="H52" s="49">
        <f>prev PB_model+int_model-regular_payment</f>
        <v>414468.74489541096</v>
      </c>
      <c r="I52" s="49">
        <f>prev PB_model+int_model-regular_payment</f>
        <v>396322.57116669428</v>
      </c>
      <c r="J52" s="49">
        <f>prev PB_model+int_model-regular_payment</f>
        <v>377813.47396340326</v>
      </c>
      <c r="K52" s="49">
        <f>prev PB_model+int_model-regular_payment</f>
        <v>358934.19481604639</v>
      </c>
      <c r="L52" s="49">
        <f>prev PB_model+int_model-regular_payment</f>
        <v>339677.3300857424</v>
      </c>
      <c r="M52" s="49">
        <f>prev PB_model+int_model-regular_payment</f>
        <v>320035.32806083234</v>
      </c>
      <c r="N52" s="49">
        <f>prev PB_model+int_model-regular_payment</f>
        <v>300000.48599542398</v>
      </c>
      <c r="O52" s="49">
        <f>prev PB_model+int_model-regular_payment</f>
        <v>279564.94708870747</v>
      </c>
      <c r="P52" s="49">
        <f>prev PB_model+int_model-regular_payment</f>
        <v>258720.6974038567</v>
      </c>
      <c r="Q52" s="49">
        <f>prev PB_model+int_model-regular_payment</f>
        <v>237459.5627253089</v>
      </c>
      <c r="R52" s="49">
        <f>prev PB_model+int_model-regular_payment</f>
        <v>215773.20535319013</v>
      </c>
      <c r="S52" s="49">
        <f>prev PB_model+int_model-regular_payment</f>
        <v>193653.12083362899</v>
      </c>
      <c r="T52" s="49">
        <f>prev PB_model+int_model-regular_payment</f>
        <v>171090.63462367663</v>
      </c>
      <c r="U52" s="49">
        <f>prev PB_model+int_model-regular_payment</f>
        <v>148076.8986895252</v>
      </c>
      <c r="V52" s="49">
        <f>prev PB_model+int_model-regular_payment</f>
        <v>124602.88803669077</v>
      </c>
      <c r="W52" s="49">
        <f>prev PB_model+int_model-regular_payment</f>
        <v>100659.39717079964</v>
      </c>
      <c r="X52" s="49">
        <f>prev PB_model+int_model-regular_payment</f>
        <v>76237.036487590682</v>
      </c>
      <c r="Y52" s="49">
        <f>prev PB_model+int_model-regular_payment</f>
        <v>51326.228590717539</v>
      </c>
      <c r="Z52" s="49">
        <f>prev PB_model+int_model-regular_payment</f>
        <v>25917.204535906938</v>
      </c>
      <c r="AA52" s="49">
        <f>prev PB_model+int_model-regular_payment</f>
        <v>1.2732925824820995E-10</v>
      </c>
    </row>
    <row r="53" spans="1:87" x14ac:dyDescent="0.3">
      <c r="A53" s="47" t="s">
        <v>80</v>
      </c>
      <c r="B53" s="50" t="s">
        <v>81</v>
      </c>
      <c r="C53" s="51">
        <f>PB*accnt_cur</f>
        <v>500000</v>
      </c>
      <c r="D53" s="51">
        <f>prev PB_model*interest_rate/12</f>
        <v>10000</v>
      </c>
      <c r="E53" s="51">
        <f>prev PB_model*interest_rate/12</f>
        <v>9671.2890274674992</v>
      </c>
      <c r="F53" s="51">
        <f>prev PB_model*interest_rate/12</f>
        <v>9336.0038354843509</v>
      </c>
      <c r="G53" s="51">
        <f>prev PB_model*interest_rate/12</f>
        <v>8994.0129396615393</v>
      </c>
      <c r="H53" s="51">
        <f>prev PB_model*interest_rate/12</f>
        <v>8645.1822259222718</v>
      </c>
      <c r="I53" s="51">
        <f>prev PB_model*interest_rate/12</f>
        <v>8289.3748979082193</v>
      </c>
      <c r="J53" s="51">
        <f>prev PB_model*interest_rate/12</f>
        <v>7926.451423333885</v>
      </c>
      <c r="K53" s="51">
        <f>prev PB_model*interest_rate/12</f>
        <v>7556.2694792680641</v>
      </c>
      <c r="L53" s="51">
        <f>prev PB_model*interest_rate/12</f>
        <v>7178.6838963209275</v>
      </c>
      <c r="M53" s="51">
        <f>prev PB_model*interest_rate/12</f>
        <v>6793.5466017148474</v>
      </c>
      <c r="N53" s="51">
        <f>prev PB_model*interest_rate/12</f>
        <v>6400.7065612166471</v>
      </c>
      <c r="O53" s="51">
        <f>prev PB_model*interest_rate/12</f>
        <v>6000.0097199084785</v>
      </c>
      <c r="P53" s="51">
        <f>prev PB_model*interest_rate/12</f>
        <v>5591.2989417741492</v>
      </c>
      <c r="Q53" s="51">
        <f>prev PB_model*interest_rate/12</f>
        <v>5174.4139480771337</v>
      </c>
      <c r="R53" s="51">
        <f>prev PB_model*interest_rate/12</f>
        <v>4749.1912545061778</v>
      </c>
      <c r="S53" s="51">
        <f>prev PB_model*interest_rate/12</f>
        <v>4315.4641070638027</v>
      </c>
      <c r="T53" s="51">
        <f>prev PB_model*interest_rate/12</f>
        <v>3873.0624166725793</v>
      </c>
      <c r="U53" s="51">
        <f>prev PB_model*interest_rate/12</f>
        <v>3421.812692473532</v>
      </c>
      <c r="V53" s="51">
        <f>prev PB_model*interest_rate/12</f>
        <v>2961.5379737905041</v>
      </c>
      <c r="W53" s="51">
        <f>prev PB_model*interest_rate/12</f>
        <v>2492.057760733815</v>
      </c>
      <c r="X53" s="51">
        <f>prev PB_model*interest_rate/12</f>
        <v>2013.1879434159928</v>
      </c>
      <c r="Y53" s="51">
        <f>prev PB_model*interest_rate/12</f>
        <v>1524.7407297518137</v>
      </c>
      <c r="Z53" s="51">
        <f>prev PB_model*interest_rate/12</f>
        <v>1026.5245718143508</v>
      </c>
      <c r="AA53" s="51">
        <f>prev PB_model*interest_rate/12</f>
        <v>518.34409071813877</v>
      </c>
    </row>
    <row r="54" spans="1:87" x14ac:dyDescent="0.3">
      <c r="A54" s="47"/>
      <c r="B54" s="27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87" ht="15.6" x14ac:dyDescent="0.3">
      <c r="A55" s="77" t="s">
        <v>83</v>
      </c>
      <c r="B55" s="52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87" x14ac:dyDescent="0.3">
      <c r="A56" s="47" t="s">
        <v>84</v>
      </c>
      <c r="B56" s="27" t="s">
        <v>85</v>
      </c>
      <c r="C56" s="48">
        <f t="shared" ref="C56:AA56" si="3">PB_cur+PB_dlq</f>
        <v>500000</v>
      </c>
      <c r="D56" s="48">
        <f>PB_cur+PB_dlq</f>
        <v>468785.91276702139</v>
      </c>
      <c r="E56" s="48">
        <f t="shared" si="3"/>
        <v>443094.11328440526</v>
      </c>
      <c r="F56" s="48">
        <f t="shared" si="3"/>
        <v>417838.50121997122</v>
      </c>
      <c r="G56" s="48">
        <f t="shared" si="3"/>
        <v>382640.86644148972</v>
      </c>
      <c r="H56" s="48">
        <f t="shared" si="3"/>
        <v>357075.10273004114</v>
      </c>
      <c r="I56" s="48">
        <f t="shared" si="3"/>
        <v>331944.85746560391</v>
      </c>
      <c r="J56" s="48">
        <f t="shared" si="3"/>
        <v>307312.14805965347</v>
      </c>
      <c r="K56" s="48">
        <f t="shared" si="3"/>
        <v>283234.30614654621</v>
      </c>
      <c r="L56" s="48">
        <f t="shared" si="3"/>
        <v>259763.84905264885</v>
      </c>
      <c r="M56" s="48">
        <f t="shared" si="3"/>
        <v>236948.39056083767</v>
      </c>
      <c r="N56" s="48">
        <f t="shared" si="3"/>
        <v>214830.58982334388</v>
      </c>
      <c r="O56" s="48">
        <f t="shared" si="3"/>
        <v>193448.13697064397</v>
      </c>
      <c r="P56" s="48">
        <f t="shared" si="3"/>
        <v>172833.77369112227</v>
      </c>
      <c r="Q56" s="48">
        <f t="shared" si="3"/>
        <v>153015.34681702577</v>
      </c>
      <c r="R56" s="48">
        <f t="shared" si="3"/>
        <v>134015.89274771058</v>
      </c>
      <c r="S56" s="48">
        <f t="shared" si="3"/>
        <v>115853.75037173531</v>
      </c>
      <c r="T56" s="48">
        <f t="shared" si="3"/>
        <v>98542.700014896254</v>
      </c>
      <c r="U56" s="48">
        <f t="shared" si="3"/>
        <v>82092.125841257861</v>
      </c>
      <c r="V56" s="48">
        <f t="shared" si="3"/>
        <v>66507.199067631955</v>
      </c>
      <c r="W56" s="48">
        <f t="shared" si="3"/>
        <v>51789.079317436917</v>
      </c>
      <c r="X56" s="48">
        <f t="shared" si="3"/>
        <v>37935.131435738724</v>
      </c>
      <c r="Y56" s="48">
        <f t="shared" si="3"/>
        <v>24939.155111557371</v>
      </c>
      <c r="Z56" s="48">
        <f t="shared" si="3"/>
        <v>12791.624704011923</v>
      </c>
      <c r="AA56" s="48">
        <f t="shared" si="3"/>
        <v>0</v>
      </c>
    </row>
    <row r="57" spans="1:87" x14ac:dyDescent="0.3">
      <c r="A57" s="32" t="s">
        <v>86</v>
      </c>
      <c r="B57" s="33" t="s">
        <v>44</v>
      </c>
      <c r="C57" s="48">
        <f t="shared" ref="C57:AA57" si="4">PB_model*accnt_cur</f>
        <v>500000</v>
      </c>
      <c r="D57" s="48">
        <f>PB_model*accnt_cur</f>
        <v>432105.52512971463</v>
      </c>
      <c r="E57" s="48">
        <f t="shared" si="4"/>
        <v>402803.61256705143</v>
      </c>
      <c r="F57" s="48">
        <f t="shared" si="4"/>
        <v>375565.58522658556</v>
      </c>
      <c r="G57" s="48">
        <f t="shared" si="4"/>
        <v>349311.89823814324</v>
      </c>
      <c r="H57" s="48">
        <f t="shared" si="4"/>
        <v>323610.95036554063</v>
      </c>
      <c r="I57" s="48">
        <f t="shared" si="4"/>
        <v>298751.53457489051</v>
      </c>
      <c r="J57" s="48">
        <f t="shared" si="4"/>
        <v>274753.72608707845</v>
      </c>
      <c r="K57" s="48">
        <f t="shared" si="4"/>
        <v>251633.08729284781</v>
      </c>
      <c r="L57" s="48">
        <f t="shared" si="4"/>
        <v>229400.89626529691</v>
      </c>
      <c r="M57" s="48">
        <f t="shared" si="4"/>
        <v>208064.38739073748</v>
      </c>
      <c r="N57" s="48">
        <f t="shared" si="4"/>
        <v>187627.00098897488</v>
      </c>
      <c r="O57" s="48">
        <f t="shared" si="4"/>
        <v>168088.6389689474</v>
      </c>
      <c r="P57" s="48">
        <f t="shared" si="4"/>
        <v>149445.92376247238</v>
      </c>
      <c r="Q57" s="48">
        <f t="shared" si="4"/>
        <v>131692.45799283564</v>
      </c>
      <c r="R57" s="48">
        <f t="shared" si="4"/>
        <v>114819.08256147536</v>
      </c>
      <c r="S57" s="48">
        <f t="shared" si="4"/>
        <v>98814.131070622345</v>
      </c>
      <c r="T57" s="48">
        <f t="shared" si="4"/>
        <v>83663.678738348521</v>
      </c>
      <c r="U57" s="48">
        <f t="shared" si="4"/>
        <v>69351.78420119475</v>
      </c>
      <c r="V57" s="48">
        <f t="shared" si="4"/>
        <v>55860.72283494602</v>
      </c>
      <c r="W57" s="48">
        <f t="shared" si="4"/>
        <v>43171.210453128268</v>
      </c>
      <c r="X57" s="48">
        <f t="shared" si="4"/>
        <v>31262.616462727201</v>
      </c>
      <c r="Y57" s="48">
        <f t="shared" si="4"/>
        <v>20113.165765233978</v>
      </c>
      <c r="Z57" s="48">
        <f t="shared" si="4"/>
        <v>9700.1288865403894</v>
      </c>
      <c r="AA57" s="48">
        <f t="shared" si="4"/>
        <v>0</v>
      </c>
    </row>
    <row r="58" spans="1:87" x14ac:dyDescent="0.3">
      <c r="A58" s="32" t="s">
        <v>87</v>
      </c>
      <c r="B58" s="33" t="s">
        <v>43</v>
      </c>
      <c r="C58" s="48">
        <f>0</f>
        <v>0</v>
      </c>
      <c r="D58" s="49">
        <f>prev PB_model*accnt_dlq</f>
        <v>36680.387637306754</v>
      </c>
      <c r="E58" s="49">
        <f>prev PB_model*accnt_dlq</f>
        <v>40290.50071735384</v>
      </c>
      <c r="F58" s="49">
        <f>prev PB_model*accnt_dlq</f>
        <v>42272.915993385664</v>
      </c>
      <c r="G58" s="49">
        <f>prev PB_model*accnt_dlq</f>
        <v>33328.9682033465</v>
      </c>
      <c r="H58" s="49">
        <f>prev PB_model*accnt_dlq</f>
        <v>33464.152364500478</v>
      </c>
      <c r="I58" s="49">
        <f>prev PB_model*accnt_dlq</f>
        <v>33193.322890713389</v>
      </c>
      <c r="J58" s="49">
        <f>prev PB_model*accnt_dlq</f>
        <v>32558.421972575023</v>
      </c>
      <c r="K58" s="49">
        <f>prev PB_model*accnt_dlq</f>
        <v>31601.218853698429</v>
      </c>
      <c r="L58" s="49">
        <f>prev PB_model*accnt_dlq</f>
        <v>30362.952787351947</v>
      </c>
      <c r="M58" s="49">
        <f>prev PB_model*accnt_dlq</f>
        <v>28884.003170100194</v>
      </c>
      <c r="N58" s="49">
        <f>prev PB_model*accnt_dlq</f>
        <v>27203.588834368999</v>
      </c>
      <c r="O58" s="49">
        <f>prev PB_model*accnt_dlq</f>
        <v>25359.498001696571</v>
      </c>
      <c r="P58" s="49">
        <f>prev PB_model*accnt_dlq</f>
        <v>23387.849928649906</v>
      </c>
      <c r="Q58" s="49">
        <f>prev PB_model*accnt_dlq</f>
        <v>21322.88882419013</v>
      </c>
      <c r="R58" s="49">
        <f>prev PB_model*accnt_dlq</f>
        <v>19196.810186235216</v>
      </c>
      <c r="S58" s="49">
        <f>prev PB_model*accnt_dlq</f>
        <v>17039.619301112962</v>
      </c>
      <c r="T58" s="49">
        <f>prev PB_model*accnt_dlq</f>
        <v>14879.021276547728</v>
      </c>
      <c r="U58" s="49">
        <f>prev PB_model*accnt_dlq</f>
        <v>12740.341640063107</v>
      </c>
      <c r="V58" s="49">
        <f>prev PB_model*accnt_dlq</f>
        <v>10646.476232685935</v>
      </c>
      <c r="W58" s="49">
        <f>prev PB_model*accnt_dlq</f>
        <v>8617.8688643086516</v>
      </c>
      <c r="X58" s="49">
        <f>prev PB_model*accnt_dlq</f>
        <v>6672.5149730115236</v>
      </c>
      <c r="Y58" s="49">
        <f>prev PB_model*accnt_dlq</f>
        <v>4825.9893463233939</v>
      </c>
      <c r="Z58" s="49">
        <f>prev PB_model*accnt_dlq</f>
        <v>3091.495817471533</v>
      </c>
      <c r="AA58" s="49">
        <f>prev PB_model*accnt_dlq</f>
        <v>0</v>
      </c>
    </row>
    <row r="59" spans="1:87" x14ac:dyDescent="0.3">
      <c r="A59" s="47" t="s">
        <v>88</v>
      </c>
      <c r="B59" s="50" t="s">
        <v>89</v>
      </c>
      <c r="C59" s="51">
        <v>0</v>
      </c>
      <c r="D59" s="51">
        <v>0</v>
      </c>
      <c r="E59" s="51">
        <v>0</v>
      </c>
      <c r="F59" s="51">
        <v>0</v>
      </c>
      <c r="G59" s="51">
        <f>prev_ PB_model *accnt_b_def+ prev PB_def</f>
        <v>11563.384198841479</v>
      </c>
      <c r="H59" s="51">
        <f>prev_ PB_model *accnt_b_def+ prev PB_def</f>
        <v>13645.415201634771</v>
      </c>
      <c r="I59" s="51">
        <f>prev_ PB_model *accnt_b_def+ prev PB_def</f>
        <v>15877.233244913026</v>
      </c>
      <c r="J59" s="51">
        <f>prev_ PB_model *accnt_b_def+ prev PB_def</f>
        <v>18202.798325761934</v>
      </c>
      <c r="K59" s="51">
        <f>prev_ PB_model *accnt_b_def+ prev PB_def</f>
        <v>20571.883399547572</v>
      </c>
      <c r="L59" s="51">
        <f>prev_ PB_model *accnt_b_def+ prev PB_def</f>
        <v>22940.027461187841</v>
      </c>
      <c r="M59" s="51">
        <f>prev_ PB_model *accnt_b_def+ prev PB_def</f>
        <v>25268.438718132802</v>
      </c>
      <c r="N59" s="51">
        <f>prev_ PB_model *accnt_b_def+ prev PB_def</f>
        <v>27523.852020017941</v>
      </c>
      <c r="O59" s="51">
        <f>prev_ PB_model *accnt_b_def+ prev PB_def</f>
        <v>29678.344967226323</v>
      </c>
      <c r="P59" s="51">
        <f>prev_ PB_model *accnt_b_def+ prev PB_def</f>
        <v>31709.117306501827</v>
      </c>
      <c r="Q59" s="51">
        <f>prev_ PB_model *accnt_b_def+ prev PB_def</f>
        <v>33598.238338340569</v>
      </c>
      <c r="R59" s="51">
        <f>prev_ PB_model *accnt_b_def+ prev PB_def</f>
        <v>35332.367111096384</v>
      </c>
      <c r="S59" s="51">
        <f>prev_ PB_model *accnt_b_def+ prev PB_def</f>
        <v>36902.450164303511</v>
      </c>
      <c r="T59" s="51">
        <f>prev_ PB_model *accnt_b_def+ prev PB_def</f>
        <v>38303.401513054821</v>
      </c>
      <c r="U59" s="51">
        <f>prev_ PB_model *accnt_b_def+ prev PB_def</f>
        <v>39533.76944134308</v>
      </c>
      <c r="V59" s="51">
        <f>prev_ PB_model *accnt_b_def+ prev PB_def</f>
        <v>40595.394500477931</v>
      </c>
      <c r="W59" s="51">
        <f>prev_ PB_model *accnt_b_def+ prev PB_def</f>
        <v>41493.062894751878</v>
      </c>
      <c r="X59" s="51">
        <f>prev_ PB_model *accnt_b_def+ prev PB_def</f>
        <v>42234.159186368008</v>
      </c>
      <c r="Y59" s="51">
        <f>prev_ PB_model *accnt_b_def+ prev PB_def</f>
        <v>42828.321971275938</v>
      </c>
      <c r="Z59" s="51">
        <f>prev_ PB_model *accnt_b_def+ prev PB_def</f>
        <v>43287.10587299685</v>
      </c>
      <c r="AA59" s="51">
        <f>prev_ PB_model *accnt_b_def+ prev PB_def</f>
        <v>43623.652878656008</v>
      </c>
    </row>
    <row r="60" spans="1:87" x14ac:dyDescent="0.3">
      <c r="A60" s="47"/>
      <c r="B60" s="27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87" ht="15.6" x14ac:dyDescent="0.3">
      <c r="A61" s="77" t="s">
        <v>65</v>
      </c>
      <c r="B61" s="2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87" x14ac:dyDescent="0.3">
      <c r="A62" s="29" t="s">
        <v>111</v>
      </c>
      <c r="B62" s="27" t="s">
        <v>11</v>
      </c>
      <c r="C62" s="53">
        <f t="shared" ref="C62:H62" si="5">GB_cur+GB_dlq</f>
        <v>500000</v>
      </c>
      <c r="D62" s="53">
        <f t="shared" si="5"/>
        <v>469519.52051976754</v>
      </c>
      <c r="E62" s="53">
        <f t="shared" si="5"/>
        <v>443899.92329875234</v>
      </c>
      <c r="F62" s="53">
        <f t="shared" si="5"/>
        <v>418683.95953983895</v>
      </c>
      <c r="G62" s="53">
        <f t="shared" si="5"/>
        <v>383307.44580555666</v>
      </c>
      <c r="H62" s="53">
        <f t="shared" si="5"/>
        <v>357744.38577733113</v>
      </c>
      <c r="I62" s="53">
        <f t="shared" ref="I62:AA62" si="6">GB_cur+GB_dlq</f>
        <v>332608.72392341821</v>
      </c>
      <c r="J62" s="53">
        <f t="shared" si="6"/>
        <v>307963.31649910496</v>
      </c>
      <c r="K62" s="53">
        <f t="shared" si="6"/>
        <v>283866.33052362018</v>
      </c>
      <c r="L62" s="53">
        <f t="shared" si="6"/>
        <v>260371.10810839589</v>
      </c>
      <c r="M62" s="53">
        <f t="shared" si="6"/>
        <v>237526.07062423968</v>
      </c>
      <c r="N62" s="53">
        <f t="shared" si="6"/>
        <v>215374.66160003125</v>
      </c>
      <c r="O62" s="53">
        <f t="shared" si="6"/>
        <v>193955.3269306779</v>
      </c>
      <c r="P62" s="53">
        <f t="shared" si="6"/>
        <v>173301.53068969527</v>
      </c>
      <c r="Q62" s="53">
        <f t="shared" si="6"/>
        <v>153441.80459350959</v>
      </c>
      <c r="R62" s="53">
        <f t="shared" si="6"/>
        <v>134399.82895143528</v>
      </c>
      <c r="S62" s="53">
        <f t="shared" si="6"/>
        <v>116194.54275775756</v>
      </c>
      <c r="T62" s="53">
        <f t="shared" si="6"/>
        <v>98840.280440427203</v>
      </c>
      <c r="U62" s="53">
        <f t="shared" si="6"/>
        <v>82346.93267405912</v>
      </c>
      <c r="V62" s="53">
        <f t="shared" si="6"/>
        <v>66720.128592285677</v>
      </c>
      <c r="W62" s="53">
        <f t="shared" si="6"/>
        <v>51961.436694723088</v>
      </c>
      <c r="X62" s="53">
        <f t="shared" si="6"/>
        <v>38068.581735198954</v>
      </c>
      <c r="Y62" s="53">
        <f t="shared" si="6"/>
        <v>25035.674898483841</v>
      </c>
      <c r="Z62" s="53">
        <f t="shared" si="6"/>
        <v>12853.454620361354</v>
      </c>
      <c r="AA62" s="53">
        <f t="shared" si="6"/>
        <v>0</v>
      </c>
    </row>
    <row r="63" spans="1:87" x14ac:dyDescent="0.3">
      <c r="A63" s="32" t="s">
        <v>115</v>
      </c>
      <c r="B63" s="33" t="s">
        <v>12</v>
      </c>
      <c r="C63" s="53">
        <f t="shared" ref="C63:AA63" si="7">PB_model*accnt_cur</f>
        <v>500000</v>
      </c>
      <c r="D63" s="53">
        <f t="shared" si="7"/>
        <v>432105.52512971463</v>
      </c>
      <c r="E63" s="53">
        <f t="shared" si="7"/>
        <v>402803.61256705143</v>
      </c>
      <c r="F63" s="53">
        <f t="shared" si="7"/>
        <v>375565.58522658556</v>
      </c>
      <c r="G63" s="53">
        <f t="shared" si="7"/>
        <v>349311.89823814324</v>
      </c>
      <c r="H63" s="53">
        <f t="shared" si="7"/>
        <v>323610.95036554063</v>
      </c>
      <c r="I63" s="53">
        <f t="shared" si="7"/>
        <v>298751.53457489051</v>
      </c>
      <c r="J63" s="53">
        <f t="shared" si="7"/>
        <v>274753.72608707845</v>
      </c>
      <c r="K63" s="53">
        <f t="shared" si="7"/>
        <v>251633.08729284781</v>
      </c>
      <c r="L63" s="53">
        <f t="shared" si="7"/>
        <v>229400.89626529691</v>
      </c>
      <c r="M63" s="53">
        <f t="shared" si="7"/>
        <v>208064.38739073748</v>
      </c>
      <c r="N63" s="53">
        <f t="shared" si="7"/>
        <v>187627.00098897488</v>
      </c>
      <c r="O63" s="53">
        <f t="shared" si="7"/>
        <v>168088.6389689474</v>
      </c>
      <c r="P63" s="53">
        <f t="shared" si="7"/>
        <v>149445.92376247238</v>
      </c>
      <c r="Q63" s="53">
        <f t="shared" si="7"/>
        <v>131692.45799283564</v>
      </c>
      <c r="R63" s="53">
        <f t="shared" si="7"/>
        <v>114819.08256147536</v>
      </c>
      <c r="S63" s="53">
        <f t="shared" si="7"/>
        <v>98814.131070622345</v>
      </c>
      <c r="T63" s="53">
        <f t="shared" si="7"/>
        <v>83663.678738348521</v>
      </c>
      <c r="U63" s="53">
        <f t="shared" si="7"/>
        <v>69351.78420119475</v>
      </c>
      <c r="V63" s="53">
        <f t="shared" si="7"/>
        <v>55860.72283494602</v>
      </c>
      <c r="W63" s="53">
        <f t="shared" si="7"/>
        <v>43171.210453128268</v>
      </c>
      <c r="X63" s="53">
        <f t="shared" si="7"/>
        <v>31262.616462727201</v>
      </c>
      <c r="Y63" s="53">
        <f t="shared" si="7"/>
        <v>20113.165765233978</v>
      </c>
      <c r="Z63" s="53">
        <f t="shared" si="7"/>
        <v>9700.1288865403894</v>
      </c>
      <c r="AA63" s="53">
        <f t="shared" si="7"/>
        <v>0</v>
      </c>
    </row>
    <row r="64" spans="1:87" x14ac:dyDescent="0.3">
      <c r="A64" s="32" t="s">
        <v>13</v>
      </c>
      <c r="B64" s="33" t="s">
        <v>14</v>
      </c>
      <c r="C64" s="48">
        <f>0</f>
        <v>0</v>
      </c>
      <c r="D64" s="49">
        <f>(PB_model+regular_payment)*accnt_dlq</f>
        <v>37413.995390052893</v>
      </c>
      <c r="E64" s="49">
        <f t="shared" ref="E64:AA64" si="8">(PB_model+regular_payment)*accnt_dlq</f>
        <v>41096.310731700913</v>
      </c>
      <c r="F64" s="49">
        <f t="shared" si="8"/>
        <v>43118.374313253378</v>
      </c>
      <c r="G64" s="49">
        <f t="shared" si="8"/>
        <v>33995.547567413436</v>
      </c>
      <c r="H64" s="49">
        <f t="shared" si="8"/>
        <v>34133.435411790488</v>
      </c>
      <c r="I64" s="49">
        <f t="shared" si="8"/>
        <v>33857.189348527667</v>
      </c>
      <c r="J64" s="49">
        <f t="shared" si="8"/>
        <v>33209.590412026526</v>
      </c>
      <c r="K64" s="49">
        <f t="shared" si="8"/>
        <v>32233.243230772401</v>
      </c>
      <c r="L64" s="49">
        <f t="shared" si="8"/>
        <v>30970.21184309899</v>
      </c>
      <c r="M64" s="49">
        <f t="shared" si="8"/>
        <v>29461.683233502205</v>
      </c>
      <c r="N64" s="49">
        <f t="shared" si="8"/>
        <v>27747.660611056373</v>
      </c>
      <c r="O64" s="49">
        <f t="shared" si="8"/>
        <v>25866.687961730502</v>
      </c>
      <c r="P64" s="49">
        <f t="shared" si="8"/>
        <v>23855.606927222907</v>
      </c>
      <c r="Q64" s="49">
        <f t="shared" si="8"/>
        <v>21749.346600673936</v>
      </c>
      <c r="R64" s="49">
        <f t="shared" si="8"/>
        <v>19580.746389959921</v>
      </c>
      <c r="S64" s="49">
        <f t="shared" si="8"/>
        <v>17380.41168713522</v>
      </c>
      <c r="T64" s="49">
        <f t="shared" si="8"/>
        <v>15176.601702078684</v>
      </c>
      <c r="U64" s="49">
        <f t="shared" si="8"/>
        <v>12995.148472864368</v>
      </c>
      <c r="V64" s="49">
        <f t="shared" si="8"/>
        <v>10859.405757339653</v>
      </c>
      <c r="W64" s="49">
        <f t="shared" si="8"/>
        <v>8790.2262415948244</v>
      </c>
      <c r="X64" s="49">
        <f t="shared" si="8"/>
        <v>6805.9652724717535</v>
      </c>
      <c r="Y64" s="49">
        <f t="shared" si="8"/>
        <v>4922.5091332498614</v>
      </c>
      <c r="Z64" s="49">
        <f t="shared" si="8"/>
        <v>3153.3257338209637</v>
      </c>
      <c r="AA64" s="49">
        <f t="shared" si="8"/>
        <v>0</v>
      </c>
    </row>
    <row r="65" spans="1:87" s="4" customFormat="1" x14ac:dyDescent="0.3">
      <c r="A65" s="51" t="s">
        <v>92</v>
      </c>
      <c r="B65" s="50" t="s">
        <v>93</v>
      </c>
      <c r="C65" s="51">
        <v>0</v>
      </c>
      <c r="D65" s="51">
        <v>0</v>
      </c>
      <c r="E65" s="51">
        <v>0</v>
      </c>
      <c r="F65" s="51">
        <v>0</v>
      </c>
      <c r="G65" s="51">
        <f>(PB_model +4*regular_payment)*accnt_b_def+ prev GB_DEF</f>
        <v>12442.231596948044</v>
      </c>
      <c r="H65" s="51">
        <f>(PB_model +4*regular_payment)*accnt_b_def+ prev GB_DEF</f>
        <v>14682.047407955024</v>
      </c>
      <c r="I65" s="51">
        <f>(PB_model +4*regular_payment)*accnt_b_def+ prev GB_DEF</f>
        <v>17082.468878787833</v>
      </c>
      <c r="J65" s="51">
        <f>(PB_model +4*regular_payment)*accnt_b_def+ prev GB_DEF</f>
        <v>19583.110549606859</v>
      </c>
      <c r="K65" s="51">
        <f>(PB_model +4*regular_payment)*accnt_b_def+ prev GB_DEF</f>
        <v>22129.865191247067</v>
      </c>
      <c r="L65" s="51">
        <f>(PB_model +4*regular_payment)*accnt_b_def+ prev GB_DEF</f>
        <v>24674.852274333218</v>
      </c>
      <c r="M65" s="51">
        <f>(PB_model +4*regular_payment)*accnt_b_def+ prev GB_DEF</f>
        <v>27176.312571135073</v>
      </c>
      <c r="N65" s="51">
        <f>(PB_model +4*regular_payment)*accnt_b_def+ prev GB_DEF</f>
        <v>29598.453394083099</v>
      </c>
      <c r="O65" s="51">
        <f>(PB_model +4*regular_payment)*accnt_b_def+ prev GB_DEF</f>
        <v>31911.249252113128</v>
      </c>
      <c r="P65" s="51">
        <f>(PB_model +4*regular_payment)*accnt_b_def+ prev GB_DEF</f>
        <v>34090.202906150276</v>
      </c>
      <c r="Q65" s="51">
        <f>(PB_model +4*regular_payment)*accnt_b_def+ prev GB_DEF</f>
        <v>36116.071930295584</v>
      </c>
      <c r="R65" s="51">
        <f>(PB_model +4*regular_payment)*accnt_b_def+ prev GB_DEF</f>
        <v>37974.5659388329</v>
      </c>
      <c r="S65" s="51">
        <f>(PB_model +4*regular_payment)*accnt_b_def+ prev GB_DEF</f>
        <v>39656.019625070548</v>
      </c>
      <c r="T65" s="51">
        <f>(PB_model +4*regular_payment)*accnt_b_def+ prev GB_DEF</f>
        <v>41155.046681043459</v>
      </c>
      <c r="U65" s="51">
        <f>(PB_model +4*regular_payment)*accnt_b_def+ prev GB_DEF</f>
        <v>42470.179532597023</v>
      </c>
      <c r="V65" s="51">
        <f>(PB_model +4*regular_payment)*accnt_b_def+ prev GB_DEF</f>
        <v>43603.499638196139</v>
      </c>
      <c r="W65" s="51">
        <f>(PB_model +4*regular_payment)*accnt_b_def+ prev GB_DEF</f>
        <v>44560.262868135127</v>
      </c>
      <c r="X65" s="51">
        <f>(PB_model +4*regular_payment)*accnt_b_def+ prev GB_DEF</f>
        <v>45348.524210069569</v>
      </c>
      <c r="Y65" s="51">
        <f>(PB_model +4*regular_payment)*accnt_b_def+ prev GB_DEF</f>
        <v>45978.765743451586</v>
      </c>
      <c r="Z65" s="51">
        <f>(PB_model +4*regular_payment)*accnt_b_def+ prev GB_DEF</f>
        <v>46463.531496016803</v>
      </c>
      <c r="AA65" s="51">
        <f>(PB_model +4*regular_payment)*accnt_b_def+ prev GB_DEF</f>
        <v>46817.072446322774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</row>
    <row r="66" spans="1:87" x14ac:dyDescent="0.3">
      <c r="A66" s="29"/>
      <c r="B66" s="27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1:87" ht="15.6" x14ac:dyDescent="0.3">
      <c r="A67" s="77" t="s">
        <v>96</v>
      </c>
      <c r="B67" s="27"/>
      <c r="C67" s="53"/>
      <c r="D67" s="53"/>
      <c r="E67" s="53"/>
      <c r="F67" s="53"/>
      <c r="G67" s="53"/>
      <c r="H67" s="53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87" x14ac:dyDescent="0.3">
      <c r="A68" s="45" t="s">
        <v>94</v>
      </c>
      <c r="B68" s="27" t="s">
        <v>97</v>
      </c>
      <c r="C68" s="53">
        <f t="shared" ref="C68" si="9">interest+recovery_st</f>
        <v>0</v>
      </c>
      <c r="D68" s="53">
        <f t="shared" ref="D68:AA68" si="10">interest+recovery_st+insurance</f>
        <v>14000</v>
      </c>
      <c r="E68" s="53">
        <f t="shared" si="10"/>
        <v>11719.647819175534</v>
      </c>
      <c r="F68" s="53">
        <f t="shared" si="10"/>
        <v>11077.352832110129</v>
      </c>
      <c r="G68" s="53">
        <f t="shared" si="10"/>
        <v>12934.40884988889</v>
      </c>
      <c r="H68" s="53">
        <f t="shared" si="10"/>
        <v>10013.984823238639</v>
      </c>
      <c r="I68" s="53">
        <f t="shared" si="10"/>
        <v>9406.9618624175891</v>
      </c>
      <c r="J68" s="53">
        <f t="shared" si="10"/>
        <v>8798.7497708039027</v>
      </c>
      <c r="K68" s="53">
        <f t="shared" si="10"/>
        <v>8192.1546298193771</v>
      </c>
      <c r="L68" s="53">
        <f t="shared" si="10"/>
        <v>7589.8550702808861</v>
      </c>
      <c r="M68" s="53">
        <f t="shared" si="10"/>
        <v>6994.3882856765922</v>
      </c>
      <c r="N68" s="53">
        <f t="shared" si="10"/>
        <v>6408.1379286105466</v>
      </c>
      <c r="O68" s="53">
        <f t="shared" si="10"/>
        <v>5833.323917189603</v>
      </c>
      <c r="P68" s="53">
        <f t="shared" si="10"/>
        <v>5271.9941550735293</v>
      </c>
      <c r="Q68" s="53">
        <f t="shared" si="10"/>
        <v>4726.0181471071182</v>
      </c>
      <c r="R68" s="53">
        <f t="shared" si="10"/>
        <v>4197.0824721331073</v>
      </c>
      <c r="S68" s="53">
        <f t="shared" si="10"/>
        <v>3686.6880559402939</v>
      </c>
      <c r="T68" s="53">
        <f t="shared" si="10"/>
        <v>3196.1491704879645</v>
      </c>
      <c r="U68" s="53">
        <f t="shared" si="10"/>
        <v>2726.5940706831188</v>
      </c>
      <c r="V68" s="53">
        <f t="shared" si="10"/>
        <v>2278.9671671512697</v>
      </c>
      <c r="W68" s="53">
        <f t="shared" si="10"/>
        <v>1854.0326226785965</v>
      </c>
      <c r="X68" s="53">
        <f t="shared" si="10"/>
        <v>1452.3792513228113</v>
      </c>
      <c r="Y68" s="53">
        <f t="shared" si="10"/>
        <v>1074.4265925698717</v>
      </c>
      <c r="Z68" s="53">
        <f t="shared" si="10"/>
        <v>720.43202830197788</v>
      </c>
      <c r="AA68" s="53">
        <f t="shared" si="10"/>
        <v>390.49880766149226</v>
      </c>
    </row>
    <row r="69" spans="1:87" x14ac:dyDescent="0.3">
      <c r="A69" s="32" t="s">
        <v>34</v>
      </c>
      <c r="B69" s="33" t="s">
        <v>34</v>
      </c>
      <c r="C69" s="53">
        <f>0</f>
        <v>0</v>
      </c>
      <c r="D69" s="53">
        <f>prev PB_act*interest_rate/12</f>
        <v>10000</v>
      </c>
      <c r="E69" s="53">
        <f>prev PB_act*interest_rate/12</f>
        <v>9375.7182553404273</v>
      </c>
      <c r="F69" s="53">
        <f>prev PB_act*interest_rate/12</f>
        <v>8861.8822656881039</v>
      </c>
      <c r="G69" s="53">
        <f>prev PB_act*interest_rate/12</f>
        <v>8356.7700243994241</v>
      </c>
      <c r="H69" s="53">
        <f>prev PB_act*interest_rate/12</f>
        <v>7652.817328829794</v>
      </c>
      <c r="I69" s="53">
        <f>prev PB_act*interest_rate/12</f>
        <v>7141.5020546008227</v>
      </c>
      <c r="J69" s="53">
        <f>prev PB_act*interest_rate/12</f>
        <v>6638.897149312078</v>
      </c>
      <c r="K69" s="53">
        <f>prev PB_act*interest_rate/12</f>
        <v>6146.2429611930684</v>
      </c>
      <c r="L69" s="53">
        <f>prev PB_act*interest_rate/12</f>
        <v>5664.6861229309243</v>
      </c>
      <c r="M69" s="53">
        <f>prev PB_act*interest_rate/12</f>
        <v>5195.2769810529762</v>
      </c>
      <c r="N69" s="53">
        <f>prev PB_act*interest_rate/12</f>
        <v>4738.967811216753</v>
      </c>
      <c r="O69" s="53">
        <f>prev PB_act*interest_rate/12</f>
        <v>4296.6117964668774</v>
      </c>
      <c r="P69" s="53">
        <f>prev PB_act*interest_rate/12</f>
        <v>3868.9627394128797</v>
      </c>
      <c r="Q69" s="53">
        <f>prev PB_act*interest_rate/12</f>
        <v>3456.6754738224449</v>
      </c>
      <c r="R69" s="53">
        <f>prev PB_act*interest_rate/12</f>
        <v>3060.3069363405152</v>
      </c>
      <c r="S69" s="53">
        <f>prev PB_act*interest_rate/12</f>
        <v>2680.3178549542113</v>
      </c>
      <c r="T69" s="53">
        <f>prev PB_act*interest_rate/12</f>
        <v>2317.0750074347061</v>
      </c>
      <c r="U69" s="53">
        <f>prev PB_act*interest_rate/12</f>
        <v>1970.854000297925</v>
      </c>
      <c r="V69" s="53">
        <f>prev PB_act*interest_rate/12</f>
        <v>1641.8425168251572</v>
      </c>
      <c r="W69" s="53">
        <f>prev PB_act*interest_rate/12</f>
        <v>1330.143981352639</v>
      </c>
      <c r="X69" s="53">
        <f>prev PB_act*interest_rate/12</f>
        <v>1035.7815863487383</v>
      </c>
      <c r="Y69" s="53">
        <f>prev PB_act*interest_rate/12</f>
        <v>758.70262871477451</v>
      </c>
      <c r="Z69" s="53">
        <f>prev PB_act*interest_rate/12</f>
        <v>498.78310223114744</v>
      </c>
      <c r="AA69" s="53">
        <f>prev PB_act*interest_rate/12</f>
        <v>255.83249408023846</v>
      </c>
    </row>
    <row r="70" spans="1:87" x14ac:dyDescent="0.3">
      <c r="A70" s="32" t="s">
        <v>66</v>
      </c>
      <c r="B70" s="33" t="s">
        <v>106</v>
      </c>
      <c r="C70" s="53">
        <v>0</v>
      </c>
      <c r="D70" s="53">
        <f>(GB_DEF-prev GB_DEF)*recovery</f>
        <v>0</v>
      </c>
      <c r="E70" s="53">
        <f>(GB_DEF-prev GB_DEF)*recovery</f>
        <v>0</v>
      </c>
      <c r="F70" s="53">
        <f>(GB_DEF-prev GB_DEF)*recovery</f>
        <v>0</v>
      </c>
      <c r="G70" s="53">
        <f>(GB_DEF-prev GB_DEF)*recovery</f>
        <v>2488.446319389609</v>
      </c>
      <c r="H70" s="53">
        <f>(GB_DEF-prev GB_DEF)*recovery</f>
        <v>447.96316220139602</v>
      </c>
      <c r="I70" s="53">
        <f>(GB_DEF-prev GB_DEF)*recovery</f>
        <v>480.08429416656185</v>
      </c>
      <c r="J70" s="53">
        <f>(GB_DEF-prev GB_DEF)*recovery</f>
        <v>500.12833416380528</v>
      </c>
      <c r="K70" s="53">
        <f>(GB_DEF-prev GB_DEF)*recovery</f>
        <v>509.3509283280415</v>
      </c>
      <c r="L70" s="53">
        <f>(GB_DEF-prev GB_DEF)*recovery</f>
        <v>508.99741661723021</v>
      </c>
      <c r="M70" s="53">
        <f>(GB_DEF-prev GB_DEF)*recovery</f>
        <v>500.29205936037107</v>
      </c>
      <c r="N70" s="53">
        <f>(GB_DEF-prev GB_DEF)*recovery</f>
        <v>484.42816458960516</v>
      </c>
      <c r="O70" s="53">
        <f>(GB_DEF-prev GB_DEF)*recovery</f>
        <v>462.55917160600586</v>
      </c>
      <c r="P70" s="53">
        <f>(GB_DEF-prev GB_DEF)*recovery</f>
        <v>435.79073080742967</v>
      </c>
      <c r="Q70" s="53">
        <f>(GB_DEF-prev GB_DEF)*recovery</f>
        <v>405.17380482906157</v>
      </c>
      <c r="R70" s="53">
        <f>(GB_DEF-prev GB_DEF)*recovery</f>
        <v>371.6988017074633</v>
      </c>
      <c r="S70" s="53">
        <f>(GB_DEF-prev GB_DEF)*recovery</f>
        <v>336.29073724752965</v>
      </c>
      <c r="T70" s="53">
        <f>(GB_DEF-prev GB_DEF)*recovery</f>
        <v>299.80541119458212</v>
      </c>
      <c r="U70" s="53">
        <f>(GB_DEF-prev GB_DEF)*recovery</f>
        <v>263.02657031071288</v>
      </c>
      <c r="V70" s="53">
        <f>(GB_DEF-prev GB_DEF)*recovery</f>
        <v>226.66402111982316</v>
      </c>
      <c r="W70" s="53">
        <f>(GB_DEF-prev GB_DEF)*recovery</f>
        <v>191.35264598779759</v>
      </c>
      <c r="X70" s="53">
        <f>(GB_DEF-prev GB_DEF)*recovery</f>
        <v>157.65226838688832</v>
      </c>
      <c r="Y70" s="53">
        <f>(GB_DEF-prev GB_DEF)*recovery</f>
        <v>126.04830667640346</v>
      </c>
      <c r="Z70" s="53">
        <f>(GB_DEF-prev GB_DEF)*recovery</f>
        <v>96.953150513043511</v>
      </c>
      <c r="AA70" s="53">
        <f>(GB_DEF-prev GB_DEF)*recovery</f>
        <v>70.708190061194188</v>
      </c>
    </row>
    <row r="71" spans="1:87" x14ac:dyDescent="0.3">
      <c r="A71" s="29" t="s">
        <v>122</v>
      </c>
      <c r="B71" s="27" t="s">
        <v>122</v>
      </c>
      <c r="C71" s="82">
        <v>0</v>
      </c>
      <c r="D71" s="81">
        <f>prev PB_act*0.8*0.01</f>
        <v>4000</v>
      </c>
      <c r="E71" s="81">
        <f>prev PB_act*0.5*0.01</f>
        <v>2343.9295638351068</v>
      </c>
      <c r="F71" s="81">
        <f>prev PB_act*0.5*0.01</f>
        <v>2215.4705664220264</v>
      </c>
      <c r="G71" s="81">
        <f>prev PB_act*0.5*0.01</f>
        <v>2089.192506099856</v>
      </c>
      <c r="H71" s="81">
        <f>prev PB_act*0.5*0.01</f>
        <v>1913.2043322074487</v>
      </c>
      <c r="I71" s="81">
        <f>prev PB_act*0.5*0.01</f>
        <v>1785.3755136502057</v>
      </c>
      <c r="J71" s="81">
        <f>prev PB_act*0.5*0.01</f>
        <v>1659.7242873280195</v>
      </c>
      <c r="K71" s="81">
        <f>prev PB_act*0.5*0.01</f>
        <v>1536.5607402982673</v>
      </c>
      <c r="L71" s="81">
        <f>prev PB_act*0.5*0.01</f>
        <v>1416.1715307327311</v>
      </c>
      <c r="M71" s="81">
        <f>prev PB_act*0.5*0.01</f>
        <v>1298.8192452632443</v>
      </c>
      <c r="N71" s="81">
        <f>prev PB_act*0.5*0.01</f>
        <v>1184.7419528041883</v>
      </c>
      <c r="O71" s="81">
        <f>prev PB_act*0.5*0.01</f>
        <v>1074.1529491167194</v>
      </c>
      <c r="P71" s="81">
        <f>prev PB_act*0.5*0.01</f>
        <v>967.24068485321993</v>
      </c>
      <c r="Q71" s="81">
        <f>prev PB_act*0.5*0.01</f>
        <v>864.16886845561135</v>
      </c>
      <c r="R71" s="81">
        <f>prev PB_act*0.5*0.01</f>
        <v>765.07673408512892</v>
      </c>
      <c r="S71" s="81">
        <f>prev PB_act*0.5*0.01</f>
        <v>670.07946373855293</v>
      </c>
      <c r="T71" s="81">
        <f>prev PB_act*0.5*0.01</f>
        <v>579.26875185867652</v>
      </c>
      <c r="U71" s="81">
        <f>prev PB_act*0.5*0.01</f>
        <v>492.71350007448126</v>
      </c>
      <c r="V71" s="81">
        <f>prev PB_act*0.5*0.01</f>
        <v>410.4606292062893</v>
      </c>
      <c r="W71" s="81">
        <f>prev PB_act*0.5*0.01</f>
        <v>332.53599533815981</v>
      </c>
      <c r="X71" s="81">
        <f>prev PB_act*0.5*0.01</f>
        <v>258.94539658718458</v>
      </c>
      <c r="Y71" s="81">
        <f>prev PB_act*0.5*0.01</f>
        <v>189.67565717869363</v>
      </c>
      <c r="Z71" s="81">
        <f>prev PB_act*0.5*0.01</f>
        <v>124.69577555778686</v>
      </c>
      <c r="AA71" s="81">
        <f>prev PB_act*0.5*0.01</f>
        <v>63.958123520059615</v>
      </c>
    </row>
    <row r="72" spans="1:87" ht="15.6" x14ac:dyDescent="0.3">
      <c r="A72" s="77" t="s">
        <v>95</v>
      </c>
      <c r="B72" s="27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87" x14ac:dyDescent="0.3">
      <c r="A73" s="45" t="s">
        <v>95</v>
      </c>
      <c r="B73" s="54" t="s">
        <v>112</v>
      </c>
      <c r="C73" s="53">
        <f t="shared" ref="C73:AA73" si="11">Loan_Loss+Cost_of_Funds+Operation_cost+collect_cost</f>
        <v>0</v>
      </c>
      <c r="D73" s="53">
        <f t="shared" si="11"/>
        <v>6297.916666666667</v>
      </c>
      <c r="E73" s="53">
        <f t="shared" si="11"/>
        <v>5953.4606024221785</v>
      </c>
      <c r="F73" s="53">
        <f t="shared" si="11"/>
        <v>5638.7917249842039</v>
      </c>
      <c r="G73" s="53">
        <f t="shared" si="11"/>
        <v>17770.018099272755</v>
      </c>
      <c r="H73" s="53">
        <f t="shared" si="11"/>
        <v>7128.0733804820366</v>
      </c>
      <c r="I73" s="53">
        <f t="shared" si="11"/>
        <v>6961.6426705768727</v>
      </c>
      <c r="J73" s="53">
        <f t="shared" si="11"/>
        <v>6749.4272899286925</v>
      </c>
      <c r="K73" s="53">
        <f t="shared" si="11"/>
        <v>6488.8151144108915</v>
      </c>
      <c r="L73" s="53">
        <f t="shared" si="11"/>
        <v>6186.7782197028446</v>
      </c>
      <c r="M73" s="53">
        <f t="shared" si="11"/>
        <v>5850.1241305474678</v>
      </c>
      <c r="N73" s="53">
        <f t="shared" si="11"/>
        <v>5485.4450606706087</v>
      </c>
      <c r="O73" s="53">
        <f t="shared" si="11"/>
        <v>5099.0724221310993</v>
      </c>
      <c r="P73" s="53">
        <f t="shared" si="11"/>
        <v>4697.0367880460217</v>
      </c>
      <c r="Q73" s="53">
        <f t="shared" si="11"/>
        <v>4285.0334140533969</v>
      </c>
      <c r="R73" s="53">
        <f t="shared" si="11"/>
        <v>3868.3933489018304</v>
      </c>
      <c r="S73" s="53">
        <f t="shared" si="11"/>
        <v>3452.060094061821</v>
      </c>
      <c r="T73" s="53">
        <f t="shared" si="11"/>
        <v>3040.5717069741504</v>
      </c>
      <c r="U73" s="53">
        <f t="shared" si="11"/>
        <v>2638.0481830884664</v>
      </c>
      <c r="V73" s="53">
        <f t="shared" si="11"/>
        <v>2248.1838986676894</v>
      </c>
      <c r="W73" s="53">
        <f t="shared" si="11"/>
        <v>1874.2448497726541</v>
      </c>
      <c r="X73" s="53">
        <f t="shared" si="11"/>
        <v>1519.0703831015298</v>
      </c>
      <c r="Y73" s="53">
        <f t="shared" si="11"/>
        <v>1185.0790815193077</v>
      </c>
      <c r="Z73" s="53">
        <f t="shared" si="11"/>
        <v>874.27844113984179</v>
      </c>
      <c r="AA73" s="53">
        <f t="shared" si="11"/>
        <v>588.2779575773684</v>
      </c>
    </row>
    <row r="74" spans="1:87" x14ac:dyDescent="0.3">
      <c r="A74" s="32" t="s">
        <v>16</v>
      </c>
      <c r="B74" s="33" t="s">
        <v>102</v>
      </c>
      <c r="C74" s="53">
        <f>Cost_of_Funds+operational_cost+collect_cost</f>
        <v>0</v>
      </c>
      <c r="D74" s="53">
        <f>GB_DEF-prev GB_DEF</f>
        <v>0</v>
      </c>
      <c r="E74" s="53">
        <f>GB_DEF-prev GB_DEF</f>
        <v>0</v>
      </c>
      <c r="F74" s="53">
        <f>GB_DEF-prev GB_DEF</f>
        <v>0</v>
      </c>
      <c r="G74" s="53">
        <f>GB_DEF-prev GB_DEF</f>
        <v>12442.231596948044</v>
      </c>
      <c r="H74" s="53">
        <f>GB_DEF-prev GB_DEF</f>
        <v>2239.8158110069799</v>
      </c>
      <c r="I74" s="53">
        <f>GB_DEF-prev GB_DEF</f>
        <v>2400.4214708328091</v>
      </c>
      <c r="J74" s="53">
        <f>GB_DEF-prev GB_DEF</f>
        <v>2500.6416708190263</v>
      </c>
      <c r="K74" s="53">
        <f>GB_DEF-prev GB_DEF</f>
        <v>2546.7546416402074</v>
      </c>
      <c r="L74" s="53">
        <f>GB_DEF-prev GB_DEF</f>
        <v>2544.987083086151</v>
      </c>
      <c r="M74" s="53">
        <f>GB_DEF-prev GB_DEF</f>
        <v>2501.4602968018553</v>
      </c>
      <c r="N74" s="53">
        <f>GB_DEF-prev GB_DEF</f>
        <v>2422.1408229480257</v>
      </c>
      <c r="O74" s="53">
        <f>GB_DEF-prev GB_DEF</f>
        <v>2312.7958580300292</v>
      </c>
      <c r="P74" s="53">
        <f>GB_DEF-prev GB_DEF</f>
        <v>2178.9536540371482</v>
      </c>
      <c r="Q74" s="53">
        <f>GB_DEF-prev GB_DEF</f>
        <v>2025.8690241453078</v>
      </c>
      <c r="R74" s="53">
        <f>GB_DEF-prev GB_DEF</f>
        <v>1858.4940085373164</v>
      </c>
      <c r="S74" s="53">
        <f>GB_DEF-prev GB_DEF</f>
        <v>1681.4536862376481</v>
      </c>
      <c r="T74" s="53">
        <f>GB_DEF-prev GB_DEF</f>
        <v>1499.0270559729106</v>
      </c>
      <c r="U74" s="53">
        <f>GB_DEF-prev GB_DEF</f>
        <v>1315.1328515535643</v>
      </c>
      <c r="V74" s="53">
        <f>GB_DEF-prev GB_DEF</f>
        <v>1133.3201055991158</v>
      </c>
      <c r="W74" s="53">
        <f>GB_DEF-prev GB_DEF</f>
        <v>956.76322993898793</v>
      </c>
      <c r="X74" s="53">
        <f>GB_DEF-prev GB_DEF</f>
        <v>788.26134193444159</v>
      </c>
      <c r="Y74" s="53">
        <f>GB_DEF-prev GB_DEF</f>
        <v>630.24153338201722</v>
      </c>
      <c r="Z74" s="53">
        <f>GB_DEF-prev GB_DEF</f>
        <v>484.76575256521755</v>
      </c>
      <c r="AA74" s="53">
        <f>GB_DEF-prev GB_DEF</f>
        <v>353.54095030597091</v>
      </c>
    </row>
    <row r="75" spans="1:87" x14ac:dyDescent="0.3">
      <c r="A75" s="32" t="s">
        <v>15</v>
      </c>
      <c r="B75" s="33" t="s">
        <v>98</v>
      </c>
      <c r="C75" s="53">
        <f>IF(statement_no=0,0,prev AT1_req*At1_int_rate/12)</f>
        <v>0</v>
      </c>
      <c r="D75" s="53">
        <f>(1-Equity_Req)*prev GB_act*CoF/12</f>
        <v>6197.916666666667</v>
      </c>
      <c r="E75" s="53">
        <f>(1-Equity_Req)*prev GB_act*CoF/12</f>
        <v>5820.0857231096188</v>
      </c>
      <c r="F75" s="53">
        <f>(1-Equity_Req)*prev GB_act*CoF/12</f>
        <v>5502.5094658907847</v>
      </c>
      <c r="G75" s="53">
        <f>(1-Equity_Req)*prev GB_act*CoF/12</f>
        <v>5189.9365817959206</v>
      </c>
      <c r="H75" s="53">
        <f>(1-Equity_Req)*prev GB_act*CoF/12</f>
        <v>4751.4152136313796</v>
      </c>
      <c r="I75" s="53">
        <f>(1-Equity_Req)*prev GB_act*CoF/12</f>
        <v>4434.5397820315011</v>
      </c>
      <c r="J75" s="53">
        <f>(1-Equity_Req)*prev GB_act*CoF/12</f>
        <v>4122.9623069673717</v>
      </c>
      <c r="K75" s="53">
        <f>(1-Equity_Req)*prev GB_act*CoF/12</f>
        <v>3817.4619441034888</v>
      </c>
      <c r="L75" s="53">
        <f>(1-Equity_Req)*prev GB_act*CoF/12</f>
        <v>3518.7597221157089</v>
      </c>
      <c r="M75" s="53">
        <f>(1-Equity_Req)*prev GB_act*CoF/12</f>
        <v>3227.5168609269908</v>
      </c>
      <c r="N75" s="53">
        <f>(1-Equity_Req)*prev GB_act*CoF/12</f>
        <v>2944.333583779638</v>
      </c>
      <c r="O75" s="53">
        <f>(1-Equity_Req)*prev GB_act*CoF/12</f>
        <v>2669.7484094170545</v>
      </c>
      <c r="P75" s="53">
        <f>(1-Equity_Req)*prev GB_act*CoF/12</f>
        <v>2404.2379067448614</v>
      </c>
      <c r="Q75" s="53">
        <f>(1-Equity_Req)*prev GB_act*CoF/12</f>
        <v>2148.2168908410144</v>
      </c>
      <c r="R75" s="53">
        <f>(1-Equity_Req)*prev GB_act*CoF/12</f>
        <v>1902.0390361070461</v>
      </c>
      <c r="S75" s="53">
        <f>(1-Equity_Req)*prev GB_act*CoF/12</f>
        <v>1665.9978797104998</v>
      </c>
      <c r="T75" s="53">
        <f>(1-Equity_Req)*prev GB_act*CoF/12</f>
        <v>1440.3281862680367</v>
      </c>
      <c r="U75" s="53">
        <f>(1-Equity_Req)*prev GB_act*CoF/12</f>
        <v>1225.2076429594622</v>
      </c>
      <c r="V75" s="53">
        <f>(1-Equity_Req)*prev GB_act*CoF/12</f>
        <v>1020.7588529388578</v>
      </c>
      <c r="W75" s="53">
        <f>(1-Equity_Req)*prev GB_act*CoF/12</f>
        <v>827.0515940085412</v>
      </c>
      <c r="X75" s="53">
        <f>(1-Equity_Req)*prev GB_act*CoF/12</f>
        <v>644.1053090283383</v>
      </c>
      <c r="Y75" s="53">
        <f>(1-Equity_Req)*prev GB_act*CoF/12</f>
        <v>471.8917944259037</v>
      </c>
      <c r="Z75" s="53">
        <f>(1-Equity_Req)*prev GB_act*CoF/12</f>
        <v>310.33805342912262</v>
      </c>
      <c r="AA75" s="53">
        <f>(1-Equity_Req)*prev GB_act*CoF/12</f>
        <v>159.32928123156262</v>
      </c>
    </row>
    <row r="76" spans="1:87" x14ac:dyDescent="0.3">
      <c r="A76" s="32" t="s">
        <v>99</v>
      </c>
      <c r="B76" s="33" t="s">
        <v>105</v>
      </c>
      <c r="C76" s="53">
        <f>0</f>
        <v>0</v>
      </c>
      <c r="D76" s="53">
        <f>prev accnt_act*oper_cost</f>
        <v>100</v>
      </c>
      <c r="E76" s="53">
        <f>prev accnt_act*oper_cost</f>
        <v>96.694491675252507</v>
      </c>
      <c r="F76" s="53">
        <f>prev accnt_act*oper_cost</f>
        <v>94.622351502068213</v>
      </c>
      <c r="G76" s="53">
        <f>prev accnt_act*oper_cost</f>
        <v>92.570466130199463</v>
      </c>
      <c r="H76" s="53">
        <f>prev accnt_act*oper_cost</f>
        <v>88.222133471551345</v>
      </c>
      <c r="I76" s="53">
        <f>prev accnt_act*oper_cost</f>
        <v>85.820181237944027</v>
      </c>
      <c r="J76" s="53">
        <f>prev accnt_act*oper_cost</f>
        <v>83.389546597635601</v>
      </c>
      <c r="K76" s="53">
        <f>prev accnt_act*oper_cost</f>
        <v>80.93718789405645</v>
      </c>
      <c r="L76" s="53">
        <f>prev accnt_act*oper_cost</f>
        <v>78.469870616696042</v>
      </c>
      <c r="M76" s="53">
        <f>prev accnt_act*oper_cost</f>
        <v>75.99414207262997</v>
      </c>
      <c r="N76" s="53">
        <f>prev accnt_act*oper_cost</f>
        <v>73.516308609631807</v>
      </c>
      <c r="O76" s="53">
        <f>prev accnt_act*oper_cost</f>
        <v>71.042415434440613</v>
      </c>
      <c r="P76" s="53">
        <f>prev accnt_act*oper_cost</f>
        <v>68.578229044341967</v>
      </c>
      <c r="Q76" s="53">
        <f>prev accnt_act*oper_cost</f>
        <v>66.129222266085932</v>
      </c>
      <c r="R76" s="53">
        <f>prev accnt_act*oper_cost</f>
        <v>63.70056187350783</v>
      </c>
      <c r="S76" s="53">
        <f>prev accnt_act*oper_cost</f>
        <v>61.297098734208852</v>
      </c>
      <c r="T76" s="53">
        <f>prev accnt_act*oper_cost</f>
        <v>58.923360416427627</v>
      </c>
      <c r="U76" s="53">
        <f>prev accnt_act*oper_cost</f>
        <v>56.583546169897488</v>
      </c>
      <c r="V76" s="53">
        <f>prev accnt_act*oper_cost</f>
        <v>54.281524179110242</v>
      </c>
      <c r="W76" s="53">
        <f>prev accnt_act*oper_cost</f>
        <v>52.020830974039022</v>
      </c>
      <c r="X76" s="53">
        <f>prev accnt_act*oper_cost</f>
        <v>49.804672872025577</v>
      </c>
      <c r="Y76" s="53">
        <f>prev accnt_act*oper_cost</f>
        <v>47.635929315199192</v>
      </c>
      <c r="Z76" s="53">
        <f>prev accnt_act*oper_cost</f>
        <v>45.517157960429195</v>
      </c>
      <c r="AA76" s="53">
        <f>prev accnt_act*oper_cost</f>
        <v>43.450601373363156</v>
      </c>
    </row>
    <row r="77" spans="1:87" x14ac:dyDescent="0.3">
      <c r="A77" s="32" t="s">
        <v>100</v>
      </c>
      <c r="B77" s="33" t="s">
        <v>101</v>
      </c>
      <c r="C77" s="53">
        <v>0</v>
      </c>
      <c r="D77" s="53">
        <f>(prev accnt_dlq+prev accnt_b_def)*collection_cost</f>
        <v>0</v>
      </c>
      <c r="E77" s="53">
        <f>(prev accnt_dlq+prev accnt_b_def)*collection_cost</f>
        <v>36.680387637306758</v>
      </c>
      <c r="F77" s="53">
        <f>(prev accnt_dlq+prev accnt_b_def)*collection_cost</f>
        <v>41.659907591350525</v>
      </c>
      <c r="G77" s="53">
        <f>(prev accnt_dlq+prev accnt_b_def)*collection_cost</f>
        <v>45.279454398588037</v>
      </c>
      <c r="H77" s="53">
        <f>(prev accnt_dlq+prev accnt_b_def)*collection_cost</f>
        <v>48.620222372126044</v>
      </c>
      <c r="I77" s="53">
        <f>(prev accnt_dlq+prev accnt_b_def)*collection_cost</f>
        <v>40.861236474618714</v>
      </c>
      <c r="J77" s="53">
        <f>(prev accnt_dlq+prev accnt_b_def)*collection_cost</f>
        <v>42.433765544658925</v>
      </c>
      <c r="K77" s="53">
        <f>(prev accnt_dlq+prev accnt_b_def)*collection_cost</f>
        <v>43.661340773139408</v>
      </c>
      <c r="L77" s="53">
        <f>(prev accnt_dlq+prev accnt_b_def)*collection_cost</f>
        <v>44.561543884289001</v>
      </c>
      <c r="M77" s="53">
        <f>(prev accnt_dlq+prev accnt_b_def)*collection_cost</f>
        <v>45.15283074599126</v>
      </c>
      <c r="N77" s="53">
        <f>(prev accnt_dlq+prev accnt_b_def)*collection_cost</f>
        <v>45.454345333312851</v>
      </c>
      <c r="O77" s="53">
        <f>(prev accnt_dlq+prev accnt_b_def)*collection_cost</f>
        <v>45.485739249575147</v>
      </c>
      <c r="P77" s="53">
        <f>(prev accnt_dlq+prev accnt_b_def)*collection_cost</f>
        <v>45.266998219669688</v>
      </c>
      <c r="Q77" s="53">
        <f>(prev accnt_dlq+prev accnt_b_def)*collection_cost</f>
        <v>44.818276800987967</v>
      </c>
      <c r="R77" s="53">
        <f>(prev accnt_dlq+prev accnt_b_def)*collection_cost</f>
        <v>44.159742383960413</v>
      </c>
      <c r="S77" s="53">
        <f>(prev accnt_dlq+prev accnt_b_def)*collection_cost</f>
        <v>43.311429379464577</v>
      </c>
      <c r="T77" s="53">
        <f>(prev accnt_dlq+prev accnt_b_def)*collection_cost</f>
        <v>42.293104316775029</v>
      </c>
      <c r="U77" s="53">
        <f>(prev accnt_dlq+prev accnt_b_def)*collection_cost</f>
        <v>41.124142405542401</v>
      </c>
      <c r="V77" s="53">
        <f>(prev accnt_dlq+prev accnt_b_def)*collection_cost</f>
        <v>39.823415950605664</v>
      </c>
      <c r="W77" s="53">
        <f>(prev accnt_dlq+prev accnt_b_def)*collection_cost</f>
        <v>38.409194851086056</v>
      </c>
      <c r="X77" s="53">
        <f>(prev accnt_dlq+prev accnt_b_def)*collection_cost</f>
        <v>36.899059266724521</v>
      </c>
      <c r="Y77" s="53">
        <f>(prev accnt_dlq+prev accnt_b_def)*collection_cost</f>
        <v>35.309824396187395</v>
      </c>
      <c r="Z77" s="53">
        <f>(prev accnt_dlq+prev accnt_b_def)*collection_cost</f>
        <v>33.657477185072402</v>
      </c>
      <c r="AA77" s="53">
        <f>(prev accnt_dlq+prev accnt_b_def)*collection_cost</f>
        <v>31.957124666471756</v>
      </c>
    </row>
    <row r="78" spans="1:87" x14ac:dyDescent="0.3">
      <c r="A78" s="55"/>
      <c r="B78" s="56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87" ht="15.6" x14ac:dyDescent="0.3">
      <c r="A79" s="77" t="s">
        <v>47</v>
      </c>
      <c r="B79" s="27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58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87" x14ac:dyDescent="0.3">
      <c r="A80" s="59" t="s">
        <v>42</v>
      </c>
      <c r="B80" s="60" t="s">
        <v>48</v>
      </c>
      <c r="C80" s="51">
        <f>C68</f>
        <v>0</v>
      </c>
      <c r="D80" s="51">
        <f>(prev GB_act- GB_act)+(prev GB_DEF - GB_DEF)+Gross_profit</f>
        <v>44480.479480232461</v>
      </c>
      <c r="E80" s="51">
        <f>(prev GB_act- GB_act)+(prev GB_DEF - GB_DEF)+Gross_profit</f>
        <v>37339.245040190726</v>
      </c>
      <c r="F80" s="51">
        <f>(prev GB_act- GB_act)+(prev GB_DEF - GB_DEF)+Gross_profit</f>
        <v>36293.316591023526</v>
      </c>
      <c r="G80" s="51">
        <f>(prev GB_act- GB_act)+(prev GB_DEF - GB_DEF)+Gross_profit</f>
        <v>35868.690987223134</v>
      </c>
      <c r="H80" s="51">
        <f>(prev GB_act- GB_act)+(prev GB_DEF - GB_DEF)+Gross_profit</f>
        <v>33337.229040457198</v>
      </c>
      <c r="I80" s="51">
        <f>(prev GB_act- GB_act)+(prev GB_DEF - GB_DEF)+Gross_profit</f>
        <v>32142.202245497709</v>
      </c>
      <c r="J80" s="51">
        <f>(prev GB_act- GB_act)+(prev GB_DEF - GB_DEF)+Gross_profit</f>
        <v>30943.515524298127</v>
      </c>
      <c r="K80" s="51">
        <f>(prev GB_act- GB_act)+(prev GB_DEF - GB_DEF)+Gross_profit</f>
        <v>29742.385963663939</v>
      </c>
      <c r="L80" s="51">
        <f>(prev GB_act- GB_act)+(prev GB_DEF - GB_DEF)+Gross_profit</f>
        <v>28540.090402419035</v>
      </c>
      <c r="M80" s="51">
        <f>(prev GB_act- GB_act)+(prev GB_DEF - GB_DEF)+Gross_profit</f>
        <v>27337.965473030938</v>
      </c>
      <c r="N80" s="51">
        <f>(prev GB_act- GB_act)+(prev GB_DEF - GB_DEF)+Gross_profit</f>
        <v>26137.406129870957</v>
      </c>
      <c r="O80" s="51">
        <f>(prev GB_act- GB_act)+(prev GB_DEF - GB_DEF)+Gross_profit</f>
        <v>24939.862728512926</v>
      </c>
      <c r="P80" s="51">
        <f>(prev GB_act- GB_act)+(prev GB_DEF - GB_DEF)+Gross_profit</f>
        <v>23746.836742019012</v>
      </c>
      <c r="Q80" s="51">
        <f>(prev GB_act- GB_act)+(prev GB_DEF - GB_DEF)+Gross_profit</f>
        <v>22559.875219147492</v>
      </c>
      <c r="R80" s="51">
        <f>(prev GB_act- GB_act)+(prev GB_DEF - GB_DEF)+Gross_profit</f>
        <v>21380.564105670099</v>
      </c>
      <c r="S80" s="51">
        <f>(prev GB_act- GB_act)+(prev GB_DEF - GB_DEF)+Gross_profit</f>
        <v>20210.520563380363</v>
      </c>
      <c r="T80" s="51">
        <f>(prev GB_act- GB_act)+(prev GB_DEF - GB_DEF)+Gross_profit</f>
        <v>19051.384431845414</v>
      </c>
      <c r="U80" s="51">
        <f>(prev GB_act- GB_act)+(prev GB_DEF - GB_DEF)+Gross_profit</f>
        <v>17904.808985497635</v>
      </c>
      <c r="V80" s="51">
        <f>(prev GB_act- GB_act)+(prev GB_DEF - GB_DEF)+Gross_profit</f>
        <v>16772.451143325598</v>
      </c>
      <c r="W80" s="51">
        <f>(prev GB_act- GB_act)+(prev GB_DEF - GB_DEF)+Gross_profit</f>
        <v>15655.961290302197</v>
      </c>
      <c r="X80" s="51">
        <f>(prev GB_act- GB_act)+(prev GB_DEF - GB_DEF)+Gross_profit</f>
        <v>14556.972868912504</v>
      </c>
      <c r="Y80" s="51">
        <f>(prev GB_act- GB_act)+(prev GB_DEF - GB_DEF)+Gross_profit</f>
        <v>13477.091895902966</v>
      </c>
      <c r="Z80" s="51">
        <f>(prev GB_act- GB_act)+(prev GB_DEF - GB_DEF)+Gross_profit</f>
        <v>12417.886553859247</v>
      </c>
      <c r="AA80" s="51">
        <f>(prev GB_act- GB_act)+(prev GB_DEF - GB_DEF)+Gross_profit</f>
        <v>12890.412477716874</v>
      </c>
    </row>
    <row r="81" spans="1:87" x14ac:dyDescent="0.3">
      <c r="A81" s="29"/>
      <c r="B81" s="27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spans="1:87" ht="15.6" x14ac:dyDescent="0.3">
      <c r="A82" s="77" t="s">
        <v>41</v>
      </c>
      <c r="B82" s="27"/>
      <c r="C82" s="4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87" x14ac:dyDescent="0.3">
      <c r="A83" s="29" t="s">
        <v>17</v>
      </c>
      <c r="B83" s="27" t="s">
        <v>18</v>
      </c>
      <c r="C83" s="53">
        <f>Gross_profit-Loan_Loss</f>
        <v>0</v>
      </c>
      <c r="D83" s="53">
        <f t="shared" ref="D83:AA83" si="12">Gross_profit-Gross_Loss</f>
        <v>7702.083333333333</v>
      </c>
      <c r="E83" s="53">
        <f t="shared" si="12"/>
        <v>5766.1872167533556</v>
      </c>
      <c r="F83" s="53">
        <f t="shared" si="12"/>
        <v>5438.5611071259254</v>
      </c>
      <c r="G83" s="53">
        <f t="shared" si="12"/>
        <v>-4835.6092493838642</v>
      </c>
      <c r="H83" s="53">
        <f t="shared" si="12"/>
        <v>2885.9114427566028</v>
      </c>
      <c r="I83" s="53">
        <f t="shared" si="12"/>
        <v>2445.3191918407165</v>
      </c>
      <c r="J83" s="53">
        <f t="shared" si="12"/>
        <v>2049.3224808752102</v>
      </c>
      <c r="K83" s="53">
        <f t="shared" si="12"/>
        <v>1703.3395154084856</v>
      </c>
      <c r="L83" s="53">
        <f t="shared" si="12"/>
        <v>1403.0768505780416</v>
      </c>
      <c r="M83" s="53">
        <f t="shared" si="12"/>
        <v>1144.2641551291244</v>
      </c>
      <c r="N83" s="53">
        <f t="shared" si="12"/>
        <v>922.69286793993797</v>
      </c>
      <c r="O83" s="53">
        <f t="shared" si="12"/>
        <v>734.25149505850368</v>
      </c>
      <c r="P83" s="53">
        <f t="shared" si="12"/>
        <v>574.95736702750764</v>
      </c>
      <c r="Q83" s="53">
        <f t="shared" si="12"/>
        <v>440.98473305372136</v>
      </c>
      <c r="R83" s="53">
        <f t="shared" si="12"/>
        <v>328.68912323127688</v>
      </c>
      <c r="S83" s="53">
        <f t="shared" si="12"/>
        <v>234.62796187847289</v>
      </c>
      <c r="T83" s="53">
        <f t="shared" si="12"/>
        <v>155.57746351381411</v>
      </c>
      <c r="U83" s="53">
        <f t="shared" si="12"/>
        <v>88.545887594652413</v>
      </c>
      <c r="V83" s="53">
        <f t="shared" si="12"/>
        <v>30.783268483580287</v>
      </c>
      <c r="W83" s="53">
        <f t="shared" si="12"/>
        <v>-20.212227094057653</v>
      </c>
      <c r="X83" s="53">
        <f t="shared" si="12"/>
        <v>-66.6911317787185</v>
      </c>
      <c r="Y83" s="53">
        <f t="shared" si="12"/>
        <v>-110.65248894943602</v>
      </c>
      <c r="Z83" s="53">
        <f t="shared" si="12"/>
        <v>-153.84641283786391</v>
      </c>
      <c r="AA83" s="53">
        <f t="shared" si="12"/>
        <v>-197.77914991587613</v>
      </c>
    </row>
    <row r="84" spans="1:87" x14ac:dyDescent="0.3">
      <c r="A84" s="29" t="s">
        <v>19</v>
      </c>
      <c r="B84" s="27" t="s">
        <v>19</v>
      </c>
      <c r="C84" s="53">
        <f t="shared" ref="C84:AA84" si="13">Net_Income_Bax*tax_rate</f>
        <v>0</v>
      </c>
      <c r="D84" s="53">
        <f>Net_Income_Bax*tax_rate</f>
        <v>1540.4166666666667</v>
      </c>
      <c r="E84" s="53">
        <f t="shared" si="13"/>
        <v>1153.2374433506711</v>
      </c>
      <c r="F84" s="53">
        <f>Net_Income_Bax*tax_rate</f>
        <v>1087.7122214251851</v>
      </c>
      <c r="G84" s="53">
        <f t="shared" si="13"/>
        <v>-967.1218498767729</v>
      </c>
      <c r="H84" s="53">
        <f t="shared" si="13"/>
        <v>577.18228855132054</v>
      </c>
      <c r="I84" s="53">
        <f>Net_Income_Bax*tax_rate</f>
        <v>489.06383836814331</v>
      </c>
      <c r="J84" s="53">
        <f t="shared" si="13"/>
        <v>409.86449617504206</v>
      </c>
      <c r="K84" s="53">
        <f t="shared" si="13"/>
        <v>340.66790308169715</v>
      </c>
      <c r="L84" s="53">
        <f t="shared" si="13"/>
        <v>280.6153701156083</v>
      </c>
      <c r="M84" s="53">
        <f t="shared" si="13"/>
        <v>228.85283102582491</v>
      </c>
      <c r="N84" s="53">
        <f t="shared" si="13"/>
        <v>184.5385735879876</v>
      </c>
      <c r="O84" s="53">
        <f t="shared" si="13"/>
        <v>146.85029901170074</v>
      </c>
      <c r="P84" s="53">
        <f t="shared" si="13"/>
        <v>114.99147340550154</v>
      </c>
      <c r="Q84" s="53">
        <f t="shared" si="13"/>
        <v>88.196946610744277</v>
      </c>
      <c r="R84" s="53">
        <f t="shared" si="13"/>
        <v>65.737824646255376</v>
      </c>
      <c r="S84" s="53">
        <f t="shared" si="13"/>
        <v>46.925592375694578</v>
      </c>
      <c r="T84" s="53">
        <f t="shared" si="13"/>
        <v>31.115492702762822</v>
      </c>
      <c r="U84" s="53">
        <f t="shared" si="13"/>
        <v>17.709177518930485</v>
      </c>
      <c r="V84" s="53">
        <f t="shared" si="13"/>
        <v>6.1566536967160577</v>
      </c>
      <c r="W84" s="53">
        <f t="shared" si="13"/>
        <v>-4.0424454188115311</v>
      </c>
      <c r="X84" s="53">
        <f t="shared" si="13"/>
        <v>-13.3382263557437</v>
      </c>
      <c r="Y84" s="53">
        <f t="shared" si="13"/>
        <v>-22.130497789887205</v>
      </c>
      <c r="Z84" s="53">
        <f t="shared" si="13"/>
        <v>-30.769282567572784</v>
      </c>
      <c r="AA84" s="53">
        <f t="shared" si="13"/>
        <v>-39.555829983175229</v>
      </c>
    </row>
    <row r="85" spans="1:87" s="5" customFormat="1" x14ac:dyDescent="0.3">
      <c r="A85" s="61" t="s">
        <v>40</v>
      </c>
      <c r="B85" s="62" t="s">
        <v>20</v>
      </c>
      <c r="C85" s="63">
        <f t="shared" ref="C85:AA85" si="14">Net_Income_Bax-Tax</f>
        <v>0</v>
      </c>
      <c r="D85" s="63">
        <f t="shared" si="14"/>
        <v>6161.6666666666661</v>
      </c>
      <c r="E85" s="63">
        <f t="shared" si="14"/>
        <v>4612.9497734026845</v>
      </c>
      <c r="F85" s="63">
        <f t="shared" si="14"/>
        <v>4350.8488857007405</v>
      </c>
      <c r="G85" s="63">
        <f t="shared" si="14"/>
        <v>-3868.4873995070911</v>
      </c>
      <c r="H85" s="63">
        <f t="shared" si="14"/>
        <v>2308.7291542052822</v>
      </c>
      <c r="I85" s="63">
        <f t="shared" si="14"/>
        <v>1956.2553534725732</v>
      </c>
      <c r="J85" s="63">
        <f t="shared" si="14"/>
        <v>1639.4579847001683</v>
      </c>
      <c r="K85" s="63">
        <f t="shared" si="14"/>
        <v>1362.6716123267884</v>
      </c>
      <c r="L85" s="63">
        <f t="shared" si="14"/>
        <v>1122.4614804624332</v>
      </c>
      <c r="M85" s="63">
        <f t="shared" si="14"/>
        <v>915.41132410329953</v>
      </c>
      <c r="N85" s="63">
        <f t="shared" si="14"/>
        <v>738.1542943519504</v>
      </c>
      <c r="O85" s="63">
        <f t="shared" si="14"/>
        <v>587.40119604680297</v>
      </c>
      <c r="P85" s="63">
        <f t="shared" si="14"/>
        <v>459.96589362200609</v>
      </c>
      <c r="Q85" s="63">
        <f t="shared" si="14"/>
        <v>352.78778644297711</v>
      </c>
      <c r="R85" s="63">
        <f t="shared" si="14"/>
        <v>262.9512985850215</v>
      </c>
      <c r="S85" s="63">
        <f t="shared" si="14"/>
        <v>187.70236950277831</v>
      </c>
      <c r="T85" s="63">
        <f t="shared" si="14"/>
        <v>124.46197081105129</v>
      </c>
      <c r="U85" s="63">
        <f t="shared" si="14"/>
        <v>70.836710075721925</v>
      </c>
      <c r="V85" s="63">
        <f t="shared" si="14"/>
        <v>24.626614786864231</v>
      </c>
      <c r="W85" s="63">
        <f t="shared" si="14"/>
        <v>-16.169781675246121</v>
      </c>
      <c r="X85" s="63">
        <f t="shared" si="14"/>
        <v>-53.3529054229748</v>
      </c>
      <c r="Y85" s="63">
        <f t="shared" si="14"/>
        <v>-88.521991159548818</v>
      </c>
      <c r="Z85" s="63">
        <f t="shared" si="14"/>
        <v>-123.07713027029112</v>
      </c>
      <c r="AA85" s="63">
        <f t="shared" si="14"/>
        <v>-158.22331993270092</v>
      </c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</row>
    <row r="86" spans="1:87" x14ac:dyDescent="0.3">
      <c r="A86" s="29"/>
      <c r="B86" s="27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87" ht="15.6" x14ac:dyDescent="0.3">
      <c r="A87" s="77" t="s">
        <v>64</v>
      </c>
      <c r="B87" s="27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87" s="2" customFormat="1" x14ac:dyDescent="0.3">
      <c r="A88" s="45" t="s">
        <v>51</v>
      </c>
      <c r="B88" s="27" t="s">
        <v>52</v>
      </c>
      <c r="C88" s="53">
        <f t="shared" ref="C88:AA88" si="15">GB_act</f>
        <v>500000</v>
      </c>
      <c r="D88" s="53">
        <f t="shared" si="15"/>
        <v>469519.52051976754</v>
      </c>
      <c r="E88" s="53">
        <f t="shared" si="15"/>
        <v>443899.92329875234</v>
      </c>
      <c r="F88" s="53">
        <f t="shared" si="15"/>
        <v>418683.95953983895</v>
      </c>
      <c r="G88" s="53">
        <f t="shared" si="15"/>
        <v>383307.44580555666</v>
      </c>
      <c r="H88" s="53">
        <f t="shared" si="15"/>
        <v>357744.38577733113</v>
      </c>
      <c r="I88" s="53">
        <f t="shared" si="15"/>
        <v>332608.72392341821</v>
      </c>
      <c r="J88" s="53">
        <f t="shared" si="15"/>
        <v>307963.31649910496</v>
      </c>
      <c r="K88" s="53">
        <f t="shared" si="15"/>
        <v>283866.33052362018</v>
      </c>
      <c r="L88" s="53">
        <f t="shared" si="15"/>
        <v>260371.10810839589</v>
      </c>
      <c r="M88" s="53">
        <f t="shared" si="15"/>
        <v>237526.07062423968</v>
      </c>
      <c r="N88" s="53">
        <f t="shared" si="15"/>
        <v>215374.66160003125</v>
      </c>
      <c r="O88" s="53">
        <f t="shared" si="15"/>
        <v>193955.3269306779</v>
      </c>
      <c r="P88" s="53">
        <f t="shared" si="15"/>
        <v>173301.53068969527</v>
      </c>
      <c r="Q88" s="53">
        <f t="shared" si="15"/>
        <v>153441.80459350959</v>
      </c>
      <c r="R88" s="53">
        <f t="shared" si="15"/>
        <v>134399.82895143528</v>
      </c>
      <c r="S88" s="53">
        <f t="shared" si="15"/>
        <v>116194.54275775756</v>
      </c>
      <c r="T88" s="53">
        <f t="shared" si="15"/>
        <v>98840.280440427203</v>
      </c>
      <c r="U88" s="53">
        <f t="shared" si="15"/>
        <v>82346.93267405912</v>
      </c>
      <c r="V88" s="53">
        <f t="shared" si="15"/>
        <v>66720.128592285677</v>
      </c>
      <c r="W88" s="53">
        <f t="shared" si="15"/>
        <v>51961.436694723088</v>
      </c>
      <c r="X88" s="53">
        <f t="shared" si="15"/>
        <v>38068.581735198954</v>
      </c>
      <c r="Y88" s="53">
        <f t="shared" si="15"/>
        <v>25035.674898483841</v>
      </c>
      <c r="Z88" s="53">
        <f t="shared" si="15"/>
        <v>12853.454620361354</v>
      </c>
      <c r="AA88" s="53">
        <f t="shared" si="15"/>
        <v>0</v>
      </c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2" customFormat="1" x14ac:dyDescent="0.3">
      <c r="A89" s="45" t="s">
        <v>50</v>
      </c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2" customFormat="1" x14ac:dyDescent="0.3">
      <c r="A90" s="29" t="s">
        <v>55</v>
      </c>
      <c r="B90" s="27" t="s">
        <v>54</v>
      </c>
      <c r="C90" s="53">
        <f t="shared" ref="C90:AA90" si="16">GB_act*Equity_Req</f>
        <v>62500</v>
      </c>
      <c r="D90" s="53">
        <f t="shared" si="16"/>
        <v>58689.940064970942</v>
      </c>
      <c r="E90" s="53">
        <f t="shared" si="16"/>
        <v>55487.490412344043</v>
      </c>
      <c r="F90" s="53">
        <f t="shared" si="16"/>
        <v>52335.494942479869</v>
      </c>
      <c r="G90" s="53">
        <f t="shared" si="16"/>
        <v>47913.430725694583</v>
      </c>
      <c r="H90" s="53">
        <f t="shared" si="16"/>
        <v>44718.048222166391</v>
      </c>
      <c r="I90" s="53">
        <f t="shared" si="16"/>
        <v>41576.090490427276</v>
      </c>
      <c r="J90" s="53">
        <f t="shared" si="16"/>
        <v>38495.41456238812</v>
      </c>
      <c r="K90" s="53">
        <f t="shared" si="16"/>
        <v>35483.291315452523</v>
      </c>
      <c r="L90" s="53">
        <f t="shared" si="16"/>
        <v>32546.388513549486</v>
      </c>
      <c r="M90" s="53">
        <f t="shared" si="16"/>
        <v>29690.758828029961</v>
      </c>
      <c r="N90" s="53">
        <f t="shared" si="16"/>
        <v>26921.832700003906</v>
      </c>
      <c r="O90" s="53">
        <f t="shared" si="16"/>
        <v>24244.415866334737</v>
      </c>
      <c r="P90" s="53">
        <f t="shared" si="16"/>
        <v>21662.691336211908</v>
      </c>
      <c r="Q90" s="53">
        <f t="shared" si="16"/>
        <v>19180.225574188698</v>
      </c>
      <c r="R90" s="53">
        <f t="shared" si="16"/>
        <v>16799.97861892941</v>
      </c>
      <c r="S90" s="53">
        <f t="shared" si="16"/>
        <v>14524.317844719695</v>
      </c>
      <c r="T90" s="53">
        <f t="shared" si="16"/>
        <v>12355.0350550534</v>
      </c>
      <c r="U90" s="53">
        <f t="shared" si="16"/>
        <v>10293.36658425739</v>
      </c>
      <c r="V90" s="53">
        <f t="shared" si="16"/>
        <v>8340.0160740357096</v>
      </c>
      <c r="W90" s="53">
        <f t="shared" si="16"/>
        <v>6495.179586840386</v>
      </c>
      <c r="X90" s="53">
        <f t="shared" si="16"/>
        <v>4758.5727168998692</v>
      </c>
      <c r="Y90" s="53">
        <f t="shared" si="16"/>
        <v>3129.4593623104802</v>
      </c>
      <c r="Z90" s="53">
        <f t="shared" si="16"/>
        <v>1606.6818275451692</v>
      </c>
      <c r="AA90" s="53">
        <f t="shared" si="16"/>
        <v>0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2" customFormat="1" x14ac:dyDescent="0.3">
      <c r="A91" s="29" t="s">
        <v>61</v>
      </c>
      <c r="B91" s="27" t="s">
        <v>56</v>
      </c>
      <c r="C91" s="53">
        <f t="shared" ref="C91:AA91" si="17">GB_act*(1-Equity_Req)</f>
        <v>437500</v>
      </c>
      <c r="D91" s="53">
        <f t="shared" si="17"/>
        <v>410829.58045479661</v>
      </c>
      <c r="E91" s="53">
        <f t="shared" si="17"/>
        <v>388412.43288640829</v>
      </c>
      <c r="F91" s="53">
        <f t="shared" si="17"/>
        <v>366348.46459735907</v>
      </c>
      <c r="G91" s="53">
        <f t="shared" si="17"/>
        <v>335394.01507986209</v>
      </c>
      <c r="H91" s="53">
        <f t="shared" si="17"/>
        <v>313026.33755516476</v>
      </c>
      <c r="I91" s="53">
        <f t="shared" si="17"/>
        <v>291032.63343299093</v>
      </c>
      <c r="J91" s="53">
        <f t="shared" si="17"/>
        <v>269467.90193671687</v>
      </c>
      <c r="K91" s="53">
        <f t="shared" si="17"/>
        <v>248383.03920816767</v>
      </c>
      <c r="L91" s="53">
        <f t="shared" si="17"/>
        <v>227824.71959484639</v>
      </c>
      <c r="M91" s="53">
        <f t="shared" si="17"/>
        <v>207835.31179620972</v>
      </c>
      <c r="N91" s="53">
        <f t="shared" si="17"/>
        <v>188452.82890002735</v>
      </c>
      <c r="O91" s="53">
        <f t="shared" si="17"/>
        <v>169710.91106434315</v>
      </c>
      <c r="P91" s="53">
        <f t="shared" si="17"/>
        <v>151638.83935348334</v>
      </c>
      <c r="Q91" s="53">
        <f t="shared" si="17"/>
        <v>134261.5790193209</v>
      </c>
      <c r="R91" s="53">
        <f t="shared" si="17"/>
        <v>117599.85033250587</v>
      </c>
      <c r="S91" s="53">
        <f t="shared" si="17"/>
        <v>101670.22491303786</v>
      </c>
      <c r="T91" s="53">
        <f t="shared" si="17"/>
        <v>86485.245385373797</v>
      </c>
      <c r="U91" s="53">
        <f t="shared" si="17"/>
        <v>72053.566089801723</v>
      </c>
      <c r="V91" s="53">
        <f t="shared" si="17"/>
        <v>58380.112518249967</v>
      </c>
      <c r="W91" s="53">
        <f t="shared" si="17"/>
        <v>45466.257107882702</v>
      </c>
      <c r="X91" s="53">
        <f t="shared" si="17"/>
        <v>33310.009018299083</v>
      </c>
      <c r="Y91" s="53">
        <f t="shared" si="17"/>
        <v>21906.21553617336</v>
      </c>
      <c r="Z91" s="53">
        <f t="shared" si="17"/>
        <v>11246.772792816184</v>
      </c>
      <c r="AA91" s="53">
        <f t="shared" si="17"/>
        <v>0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2" customFormat="1" x14ac:dyDescent="0.3">
      <c r="A92" s="29"/>
      <c r="B92" s="27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>
        <f t="shared" ref="X92:AA92" si="18">assets-Eq_req-AT1_req</f>
        <v>0</v>
      </c>
      <c r="Y92" s="29">
        <f t="shared" si="18"/>
        <v>0</v>
      </c>
      <c r="Z92" s="29">
        <f t="shared" si="18"/>
        <v>0</v>
      </c>
      <c r="AA92" s="29">
        <f t="shared" si="18"/>
        <v>0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2" customFormat="1" x14ac:dyDescent="0.3">
      <c r="A93" s="45" t="s">
        <v>53</v>
      </c>
      <c r="B93" s="27" t="s">
        <v>60</v>
      </c>
      <c r="C93" s="53">
        <v>500000</v>
      </c>
      <c r="D93" s="53">
        <f>assets-prev assets</f>
        <v>-30480.479480232461</v>
      </c>
      <c r="E93" s="53">
        <f>assets-prev assets</f>
        <v>-25619.597221015196</v>
      </c>
      <c r="F93" s="53">
        <f>assets-prev assets</f>
        <v>-25215.963758913393</v>
      </c>
      <c r="G93" s="53">
        <f>assets-prev assets</f>
        <v>-35376.513734282285</v>
      </c>
      <c r="H93" s="53">
        <f>assets-prev assets</f>
        <v>-25563.060028225533</v>
      </c>
      <c r="I93" s="53">
        <f>assets-prev assets</f>
        <v>-25135.661853912927</v>
      </c>
      <c r="J93" s="53">
        <f>assets-prev assets</f>
        <v>-24645.407424313249</v>
      </c>
      <c r="K93" s="53">
        <f>assets-prev assets</f>
        <v>-24096.985975484771</v>
      </c>
      <c r="L93" s="53">
        <f>assets-prev assets</f>
        <v>-23495.2224152243</v>
      </c>
      <c r="M93" s="53">
        <f>assets-prev assets</f>
        <v>-22845.037484156201</v>
      </c>
      <c r="N93" s="53">
        <f>assets-prev assets</f>
        <v>-22151.409024208435</v>
      </c>
      <c r="O93" s="53">
        <f>assets-prev assets</f>
        <v>-21419.334669353353</v>
      </c>
      <c r="P93" s="53">
        <f>assets-prev assets</f>
        <v>-20653.796240982629</v>
      </c>
      <c r="Q93" s="53">
        <f>assets-prev assets</f>
        <v>-19859.726096185681</v>
      </c>
      <c r="R93" s="53">
        <f>assets-prev assets</f>
        <v>-19041.975642074307</v>
      </c>
      <c r="S93" s="53">
        <f>assets-prev assets</f>
        <v>-18205.286193677719</v>
      </c>
      <c r="T93" s="53">
        <f>assets-prev assets</f>
        <v>-17354.262317330358</v>
      </c>
      <c r="U93" s="53">
        <f>assets-prev assets</f>
        <v>-16493.347766368082</v>
      </c>
      <c r="V93" s="53">
        <f>assets-prev assets</f>
        <v>-15626.804081773444</v>
      </c>
      <c r="W93" s="53">
        <f>assets-prev assets</f>
        <v>-14758.691897562589</v>
      </c>
      <c r="X93" s="53">
        <f>assets-prev assets</f>
        <v>-13892.854959524135</v>
      </c>
      <c r="Y93" s="53">
        <f>assets-prev assets</f>
        <v>-13032.906836715112</v>
      </c>
      <c r="Z93" s="53">
        <f>assets-prev assets</f>
        <v>-12182.220278122488</v>
      </c>
      <c r="AA93" s="53">
        <f>assets-prev assets</f>
        <v>-12853.454620361354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s="2" customFormat="1" x14ac:dyDescent="0.3">
      <c r="A94" s="45" t="s">
        <v>57</v>
      </c>
      <c r="B94" s="27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</row>
    <row r="95" spans="1:87" s="2" customFormat="1" x14ac:dyDescent="0.3">
      <c r="A95" s="29" t="s">
        <v>58</v>
      </c>
      <c r="B95" s="27" t="s">
        <v>59</v>
      </c>
      <c r="C95" s="53">
        <f>C90</f>
        <v>62500</v>
      </c>
      <c r="D95" s="53">
        <f>Eq_req-prev Eq_req</f>
        <v>-3810.0599350290577</v>
      </c>
      <c r="E95" s="53">
        <f>Eq_req-prev Eq_req</f>
        <v>-3202.4496526268995</v>
      </c>
      <c r="F95" s="53">
        <f>Eq_req-prev Eq_req</f>
        <v>-3151.9954698641741</v>
      </c>
      <c r="G95" s="53">
        <f>Eq_req-prev Eq_req</f>
        <v>-4422.0642167852857</v>
      </c>
      <c r="H95" s="53">
        <f>Eq_req-prev Eq_req</f>
        <v>-3195.3825035281916</v>
      </c>
      <c r="I95" s="53">
        <f>Eq_req-prev Eq_req</f>
        <v>-3141.9577317391158</v>
      </c>
      <c r="J95" s="53">
        <f>Eq_req-prev Eq_req</f>
        <v>-3080.6759280391561</v>
      </c>
      <c r="K95" s="53">
        <f>Eq_req-prev Eq_req</f>
        <v>-3012.1232469355964</v>
      </c>
      <c r="L95" s="53">
        <f>Eq_req-prev Eq_req</f>
        <v>-2936.9028019030375</v>
      </c>
      <c r="M95" s="53">
        <f>Eq_req-prev Eq_req</f>
        <v>-2855.6296855195251</v>
      </c>
      <c r="N95" s="53">
        <f>Eq_req-prev Eq_req</f>
        <v>-2768.9261280260544</v>
      </c>
      <c r="O95" s="53">
        <f>Eq_req-prev Eq_req</f>
        <v>-2677.4168336691691</v>
      </c>
      <c r="P95" s="53">
        <f>Eq_req-prev Eq_req</f>
        <v>-2581.7245301228286</v>
      </c>
      <c r="Q95" s="53">
        <f>Eq_req-prev Eq_req</f>
        <v>-2482.4657620232101</v>
      </c>
      <c r="R95" s="53">
        <f>Eq_req-prev Eq_req</f>
        <v>-2380.2469552592884</v>
      </c>
      <c r="S95" s="53">
        <f>Eq_req-prev Eq_req</f>
        <v>-2275.6607742097149</v>
      </c>
      <c r="T95" s="53">
        <f>Eq_req-prev Eq_req</f>
        <v>-2169.2827896662948</v>
      </c>
      <c r="U95" s="53">
        <f>Eq_req-prev Eq_req</f>
        <v>-2061.6684707960103</v>
      </c>
      <c r="V95" s="53">
        <f>Eq_req-prev Eq_req</f>
        <v>-1953.3505102216805</v>
      </c>
      <c r="W95" s="53">
        <f>Eq_req-prev Eq_req</f>
        <v>-1844.8364871953236</v>
      </c>
      <c r="X95" s="53">
        <f>Eq_req-prev Eq_req</f>
        <v>-1736.6068699405168</v>
      </c>
      <c r="Y95" s="53">
        <f>Eq_req-prev Eq_req</f>
        <v>-1629.113354589389</v>
      </c>
      <c r="Z95" s="53">
        <f>Eq_req-prev Eq_req</f>
        <v>-1522.777534765311</v>
      </c>
      <c r="AA95" s="53">
        <f>Eq_req-prev Eq_req</f>
        <v>-1606.6818275451692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</row>
    <row r="96" spans="1:87" s="2" customFormat="1" x14ac:dyDescent="0.3">
      <c r="A96" s="29" t="s">
        <v>62</v>
      </c>
      <c r="B96" s="27" t="s">
        <v>63</v>
      </c>
      <c r="C96" s="53">
        <f>C91</f>
        <v>437500</v>
      </c>
      <c r="D96" s="53">
        <f>Fund_req-prev Fund_req</f>
        <v>-26670.419545203389</v>
      </c>
      <c r="E96" s="53">
        <f>Fund_req-prev Fund_req</f>
        <v>-22417.147568388318</v>
      </c>
      <c r="F96" s="53">
        <f>Fund_req-prev Fund_req</f>
        <v>-22063.968289049226</v>
      </c>
      <c r="G96" s="53">
        <f>Fund_req-prev Fund_req</f>
        <v>-30954.449517496978</v>
      </c>
      <c r="H96" s="53">
        <f>Fund_req-prev Fund_req</f>
        <v>-22367.677524697327</v>
      </c>
      <c r="I96" s="53">
        <f>Fund_req-prev Fund_req</f>
        <v>-21993.704122173833</v>
      </c>
      <c r="J96" s="53">
        <f>Fund_req-prev Fund_req</f>
        <v>-21564.731496274064</v>
      </c>
      <c r="K96" s="53">
        <f>Fund_req-prev Fund_req</f>
        <v>-21084.862728549197</v>
      </c>
      <c r="L96" s="53">
        <f>Fund_req-prev Fund_req</f>
        <v>-20558.319613321277</v>
      </c>
      <c r="M96" s="53">
        <f>Fund_req-prev Fund_req</f>
        <v>-19989.407798636676</v>
      </c>
      <c r="N96" s="53">
        <f>Fund_req-prev Fund_req</f>
        <v>-19382.482896182366</v>
      </c>
      <c r="O96" s="53">
        <f>Fund_req-prev Fund_req</f>
        <v>-18741.917835684202</v>
      </c>
      <c r="P96" s="53">
        <f>Fund_req-prev Fund_req</f>
        <v>-18072.071710859804</v>
      </c>
      <c r="Q96" s="53">
        <f>Fund_req-prev Fund_req</f>
        <v>-17377.260334162449</v>
      </c>
      <c r="R96" s="53">
        <f>Fund_req-prev Fund_req</f>
        <v>-16661.728686815026</v>
      </c>
      <c r="S96" s="53">
        <f>Fund_req-prev Fund_req</f>
        <v>-15929.625419468008</v>
      </c>
      <c r="T96" s="53">
        <f>Fund_req-prev Fund_req</f>
        <v>-15184.979527664065</v>
      </c>
      <c r="U96" s="53">
        <f>Fund_req-prev Fund_req</f>
        <v>-14431.679295572074</v>
      </c>
      <c r="V96" s="53">
        <f>Fund_req-prev Fund_req</f>
        <v>-13673.453571551756</v>
      </c>
      <c r="W96" s="53">
        <f>Fund_req-prev Fund_req</f>
        <v>-12913.855410367265</v>
      </c>
      <c r="X96" s="53">
        <f>Fund_req-prev Fund_req</f>
        <v>-12156.24808958362</v>
      </c>
      <c r="Y96" s="53">
        <f>Fund_req-prev Fund_req</f>
        <v>-11403.793482125722</v>
      </c>
      <c r="Z96" s="53">
        <f>Fund_req-prev Fund_req</f>
        <v>-10659.442743357176</v>
      </c>
      <c r="AA96" s="53">
        <f>Fund_req-prev Fund_req</f>
        <v>-11246.772792816184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</row>
    <row r="97" spans="1:87" x14ac:dyDescent="0.3">
      <c r="A97" s="29"/>
      <c r="B97" s="27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87" ht="15.6" x14ac:dyDescent="0.3">
      <c r="A98" s="77" t="s">
        <v>21</v>
      </c>
      <c r="B98" s="27"/>
      <c r="C98" s="10"/>
      <c r="E98" s="58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87" x14ac:dyDescent="0.3">
      <c r="A99" s="9" t="s">
        <v>22</v>
      </c>
      <c r="B99" s="64" t="s">
        <v>23</v>
      </c>
      <c r="C99" s="65">
        <f>1/(1+discount_rate_month)^(statement_no)</f>
        <v>1</v>
      </c>
      <c r="D99" s="65">
        <f>1/(1+discount_rate_month)^(statement_no)</f>
        <v>0.97837358933250107</v>
      </c>
      <c r="E99" s="65">
        <f t="shared" ref="E99:AA99" si="19">1/(1+discount_rate_month)^(statement_no)</f>
        <v>0.95721488030336144</v>
      </c>
      <c r="F99" s="65">
        <f t="shared" si="19"/>
        <v>0.93651375820488014</v>
      </c>
      <c r="G99" s="65">
        <f t="shared" si="19"/>
        <v>0.91626032707417848</v>
      </c>
      <c r="H99" s="65">
        <f t="shared" si="19"/>
        <v>0.89644490496253548</v>
      </c>
      <c r="I99" s="65">
        <f t="shared" si="19"/>
        <v>0.87705801930702865</v>
      </c>
      <c r="J99" s="65">
        <f t="shared" si="19"/>
        <v>0.85809040240227163</v>
      </c>
      <c r="K99" s="65">
        <f t="shared" si="19"/>
        <v>0.83953298697008061</v>
      </c>
      <c r="L99" s="65">
        <f t="shared" si="19"/>
        <v>0.8213769018249536</v>
      </c>
      <c r="M99" s="65">
        <f t="shared" si="19"/>
        <v>0.80361346763328922</v>
      </c>
      <c r="N99" s="65">
        <f t="shared" si="19"/>
        <v>0.78623419276431894</v>
      </c>
      <c r="O99" s="65">
        <f t="shared" si="19"/>
        <v>0.76923076923076805</v>
      </c>
      <c r="P99" s="65">
        <f t="shared" si="19"/>
        <v>0.75259506871730741</v>
      </c>
      <c r="Q99" s="65">
        <f t="shared" si="19"/>
        <v>0.73631913869489241</v>
      </c>
      <c r="R99" s="65">
        <f t="shared" si="19"/>
        <v>0.72039519861913748</v>
      </c>
      <c r="S99" s="65">
        <f t="shared" si="19"/>
        <v>0.70481563621090548</v>
      </c>
      <c r="T99" s="65">
        <f t="shared" si="19"/>
        <v>0.68957300381733388</v>
      </c>
      <c r="U99" s="65">
        <f t="shared" si="19"/>
        <v>0.67466001485155946</v>
      </c>
      <c r="V99" s="65">
        <f t="shared" si="19"/>
        <v>0.66006954030943865</v>
      </c>
      <c r="W99" s="65">
        <f t="shared" si="19"/>
        <v>0.64579460536159949</v>
      </c>
      <c r="X99" s="65">
        <f t="shared" si="19"/>
        <v>0.63182838601919411</v>
      </c>
      <c r="Y99" s="65">
        <f t="shared" si="19"/>
        <v>0.61816420587176002</v>
      </c>
      <c r="Z99" s="65">
        <f t="shared" si="19"/>
        <v>0.60479553289562893</v>
      </c>
      <c r="AA99" s="65">
        <f t="shared" si="19"/>
        <v>0.59171597633135908</v>
      </c>
    </row>
    <row r="100" spans="1:87" x14ac:dyDescent="0.3">
      <c r="B100" s="66">
        <f>((1+discount_rate)^(1/12)-1)</f>
        <v>2.2104450593615876E-2</v>
      </c>
      <c r="C100" s="10"/>
      <c r="D100" s="9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87" x14ac:dyDescent="0.3">
      <c r="A101" s="9" t="s">
        <v>107</v>
      </c>
      <c r="B101" s="68">
        <f>SUMPRODUCT(Cash_flow_to_Client,coeff_discount)</f>
        <v>15946.995070668969</v>
      </c>
      <c r="C101" s="69">
        <f>initial_amount-repayment</f>
        <v>500000</v>
      </c>
      <c r="D101" s="67">
        <f>-repayment</f>
        <v>-44480.479480232461</v>
      </c>
      <c r="E101" s="67">
        <f>-repayment</f>
        <v>-37339.245040190726</v>
      </c>
      <c r="F101" s="67">
        <f>-repayment</f>
        <v>-36293.316591023526</v>
      </c>
      <c r="G101" s="67">
        <f t="shared" ref="G101:AA101" si="20">-repayment</f>
        <v>-35868.690987223134</v>
      </c>
      <c r="H101" s="67">
        <f t="shared" si="20"/>
        <v>-33337.229040457198</v>
      </c>
      <c r="I101" s="67">
        <f t="shared" si="20"/>
        <v>-32142.202245497709</v>
      </c>
      <c r="J101" s="67">
        <f t="shared" si="20"/>
        <v>-30943.515524298127</v>
      </c>
      <c r="K101" s="67">
        <f t="shared" si="20"/>
        <v>-29742.385963663939</v>
      </c>
      <c r="L101" s="67">
        <f t="shared" si="20"/>
        <v>-28540.090402419035</v>
      </c>
      <c r="M101" s="67">
        <f t="shared" si="20"/>
        <v>-27337.965473030938</v>
      </c>
      <c r="N101" s="67">
        <f t="shared" si="20"/>
        <v>-26137.406129870957</v>
      </c>
      <c r="O101" s="67">
        <f t="shared" si="20"/>
        <v>-24939.862728512926</v>
      </c>
      <c r="P101" s="67">
        <f t="shared" si="20"/>
        <v>-23746.836742019012</v>
      </c>
      <c r="Q101" s="67">
        <f t="shared" si="20"/>
        <v>-22559.875219147492</v>
      </c>
      <c r="R101" s="67">
        <f t="shared" si="20"/>
        <v>-21380.564105670099</v>
      </c>
      <c r="S101" s="67">
        <f t="shared" si="20"/>
        <v>-20210.520563380363</v>
      </c>
      <c r="T101" s="67">
        <f t="shared" si="20"/>
        <v>-19051.384431845414</v>
      </c>
      <c r="U101" s="67">
        <f t="shared" si="20"/>
        <v>-17904.808985497635</v>
      </c>
      <c r="V101" s="67">
        <f t="shared" si="20"/>
        <v>-16772.451143325598</v>
      </c>
      <c r="W101" s="67">
        <f t="shared" si="20"/>
        <v>-15655.961290302197</v>
      </c>
      <c r="X101" s="67">
        <f t="shared" si="20"/>
        <v>-14556.972868912504</v>
      </c>
      <c r="Y101" s="67">
        <f t="shared" si="20"/>
        <v>-13477.091895902966</v>
      </c>
      <c r="Z101" s="67">
        <f t="shared" si="20"/>
        <v>-12417.886553859247</v>
      </c>
      <c r="AA101" s="67">
        <f t="shared" si="20"/>
        <v>-12890.412477716874</v>
      </c>
    </row>
    <row r="102" spans="1:87" x14ac:dyDescent="0.3">
      <c r="A102" s="9" t="s">
        <v>108</v>
      </c>
      <c r="B102" s="68">
        <f>SUMPRODUCT(to_bondholders,coeff_discount)</f>
        <v>-31507.250016874183</v>
      </c>
      <c r="C102" s="69">
        <f>Cost_of_Funds-Fund_req_chng</f>
        <v>-437500</v>
      </c>
      <c r="D102" s="69">
        <f t="shared" ref="D102:AA102" si="21">Cost_of_Funds-Fund_req_chng</f>
        <v>32868.336211870053</v>
      </c>
      <c r="E102" s="69">
        <f t="shared" si="21"/>
        <v>28237.233291497938</v>
      </c>
      <c r="F102" s="69">
        <f t="shared" si="21"/>
        <v>27566.47775494001</v>
      </c>
      <c r="G102" s="69">
        <f t="shared" si="21"/>
        <v>36144.386099292897</v>
      </c>
      <c r="H102" s="69">
        <f t="shared" si="21"/>
        <v>27119.092738328705</v>
      </c>
      <c r="I102" s="69">
        <f t="shared" si="21"/>
        <v>26428.243904205334</v>
      </c>
      <c r="J102" s="69">
        <f t="shared" si="21"/>
        <v>25687.693803241436</v>
      </c>
      <c r="K102" s="69">
        <f t="shared" si="21"/>
        <v>24902.324672652685</v>
      </c>
      <c r="L102" s="69">
        <f t="shared" si="21"/>
        <v>24077.079335436985</v>
      </c>
      <c r="M102" s="69">
        <f t="shared" si="21"/>
        <v>23216.924659563665</v>
      </c>
      <c r="N102" s="69">
        <f t="shared" si="21"/>
        <v>22326.816479962003</v>
      </c>
      <c r="O102" s="69">
        <f t="shared" si="21"/>
        <v>21411.666245101256</v>
      </c>
      <c r="P102" s="69">
        <f t="shared" si="21"/>
        <v>20476.309617604664</v>
      </c>
      <c r="Q102" s="69">
        <f t="shared" si="21"/>
        <v>19525.477225003462</v>
      </c>
      <c r="R102" s="69">
        <f t="shared" si="21"/>
        <v>18563.767722922072</v>
      </c>
      <c r="S102" s="69">
        <f t="shared" si="21"/>
        <v>17595.623299178507</v>
      </c>
      <c r="T102" s="69">
        <f t="shared" si="21"/>
        <v>16625.307713932103</v>
      </c>
      <c r="U102" s="69">
        <f t="shared" si="21"/>
        <v>15656.886938531536</v>
      </c>
      <c r="V102" s="69">
        <f t="shared" si="21"/>
        <v>14694.212424490614</v>
      </c>
      <c r="W102" s="69">
        <f t="shared" si="21"/>
        <v>13740.907004375806</v>
      </c>
      <c r="X102" s="69">
        <f t="shared" si="21"/>
        <v>12800.353398611958</v>
      </c>
      <c r="Y102" s="69">
        <f t="shared" si="21"/>
        <v>11875.685276551625</v>
      </c>
      <c r="Z102" s="69">
        <f t="shared" si="21"/>
        <v>10969.780796786299</v>
      </c>
      <c r="AA102" s="69">
        <f t="shared" si="21"/>
        <v>11406.102074047747</v>
      </c>
    </row>
    <row r="103" spans="1:87" x14ac:dyDescent="0.3">
      <c r="A103" s="9" t="s">
        <v>109</v>
      </c>
      <c r="B103" s="68">
        <f>SUMPRODUCT(cost_tax,coeff_discount)</f>
        <v>7283.6492691588073</v>
      </c>
      <c r="C103" s="69">
        <f t="shared" ref="C103:AA103" si="22">Operation_cost+collect_cost+Tax</f>
        <v>0</v>
      </c>
      <c r="D103" s="69">
        <f t="shared" si="22"/>
        <v>1640.4166666666667</v>
      </c>
      <c r="E103" s="69">
        <f t="shared" si="22"/>
        <v>1286.6123226632303</v>
      </c>
      <c r="F103" s="69">
        <f t="shared" si="22"/>
        <v>1223.994480518604</v>
      </c>
      <c r="G103" s="69">
        <f t="shared" si="22"/>
        <v>-829.27192934798541</v>
      </c>
      <c r="H103" s="69">
        <f t="shared" si="22"/>
        <v>714.02464439499795</v>
      </c>
      <c r="I103" s="69">
        <f t="shared" si="22"/>
        <v>615.74525608070599</v>
      </c>
      <c r="J103" s="69">
        <f t="shared" si="22"/>
        <v>535.68780831733659</v>
      </c>
      <c r="K103" s="69">
        <f t="shared" si="22"/>
        <v>465.26643174889301</v>
      </c>
      <c r="L103" s="69">
        <f t="shared" si="22"/>
        <v>403.64678461659332</v>
      </c>
      <c r="M103" s="69">
        <f t="shared" si="22"/>
        <v>349.99980384444615</v>
      </c>
      <c r="N103" s="69">
        <f t="shared" si="22"/>
        <v>303.50922753093226</v>
      </c>
      <c r="O103" s="69">
        <f t="shared" si="22"/>
        <v>263.37845369571653</v>
      </c>
      <c r="P103" s="69">
        <f t="shared" si="22"/>
        <v>228.83670066951319</v>
      </c>
      <c r="Q103" s="69">
        <f t="shared" si="22"/>
        <v>199.14444567781817</v>
      </c>
      <c r="R103" s="69">
        <f t="shared" si="22"/>
        <v>173.59812890372362</v>
      </c>
      <c r="S103" s="69">
        <f t="shared" si="22"/>
        <v>151.53412048936801</v>
      </c>
      <c r="T103" s="69">
        <f t="shared" si="22"/>
        <v>132.33195743596548</v>
      </c>
      <c r="U103" s="69">
        <f t="shared" si="22"/>
        <v>115.41686609437038</v>
      </c>
      <c r="V103" s="69">
        <f t="shared" si="22"/>
        <v>100.26159382643198</v>
      </c>
      <c r="W103" s="69">
        <f t="shared" si="22"/>
        <v>86.38758040631356</v>
      </c>
      <c r="X103" s="69">
        <f t="shared" si="22"/>
        <v>73.365505783006398</v>
      </c>
      <c r="Y103" s="69">
        <f t="shared" si="22"/>
        <v>60.815255921499386</v>
      </c>
      <c r="Z103" s="69">
        <f t="shared" si="22"/>
        <v>48.405352577928809</v>
      </c>
      <c r="AA103" s="69">
        <f t="shared" si="22"/>
        <v>35.851896056659683</v>
      </c>
    </row>
    <row r="104" spans="1:87" s="7" customFormat="1" x14ac:dyDescent="0.3">
      <c r="A104" s="70" t="s">
        <v>110</v>
      </c>
      <c r="B104" s="71">
        <f>SUMPRODUCT(shareholders,coeff_discount)</f>
        <v>8276.6056770464802</v>
      </c>
      <c r="C104" s="72">
        <f t="shared" ref="C104:AA104" si="23">Net_Income_Atax-Eq_req_chng</f>
        <v>-62500</v>
      </c>
      <c r="D104" s="72">
        <f t="shared" si="23"/>
        <v>9971.7266016957237</v>
      </c>
      <c r="E104" s="72">
        <f t="shared" si="23"/>
        <v>7815.399426029584</v>
      </c>
      <c r="F104" s="72">
        <f t="shared" si="23"/>
        <v>7502.8443555649146</v>
      </c>
      <c r="G104" s="72">
        <f t="shared" si="23"/>
        <v>553.57681727819454</v>
      </c>
      <c r="H104" s="72">
        <f t="shared" si="23"/>
        <v>5504.1116577334742</v>
      </c>
      <c r="I104" s="72">
        <f t="shared" si="23"/>
        <v>5098.2130852116888</v>
      </c>
      <c r="J104" s="72">
        <f t="shared" si="23"/>
        <v>4720.1339127393239</v>
      </c>
      <c r="K104" s="72">
        <f t="shared" si="23"/>
        <v>4374.7948592623852</v>
      </c>
      <c r="L104" s="72">
        <f t="shared" si="23"/>
        <v>4059.3642823654709</v>
      </c>
      <c r="M104" s="72">
        <f t="shared" si="23"/>
        <v>3771.0410096228247</v>
      </c>
      <c r="N104" s="72">
        <f t="shared" si="23"/>
        <v>3507.0804223780046</v>
      </c>
      <c r="O104" s="72">
        <f t="shared" si="23"/>
        <v>3264.818029715972</v>
      </c>
      <c r="P104" s="72">
        <f t="shared" si="23"/>
        <v>3041.6904237448348</v>
      </c>
      <c r="Q104" s="72">
        <f t="shared" si="23"/>
        <v>2835.2535484661871</v>
      </c>
      <c r="R104" s="72">
        <f t="shared" si="23"/>
        <v>2643.1982538443099</v>
      </c>
      <c r="S104" s="72">
        <f t="shared" si="23"/>
        <v>2463.3631437124932</v>
      </c>
      <c r="T104" s="72">
        <f t="shared" si="23"/>
        <v>2293.7447604773461</v>
      </c>
      <c r="U104" s="72">
        <f t="shared" si="23"/>
        <v>2132.5051808717321</v>
      </c>
      <c r="V104" s="72">
        <f t="shared" si="23"/>
        <v>1977.9771250085446</v>
      </c>
      <c r="W104" s="72">
        <f t="shared" si="23"/>
        <v>1828.6667055200774</v>
      </c>
      <c r="X104" s="72">
        <f t="shared" si="23"/>
        <v>1683.253964517542</v>
      </c>
      <c r="Y104" s="72">
        <f t="shared" si="23"/>
        <v>1540.5913634298402</v>
      </c>
      <c r="Z104" s="72">
        <f t="shared" si="23"/>
        <v>1399.7004044950199</v>
      </c>
      <c r="AA104" s="72">
        <f t="shared" si="23"/>
        <v>1448.4585076124683</v>
      </c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</row>
    <row r="105" spans="1:87" x14ac:dyDescent="0.3">
      <c r="A105" s="73"/>
      <c r="C105" s="74">
        <v>-62499.841999999997</v>
      </c>
      <c r="D105" s="74">
        <v>7013.8196294079262</v>
      </c>
      <c r="E105" s="74">
        <v>5791.9432377544508</v>
      </c>
      <c r="F105" s="74">
        <v>5689.4548950202461</v>
      </c>
      <c r="G105" s="74">
        <v>-5229.1033213884366</v>
      </c>
      <c r="H105" s="74">
        <v>2796.0011834785464</v>
      </c>
      <c r="I105" s="74">
        <v>2506.3731006017915</v>
      </c>
      <c r="J105" s="74">
        <v>2246.329156959358</v>
      </c>
      <c r="K105" s="74">
        <v>2023.4347139357185</v>
      </c>
      <c r="L105" s="74">
        <v>1834.9851537589602</v>
      </c>
      <c r="M105" s="74">
        <v>1677.726406278432</v>
      </c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87" x14ac:dyDescent="0.3">
      <c r="C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87" x14ac:dyDescent="0.3">
      <c r="A107" s="9" t="s">
        <v>45</v>
      </c>
      <c r="B107" s="75" t="s">
        <v>46</v>
      </c>
      <c r="C107" s="58">
        <f>CFtS*coeff_discount</f>
        <v>-62500</v>
      </c>
      <c r="D107" s="58">
        <f>prev C107 + CFtS*coeff_discount</f>
        <v>-52743.926052856572</v>
      </c>
      <c r="E107" s="58">
        <f>prev D107 + CFtS*coeff_discount</f>
        <v>-45262.909426746701</v>
      </c>
      <c r="F107" s="58">
        <f>prev E107 + CFtS*coeff_discount</f>
        <v>-38236.392462090327</v>
      </c>
      <c r="G107" s="58">
        <f>prev F107 + CFtS*coeff_discount</f>
        <v>-37729.171986430323</v>
      </c>
      <c r="H107" s="58">
        <f>prev G107 + CFtS*coeff_discount</f>
        <v>-32795.039134510254</v>
      </c>
      <c r="I107" s="58">
        <f>prev H107 + CFtS*coeff_discount</f>
        <v>-28323.610463989316</v>
      </c>
      <c r="J107" s="58">
        <f>prev I107 + CFtS*coeff_discount</f>
        <v>-24273.30885541422</v>
      </c>
      <c r="K107" s="58">
        <f>prev J107 + CFtS*coeff_discount</f>
        <v>-20600.524259836315</v>
      </c>
      <c r="L107" s="58">
        <f>prev K107 + CFtS*coeff_discount</f>
        <v>-17266.256202208089</v>
      </c>
      <c r="M107" s="58">
        <f>prev L107 + CFtS*coeff_discount</f>
        <v>-14235.796859877752</v>
      </c>
      <c r="N107" s="58">
        <f>prev M107 + CFtS*coeff_discount</f>
        <v>-11478.410315029834</v>
      </c>
      <c r="O107" s="58">
        <f>prev N107 + CFtS*coeff_discount</f>
        <v>-8967.0118306329368</v>
      </c>
      <c r="P107" s="58">
        <f>prev O107 + CFtS*coeff_discount</f>
        <v>-6677.8506171579174</v>
      </c>
      <c r="Q107" s="58">
        <f>prev P107 + CFtS*coeff_discount</f>
        <v>-4590.1991663696572</v>
      </c>
      <c r="R107" s="58">
        <f>prev Q107 + CFtS*coeff_discount</f>
        <v>-2686.0518353017283</v>
      </c>
      <c r="S107" s="58">
        <f>prev R107 + CFtS*coeff_discount</f>
        <v>-949.83497394751112</v>
      </c>
      <c r="T107" s="58">
        <f>prev S107 + CFtS*coeff_discount</f>
        <v>631.86949052512341</v>
      </c>
      <c r="U107" s="58">
        <f>prev T107 + CFtS*coeff_discount</f>
        <v>2070.5854675230739</v>
      </c>
      <c r="V107" s="58">
        <f>prev U107 + CFtS*coeff_discount</f>
        <v>3376.1879191700491</v>
      </c>
      <c r="W107" s="58">
        <f>prev V107 + CFtS*coeff_discount</f>
        <v>4557.1310125992841</v>
      </c>
      <c r="X107" s="58">
        <f>prev W107 + CFtS*coeff_discount</f>
        <v>5620.6586482608127</v>
      </c>
      <c r="Y107" s="58">
        <f>prev X107 + CFtS*coeff_discount</f>
        <v>6572.9970850083118</v>
      </c>
      <c r="Z107" s="58">
        <f>prev Y107 + CFtS*coeff_discount</f>
        <v>7419.5296370391052</v>
      </c>
      <c r="AA107" s="58">
        <f>prev Z107 + CFtS*coeff_discount</f>
        <v>8276.6056770464802</v>
      </c>
    </row>
    <row r="108" spans="1:87" x14ac:dyDescent="0.3"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spans="1:87" x14ac:dyDescent="0.3">
      <c r="D109" s="46"/>
      <c r="E109" s="76"/>
      <c r="F109" s="40"/>
      <c r="G109" s="40"/>
      <c r="H109" s="40"/>
      <c r="I109" s="41"/>
      <c r="J109" s="41"/>
      <c r="K109" s="28"/>
    </row>
    <row r="110" spans="1:87" x14ac:dyDescent="0.3">
      <c r="D110" s="46"/>
      <c r="E110" s="76"/>
      <c r="F110" s="40"/>
      <c r="G110" s="40"/>
      <c r="H110" s="40"/>
      <c r="I110" s="41"/>
      <c r="J110" s="41"/>
      <c r="K110" s="28"/>
    </row>
    <row r="111" spans="1:87" x14ac:dyDescent="0.3">
      <c r="D111" s="46"/>
      <c r="E111" s="76"/>
      <c r="F111" s="40"/>
      <c r="G111" s="40"/>
      <c r="H111" s="40"/>
      <c r="I111" s="41"/>
      <c r="J111" s="41"/>
      <c r="K111" s="28"/>
    </row>
    <row r="112" spans="1:87" x14ac:dyDescent="0.3">
      <c r="D112" s="46"/>
      <c r="E112" s="76"/>
      <c r="F112" s="41"/>
      <c r="G112" s="41"/>
      <c r="H112" s="41"/>
      <c r="I112" s="41"/>
      <c r="J112" s="41"/>
      <c r="K112" s="28"/>
    </row>
    <row r="113" spans="4:11" x14ac:dyDescent="0.3">
      <c r="D113" s="46"/>
      <c r="E113" s="76"/>
      <c r="F113" s="41"/>
      <c r="G113" s="41"/>
      <c r="H113" s="41"/>
      <c r="I113" s="41"/>
      <c r="J113" s="41"/>
      <c r="K113" s="28"/>
    </row>
    <row r="114" spans="4:11" x14ac:dyDescent="0.3">
      <c r="D114" s="46"/>
      <c r="E114" s="76"/>
      <c r="F114" s="41"/>
      <c r="G114" s="41"/>
      <c r="H114" s="41"/>
      <c r="I114" s="41"/>
      <c r="J114" s="41"/>
      <c r="K114" s="28"/>
    </row>
    <row r="115" spans="4:11" x14ac:dyDescent="0.3">
      <c r="D115" s="46"/>
      <c r="E115" s="76"/>
      <c r="F115" s="41"/>
      <c r="G115" s="41"/>
      <c r="H115" s="41"/>
      <c r="I115" s="41"/>
      <c r="J115" s="41"/>
      <c r="K115" s="28"/>
    </row>
    <row r="116" spans="4:11" x14ac:dyDescent="0.3">
      <c r="D116" s="58"/>
      <c r="E116" s="76"/>
      <c r="F116" s="28"/>
      <c r="G116" s="28"/>
      <c r="H116" s="28"/>
      <c r="I116" s="28"/>
      <c r="J116" s="41"/>
      <c r="K116" s="28"/>
    </row>
    <row r="117" spans="4:11" x14ac:dyDescent="0.3">
      <c r="D117" s="58"/>
      <c r="E117" s="76"/>
      <c r="F117" s="28"/>
      <c r="G117" s="28"/>
      <c r="H117" s="28"/>
      <c r="I117" s="28"/>
      <c r="J117" s="28"/>
      <c r="K117" s="28"/>
    </row>
    <row r="118" spans="4:11" x14ac:dyDescent="0.3">
      <c r="D118" s="58"/>
      <c r="E118" s="76"/>
      <c r="F118" s="28"/>
      <c r="G118" s="28"/>
      <c r="H118" s="28"/>
      <c r="I118" s="28"/>
      <c r="J118" s="28"/>
      <c r="K118" s="28"/>
    </row>
    <row r="119" spans="4:11" x14ac:dyDescent="0.3">
      <c r="E119" s="76"/>
    </row>
    <row r="120" spans="4:11" x14ac:dyDescent="0.3">
      <c r="E120" s="76"/>
    </row>
    <row r="121" spans="4:11" x14ac:dyDescent="0.3">
      <c r="E121" s="67"/>
    </row>
    <row r="122" spans="4:11" x14ac:dyDescent="0.3">
      <c r="E122" s="67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22"/>
  <sheetViews>
    <sheetView topLeftCell="A97" zoomScaleNormal="100" workbookViewId="0">
      <pane xSplit="1" topLeftCell="P1" activePane="topRight" state="frozen"/>
      <selection activeCell="A12" sqref="A12"/>
      <selection pane="topRight" activeCell="AA37" sqref="AA37"/>
    </sheetView>
  </sheetViews>
  <sheetFormatPr defaultColWidth="9.109375" defaultRowHeight="14.4" x14ac:dyDescent="0.3"/>
  <cols>
    <col min="1" max="1" width="40" style="9" customWidth="1"/>
    <col min="2" max="2" width="19.44140625" style="9" customWidth="1"/>
    <col min="3" max="3" width="19.6640625" style="9" customWidth="1"/>
    <col min="4" max="4" width="11.44140625" style="10" customWidth="1"/>
    <col min="5" max="5" width="18" style="9" customWidth="1"/>
    <col min="6" max="6" width="12.6640625" style="9" bestFit="1" customWidth="1"/>
    <col min="7" max="7" width="13.44140625" style="9" bestFit="1" customWidth="1"/>
    <col min="8" max="8" width="12.6640625" style="9" bestFit="1" customWidth="1"/>
    <col min="9" max="9" width="13" style="9" bestFit="1" customWidth="1"/>
    <col min="10" max="10" width="14.109375" style="9" bestFit="1" customWidth="1"/>
    <col min="11" max="11" width="10" style="9" customWidth="1"/>
    <col min="12" max="15" width="13" style="9" bestFit="1" customWidth="1"/>
    <col min="16" max="16" width="12.77734375" style="9" bestFit="1" customWidth="1"/>
    <col min="17" max="27" width="11.77734375" style="9" bestFit="1" customWidth="1"/>
    <col min="28" max="87" width="9.109375" style="9"/>
    <col min="88" max="16384" width="9.109375" style="1"/>
  </cols>
  <sheetData>
    <row r="2" spans="1:87" x14ac:dyDescent="0.3">
      <c r="CE2" s="1"/>
      <c r="CF2" s="1"/>
      <c r="CG2" s="1"/>
      <c r="CH2" s="1"/>
      <c r="CI2" s="1"/>
    </row>
    <row r="3" spans="1:87" x14ac:dyDescent="0.3">
      <c r="CE3" s="1"/>
      <c r="CF3" s="1"/>
      <c r="CG3" s="1"/>
      <c r="CH3" s="1"/>
      <c r="CI3" s="1"/>
    </row>
    <row r="4" spans="1:87" x14ac:dyDescent="0.3">
      <c r="CE4" s="1"/>
      <c r="CF4" s="1"/>
      <c r="CG4" s="1"/>
      <c r="CH4" s="1"/>
      <c r="CI4" s="1"/>
    </row>
    <row r="5" spans="1:87" x14ac:dyDescent="0.3">
      <c r="CE5" s="1"/>
      <c r="CF5" s="1"/>
      <c r="CG5" s="1"/>
      <c r="CH5" s="1"/>
      <c r="CI5" s="1"/>
    </row>
    <row r="6" spans="1:87" x14ac:dyDescent="0.3">
      <c r="CE6" s="1"/>
      <c r="CF6" s="1"/>
      <c r="CG6" s="1"/>
      <c r="CH6" s="1"/>
      <c r="CI6" s="1"/>
    </row>
    <row r="7" spans="1:87" ht="15.6" x14ac:dyDescent="0.3">
      <c r="A7" s="77" t="s">
        <v>0</v>
      </c>
      <c r="B7" s="11"/>
      <c r="C7" s="11"/>
      <c r="CE7" s="1"/>
      <c r="CF7" s="1"/>
      <c r="CG7" s="1"/>
      <c r="CH7" s="1"/>
      <c r="CI7" s="1"/>
    </row>
    <row r="8" spans="1:87" x14ac:dyDescent="0.3">
      <c r="A8" s="13" t="s">
        <v>1</v>
      </c>
      <c r="B8" s="12" t="s">
        <v>25</v>
      </c>
      <c r="C8" s="14">
        <v>0.04</v>
      </c>
      <c r="CE8" s="1"/>
      <c r="CF8" s="1"/>
      <c r="CG8" s="1"/>
      <c r="CH8" s="1"/>
      <c r="CI8" s="1"/>
    </row>
    <row r="9" spans="1:87" x14ac:dyDescent="0.3">
      <c r="A9" s="15" t="s">
        <v>67</v>
      </c>
      <c r="B9" s="12" t="s">
        <v>113</v>
      </c>
      <c r="C9" s="14">
        <v>0.15</v>
      </c>
      <c r="CE9" s="1"/>
      <c r="CF9" s="1"/>
      <c r="CG9" s="1"/>
      <c r="CH9" s="1"/>
      <c r="CI9" s="1"/>
    </row>
    <row r="10" spans="1:87" x14ac:dyDescent="0.3">
      <c r="A10" s="15" t="s">
        <v>68</v>
      </c>
      <c r="B10" s="12" t="s">
        <v>70</v>
      </c>
      <c r="C10" s="16">
        <v>500000</v>
      </c>
      <c r="CE10" s="1"/>
      <c r="CF10" s="1"/>
      <c r="CG10" s="1"/>
      <c r="CH10" s="1"/>
      <c r="CI10" s="1"/>
    </row>
    <row r="11" spans="1:87" x14ac:dyDescent="0.3">
      <c r="A11" s="15" t="s">
        <v>69</v>
      </c>
      <c r="B11" s="12" t="s">
        <v>69</v>
      </c>
      <c r="C11" s="16">
        <v>24</v>
      </c>
      <c r="CE11" s="1"/>
      <c r="CF11" s="1"/>
      <c r="CG11" s="1"/>
      <c r="CH11" s="1"/>
      <c r="CI11" s="1"/>
    </row>
    <row r="12" spans="1:87" x14ac:dyDescent="0.3">
      <c r="A12" s="17" t="s">
        <v>5</v>
      </c>
      <c r="B12" s="12" t="s">
        <v>71</v>
      </c>
      <c r="C12" s="18">
        <f>initial_amount * (interest_rate/12)/(1-POWER(1+interest_rate/12,-initial_term))</f>
        <v>26435.54862662495</v>
      </c>
      <c r="CE12" s="1"/>
      <c r="CF12" s="1"/>
      <c r="CG12" s="1"/>
      <c r="CH12" s="1"/>
      <c r="CI12" s="1"/>
    </row>
    <row r="13" spans="1:87" x14ac:dyDescent="0.3">
      <c r="A13" s="19"/>
      <c r="B13" s="19"/>
      <c r="C13" s="19"/>
      <c r="CE13" s="1"/>
      <c r="CF13" s="1"/>
      <c r="CG13" s="1"/>
      <c r="CH13" s="1"/>
      <c r="CI13" s="1"/>
    </row>
    <row r="14" spans="1:87" ht="15.6" x14ac:dyDescent="0.3">
      <c r="A14" s="77" t="s">
        <v>2</v>
      </c>
      <c r="B14" s="19"/>
      <c r="C14" s="19"/>
      <c r="CE14" s="1"/>
      <c r="CF14" s="1"/>
      <c r="CG14" s="1"/>
      <c r="CH14" s="1"/>
      <c r="CI14" s="1"/>
    </row>
    <row r="15" spans="1:87" x14ac:dyDescent="0.3">
      <c r="A15" s="13" t="s">
        <v>6</v>
      </c>
      <c r="B15" s="12" t="s">
        <v>72</v>
      </c>
      <c r="C15" s="20">
        <v>0.24</v>
      </c>
      <c r="CE15" s="1"/>
      <c r="CF15" s="1"/>
      <c r="CG15" s="1"/>
      <c r="CH15" s="1"/>
      <c r="CI15" s="1"/>
    </row>
    <row r="16" spans="1:87" x14ac:dyDescent="0.3">
      <c r="A16" s="17" t="s">
        <v>114</v>
      </c>
      <c r="B16" s="21" t="s">
        <v>114</v>
      </c>
      <c r="C16" s="14">
        <v>0.01</v>
      </c>
      <c r="CE16" s="1"/>
      <c r="CF16" s="1"/>
      <c r="CG16" s="1"/>
      <c r="CH16" s="1"/>
      <c r="CI16" s="1"/>
    </row>
    <row r="17" spans="1:87" x14ac:dyDescent="0.3">
      <c r="A17" s="19"/>
      <c r="B17" s="19"/>
      <c r="C17" s="19"/>
      <c r="CE17" s="1"/>
      <c r="CF17" s="1"/>
      <c r="CG17" s="1"/>
      <c r="CH17" s="1"/>
      <c r="CI17" s="1"/>
    </row>
    <row r="18" spans="1:87" ht="15.6" x14ac:dyDescent="0.3">
      <c r="A18" s="77" t="s">
        <v>31</v>
      </c>
      <c r="B18" s="19"/>
      <c r="C18" s="19"/>
      <c r="CE18" s="1"/>
      <c r="CF18" s="1"/>
      <c r="CG18" s="1"/>
      <c r="CH18" s="1"/>
      <c r="CI18" s="1"/>
    </row>
    <row r="19" spans="1:87" x14ac:dyDescent="0.3">
      <c r="A19" s="13" t="s">
        <v>15</v>
      </c>
      <c r="B19" s="12" t="s">
        <v>49</v>
      </c>
      <c r="C19" s="20">
        <v>0.17</v>
      </c>
    </row>
    <row r="20" spans="1:87" x14ac:dyDescent="0.3">
      <c r="A20" s="15" t="s">
        <v>7</v>
      </c>
      <c r="B20" s="12" t="s">
        <v>26</v>
      </c>
      <c r="C20" s="20">
        <v>0.2</v>
      </c>
    </row>
    <row r="21" spans="1:87" x14ac:dyDescent="0.3">
      <c r="A21" s="15" t="s">
        <v>30</v>
      </c>
      <c r="B21" s="12" t="s">
        <v>27</v>
      </c>
      <c r="C21" s="20">
        <v>0.3</v>
      </c>
    </row>
    <row r="22" spans="1:87" x14ac:dyDescent="0.3">
      <c r="A22" s="17" t="s">
        <v>55</v>
      </c>
      <c r="B22" s="12" t="s">
        <v>73</v>
      </c>
      <c r="C22" s="22">
        <v>0.125</v>
      </c>
    </row>
    <row r="23" spans="1:87" x14ac:dyDescent="0.3">
      <c r="A23" s="19"/>
      <c r="B23" s="19"/>
      <c r="C23" s="19"/>
    </row>
    <row r="24" spans="1:87" ht="15.6" x14ac:dyDescent="0.3">
      <c r="A24" s="77" t="s">
        <v>8</v>
      </c>
      <c r="B24" s="19"/>
      <c r="C24" s="19"/>
    </row>
    <row r="25" spans="1:87" x14ac:dyDescent="0.3">
      <c r="A25" s="13" t="s">
        <v>3</v>
      </c>
      <c r="B25" s="12" t="s">
        <v>28</v>
      </c>
      <c r="C25" s="16">
        <v>100</v>
      </c>
    </row>
    <row r="26" spans="1:87" x14ac:dyDescent="0.3">
      <c r="A26" s="15" t="s">
        <v>4</v>
      </c>
      <c r="B26" s="12" t="s">
        <v>29</v>
      </c>
      <c r="C26" s="16">
        <v>500</v>
      </c>
    </row>
    <row r="27" spans="1:87" x14ac:dyDescent="0.3">
      <c r="A27" s="17" t="s">
        <v>66</v>
      </c>
      <c r="B27" s="12" t="s">
        <v>74</v>
      </c>
      <c r="C27" s="20">
        <v>0.2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87" x14ac:dyDescent="0.3">
      <c r="A28" s="19"/>
      <c r="B28" s="2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87" x14ac:dyDescent="0.3">
      <c r="A29" s="19"/>
      <c r="B29" s="23"/>
      <c r="C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87" x14ac:dyDescent="0.3">
      <c r="A30" s="19"/>
      <c r="B30" s="23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87" x14ac:dyDescent="0.3">
      <c r="A31" s="19"/>
      <c r="B31" s="23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87" x14ac:dyDescent="0.3">
      <c r="A32" s="19"/>
      <c r="B32" s="2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87" x14ac:dyDescent="0.3">
      <c r="A33" s="19"/>
      <c r="B33" s="23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87" x14ac:dyDescent="0.3">
      <c r="A34" s="19"/>
      <c r="C34" s="10">
        <v>0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</row>
    <row r="35" spans="1:87" s="6" customFormat="1" x14ac:dyDescent="0.3">
      <c r="A35" s="24"/>
      <c r="B35" s="25" t="s">
        <v>75</v>
      </c>
      <c r="C35" s="26">
        <v>0</v>
      </c>
      <c r="D35" s="26">
        <v>0</v>
      </c>
      <c r="E35" s="26">
        <v>0</v>
      </c>
      <c r="F35" s="26">
        <v>0</v>
      </c>
      <c r="G35" s="26">
        <v>2.3436492106619699E-2</v>
      </c>
      <c r="H35" s="26">
        <v>3.8941776603352699E-3</v>
      </c>
      <c r="I35" s="26">
        <v>4.5412520216568403E-3</v>
      </c>
      <c r="J35" s="26">
        <v>5.1324692547012702E-3</v>
      </c>
      <c r="K35" s="26">
        <v>5.66782935946856E-3</v>
      </c>
      <c r="L35" s="26">
        <v>6.1473323359587002E-3</v>
      </c>
      <c r="M35" s="26">
        <v>6.5709781841717003E-3</v>
      </c>
      <c r="N35" s="26">
        <v>6.93876690410755E-3</v>
      </c>
      <c r="O35" s="26">
        <v>7.2506984957662699E-3</v>
      </c>
      <c r="P35" s="26">
        <v>7.5067729591478298E-3</v>
      </c>
      <c r="Q35" s="26">
        <v>7.7069902942522601E-3</v>
      </c>
      <c r="R35" s="26">
        <v>7.8513505010795407E-3</v>
      </c>
      <c r="S35" s="26">
        <v>7.9398535796296708E-3</v>
      </c>
      <c r="T35" s="26">
        <v>7.9724995299026696E-3</v>
      </c>
      <c r="U35" s="26">
        <v>7.9492883518985195E-3</v>
      </c>
      <c r="V35" s="26">
        <v>7.8702200456172208E-3</v>
      </c>
      <c r="W35" s="26">
        <v>7.7352946110587802E-3</v>
      </c>
      <c r="X35" s="26">
        <v>7.5445120482232004E-3</v>
      </c>
      <c r="Y35" s="26">
        <v>7.2978723571104796E-3</v>
      </c>
      <c r="Z35" s="26">
        <v>6.9953755377206101E-3</v>
      </c>
      <c r="AA35" s="26">
        <v>6.6370215900535996E-3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87" s="6" customFormat="1" x14ac:dyDescent="0.3">
      <c r="A36" s="24"/>
      <c r="B36" s="25" t="s">
        <v>78</v>
      </c>
      <c r="C36" s="26">
        <v>0</v>
      </c>
      <c r="D36" s="26">
        <v>7.2425007913315007E-2</v>
      </c>
      <c r="E36" s="26">
        <v>8.4081355171731695E-2</v>
      </c>
      <c r="F36" s="26">
        <v>9.2668035156058495E-2</v>
      </c>
      <c r="G36" s="26">
        <v>7.7642618515699396E-2</v>
      </c>
      <c r="H36" s="26">
        <v>8.3505106462399503E-2</v>
      </c>
      <c r="I36" s="26">
        <v>8.9028154682337393E-2</v>
      </c>
      <c r="J36" s="26">
        <v>9.4211763175513205E-2</v>
      </c>
      <c r="K36" s="26">
        <v>9.9055931941926703E-2</v>
      </c>
      <c r="L36" s="26">
        <v>0.103560660981578</v>
      </c>
      <c r="M36" s="26">
        <v>0.10772595029446699</v>
      </c>
      <c r="N36" s="26">
        <v>0.11155179988059399</v>
      </c>
      <c r="O36" s="26">
        <v>0.115038209739959</v>
      </c>
      <c r="P36" s="26">
        <v>0.118185179872561</v>
      </c>
      <c r="Q36" s="26">
        <v>0.120992710278402</v>
      </c>
      <c r="R36" s="26">
        <v>0.12346080095747999</v>
      </c>
      <c r="S36" s="26">
        <v>0.12558945190979601</v>
      </c>
      <c r="T36" s="26">
        <v>0.12737866313535001</v>
      </c>
      <c r="U36" s="26">
        <v>0.12882843463414201</v>
      </c>
      <c r="V36" s="26">
        <v>0.129938766406172</v>
      </c>
      <c r="W36" s="26">
        <v>0.130709658451439</v>
      </c>
      <c r="X36" s="26">
        <v>0.131141110769945</v>
      </c>
      <c r="Y36" s="26">
        <v>0.13123312336168799</v>
      </c>
      <c r="Z36" s="26">
        <v>0.130985696226669</v>
      </c>
      <c r="AA36" s="26">
        <v>0.130985696226669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</row>
    <row r="37" spans="1:87" s="6" customFormat="1" x14ac:dyDescent="0.3">
      <c r="A37" s="24"/>
      <c r="B37" s="25" t="s">
        <v>76</v>
      </c>
      <c r="C37" s="26">
        <v>0</v>
      </c>
      <c r="D37" s="26">
        <v>3.5389410827823299E-2</v>
      </c>
      <c r="E37" s="26">
        <v>2.28304079654096E-2</v>
      </c>
      <c r="F37" s="26">
        <v>2.3083539506010799E-2</v>
      </c>
      <c r="G37" s="26">
        <v>2.3386009030250801E-2</v>
      </c>
      <c r="H37" s="26">
        <v>2.3737816538129699E-2</v>
      </c>
      <c r="I37" s="26">
        <v>2.4138962029647298E-2</v>
      </c>
      <c r="J37" s="26">
        <v>2.4589445504803801E-2</v>
      </c>
      <c r="K37" s="26">
        <v>2.5089266963599199E-2</v>
      </c>
      <c r="L37" s="26">
        <v>2.56384264060333E-2</v>
      </c>
      <c r="M37" s="26">
        <v>2.6236923832106299E-2</v>
      </c>
      <c r="N37" s="26">
        <v>2.6884759241818101E-2</v>
      </c>
      <c r="O37" s="26">
        <v>2.7581932635168699E-2</v>
      </c>
      <c r="P37" s="26">
        <v>2.8328444012158199E-2</v>
      </c>
      <c r="Q37" s="26">
        <v>2.9124293372786401E-2</v>
      </c>
      <c r="R37" s="26">
        <v>2.99694807170535E-2</v>
      </c>
      <c r="S37" s="26">
        <v>3.0864006044959501E-2</v>
      </c>
      <c r="T37" s="26">
        <v>3.1807869356504197E-2</v>
      </c>
      <c r="U37" s="26">
        <v>3.2801070651687803E-2</v>
      </c>
      <c r="V37" s="26">
        <v>3.38436099305102E-2</v>
      </c>
      <c r="W37" s="26">
        <v>3.4935487192971501E-2</v>
      </c>
      <c r="X37" s="26">
        <v>3.6076702439071497E-2</v>
      </c>
      <c r="Y37" s="26">
        <v>3.7267255668810402E-2</v>
      </c>
      <c r="Z37" s="26">
        <v>3.8507146882188099E-2</v>
      </c>
      <c r="AA37" s="26">
        <v>3.9796376079204603E-2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1:87" x14ac:dyDescent="0.3">
      <c r="A38" s="19"/>
      <c r="B38" s="23"/>
      <c r="C38" s="80"/>
      <c r="D38" s="80"/>
      <c r="E38" s="80"/>
      <c r="F38" s="80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spans="1:87" x14ac:dyDescent="0.3">
      <c r="A39" s="19"/>
      <c r="B39" s="23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 spans="1:87" x14ac:dyDescent="0.3">
      <c r="B40" s="23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 spans="1:87" x14ac:dyDescent="0.3">
      <c r="B41" s="19"/>
      <c r="C41" s="23" t="s">
        <v>77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87" s="3" customFormat="1" ht="15.6" x14ac:dyDescent="0.3">
      <c r="A42" s="77" t="s">
        <v>24</v>
      </c>
      <c r="B42" s="27"/>
      <c r="C42" s="10">
        <v>0</v>
      </c>
      <c r="D42" s="10">
        <v>1</v>
      </c>
      <c r="E42" s="10">
        <v>2</v>
      </c>
      <c r="F42" s="10">
        <v>3</v>
      </c>
      <c r="G42" s="10">
        <v>4</v>
      </c>
      <c r="H42" s="10">
        <v>5</v>
      </c>
      <c r="I42" s="10">
        <v>6</v>
      </c>
      <c r="J42" s="10">
        <v>7</v>
      </c>
      <c r="K42" s="10">
        <v>8</v>
      </c>
      <c r="L42" s="10">
        <v>9</v>
      </c>
      <c r="M42" s="10">
        <v>10</v>
      </c>
      <c r="N42" s="10">
        <v>11</v>
      </c>
      <c r="O42" s="10">
        <v>12</v>
      </c>
      <c r="P42" s="10">
        <v>13</v>
      </c>
      <c r="Q42" s="10">
        <v>14</v>
      </c>
      <c r="R42" s="10">
        <v>15</v>
      </c>
      <c r="S42" s="10">
        <v>16</v>
      </c>
      <c r="T42" s="10">
        <v>17</v>
      </c>
      <c r="U42" s="10">
        <v>18</v>
      </c>
      <c r="V42" s="10">
        <v>19</v>
      </c>
      <c r="W42" s="10">
        <v>20</v>
      </c>
      <c r="X42" s="10">
        <v>21</v>
      </c>
      <c r="Y42" s="10">
        <v>22</v>
      </c>
      <c r="Z42" s="10">
        <v>23</v>
      </c>
      <c r="AA42" s="10">
        <v>24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 spans="1:87" s="3" customFormat="1" x14ac:dyDescent="0.3">
      <c r="A43" s="29" t="s">
        <v>36</v>
      </c>
      <c r="B43" s="27" t="s">
        <v>37</v>
      </c>
      <c r="C43" s="30">
        <f>1-accnt_wro-accnt_clo</f>
        <v>1</v>
      </c>
      <c r="D43" s="31">
        <f>1-accnt_wro-accnt_clo</f>
        <v>0.96461058917217668</v>
      </c>
      <c r="E43" s="31">
        <f t="shared" ref="E43:AA43" si="0">1-accnt_wro-accnt_clo</f>
        <v>0.94258813589362178</v>
      </c>
      <c r="F43" s="31">
        <f t="shared" si="0"/>
        <v>0.92082986542082435</v>
      </c>
      <c r="G43" s="31">
        <f t="shared" si="0"/>
        <v>0.87771430800029349</v>
      </c>
      <c r="H43" s="31">
        <f t="shared" si="0"/>
        <v>0.85346131133371972</v>
      </c>
      <c r="I43" s="31">
        <f t="shared" si="0"/>
        <v>0.82898385824016185</v>
      </c>
      <c r="J43" s="31">
        <f t="shared" si="0"/>
        <v>0.8043448706685421</v>
      </c>
      <c r="K43" s="31">
        <f t="shared" si="0"/>
        <v>0.77960555800442433</v>
      </c>
      <c r="L43" s="31">
        <f t="shared" si="0"/>
        <v>0.75482520382377971</v>
      </c>
      <c r="M43" s="31">
        <f t="shared" si="0"/>
        <v>0.73006097249731206</v>
      </c>
      <c r="N43" s="31">
        <f t="shared" si="0"/>
        <v>0.70536773610592929</v>
      </c>
      <c r="O43" s="31">
        <f t="shared" si="0"/>
        <v>0.68079792194248867</v>
      </c>
      <c r="P43" s="31">
        <f t="shared" si="0"/>
        <v>0.65640138069606535</v>
      </c>
      <c r="Q43" s="31">
        <f t="shared" si="0"/>
        <v>0.63222527524421279</v>
      </c>
      <c r="R43" s="31">
        <f t="shared" si="0"/>
        <v>0.60831398981736362</v>
      </c>
      <c r="S43" s="31">
        <f t="shared" si="0"/>
        <v>0.58470905914881688</v>
      </c>
      <c r="T43" s="31">
        <f t="shared" si="0"/>
        <v>0.56144911708465295</v>
      </c>
      <c r="U43" s="31">
        <f t="shared" si="0"/>
        <v>0.53856986400120688</v>
      </c>
      <c r="V43" s="31">
        <f t="shared" si="0"/>
        <v>0.51610405226399447</v>
      </c>
      <c r="W43" s="31">
        <f t="shared" si="0"/>
        <v>0.49408148886166176</v>
      </c>
      <c r="X43" s="31">
        <f t="shared" si="0"/>
        <v>0.47252905426182534</v>
      </c>
      <c r="Y43" s="31">
        <f t="shared" si="0"/>
        <v>0.45147073646267977</v>
      </c>
      <c r="Z43" s="31">
        <f t="shared" si="0"/>
        <v>0.43092767915485403</v>
      </c>
      <c r="AA43" s="31">
        <f t="shared" si="0"/>
        <v>0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 spans="1:87" s="3" customFormat="1" x14ac:dyDescent="0.3">
      <c r="A44" s="32" t="s">
        <v>9</v>
      </c>
      <c r="B44" s="33" t="s">
        <v>32</v>
      </c>
      <c r="C44" s="30">
        <v>1</v>
      </c>
      <c r="D44" s="26">
        <f>accnt_act-accnt_dlq</f>
        <v>0.89474865961811434</v>
      </c>
      <c r="E44" s="26">
        <f t="shared" ref="E44:AA44" si="1">accnt_act-accnt_dlq</f>
        <v>0.86333404805888969</v>
      </c>
      <c r="F44" s="26">
        <f t="shared" si="1"/>
        <v>0.83549837107925873</v>
      </c>
      <c r="G44" s="26">
        <f t="shared" si="1"/>
        <v>0.80956627081845567</v>
      </c>
      <c r="H44" s="26">
        <f t="shared" si="1"/>
        <v>0.78219293366925835</v>
      </c>
      <c r="I44" s="26">
        <f t="shared" si="1"/>
        <v>0.75518095507959582</v>
      </c>
      <c r="J44" s="26">
        <f t="shared" si="1"/>
        <v>0.7285661222016786</v>
      </c>
      <c r="K44" s="26">
        <f t="shared" si="1"/>
        <v>0.70238100290919026</v>
      </c>
      <c r="L44" s="26">
        <f t="shared" si="1"/>
        <v>0.67665500679023471</v>
      </c>
      <c r="M44" s="26">
        <f t="shared" si="1"/>
        <v>0.65141446046213636</v>
      </c>
      <c r="N44" s="26">
        <f t="shared" si="1"/>
        <v>0.62668269556561307</v>
      </c>
      <c r="O44" s="26">
        <f t="shared" si="1"/>
        <v>0.60248014780754044</v>
      </c>
      <c r="P44" s="26">
        <f t="shared" si="1"/>
        <v>0.57882446544990351</v>
      </c>
      <c r="Q44" s="26">
        <f t="shared" si="1"/>
        <v>0.55573062568590681</v>
      </c>
      <c r="R44" s="26">
        <f t="shared" si="1"/>
        <v>0.5332110574008716</v>
      </c>
      <c r="S44" s="26">
        <f t="shared" si="1"/>
        <v>0.51127576888362447</v>
      </c>
      <c r="T44" s="26">
        <f t="shared" si="1"/>
        <v>0.48993247913188726</v>
      </c>
      <c r="U44" s="26">
        <f t="shared" si="1"/>
        <v>0.46918675148080863</v>
      </c>
      <c r="V44" s="26">
        <f t="shared" si="1"/>
        <v>0.44904212837558449</v>
      </c>
      <c r="W44" s="26">
        <f t="shared" si="1"/>
        <v>0.42950026620537551</v>
      </c>
      <c r="X44" s="26">
        <f t="shared" si="1"/>
        <v>0.41056106921485797</v>
      </c>
      <c r="Y44" s="26">
        <f t="shared" si="1"/>
        <v>0.39222282161028077</v>
      </c>
      <c r="Z44" s="26">
        <f t="shared" si="1"/>
        <v>0.37448231707741286</v>
      </c>
      <c r="AA44" s="26">
        <f t="shared" si="1"/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 spans="1:87" s="3" customFormat="1" ht="14.25" customHeight="1" x14ac:dyDescent="0.3">
      <c r="A45" s="32" t="s">
        <v>10</v>
      </c>
      <c r="B45" s="33" t="s">
        <v>33</v>
      </c>
      <c r="C45" s="30">
        <v>0</v>
      </c>
      <c r="D45" s="26">
        <f>accnt_act*DLNQ_Ratio</f>
        <v>6.9861929554062341E-2</v>
      </c>
      <c r="E45" s="26">
        <f t="shared" ref="E45:AA45" si="2">accnt_act*DLNQ_Ratio</f>
        <v>7.9254087834732118E-2</v>
      </c>
      <c r="F45" s="26">
        <f t="shared" si="2"/>
        <v>8.5331494341565561E-2</v>
      </c>
      <c r="G45" s="26">
        <f t="shared" si="2"/>
        <v>6.8148037181837873E-2</v>
      </c>
      <c r="H45" s="26">
        <f t="shared" si="2"/>
        <v>7.1268377664461355E-2</v>
      </c>
      <c r="I45" s="26">
        <f t="shared" si="2"/>
        <v>7.380290316056598E-2</v>
      </c>
      <c r="J45" s="26">
        <f t="shared" si="2"/>
        <v>7.5778748466863485E-2</v>
      </c>
      <c r="K45" s="26">
        <f t="shared" si="2"/>
        <v>7.7224555095234043E-2</v>
      </c>
      <c r="L45" s="26">
        <f t="shared" si="2"/>
        <v>7.8170197033544969E-2</v>
      </c>
      <c r="M45" s="26">
        <f t="shared" si="2"/>
        <v>7.864651203517567E-2</v>
      </c>
      <c r="N45" s="26">
        <f t="shared" si="2"/>
        <v>7.8685040540316262E-2</v>
      </c>
      <c r="O45" s="26">
        <f t="shared" si="2"/>
        <v>7.831777413494824E-2</v>
      </c>
      <c r="P45" s="26">
        <f t="shared" si="2"/>
        <v>7.7576915246161865E-2</v>
      </c>
      <c r="Q45" s="26">
        <f t="shared" si="2"/>
        <v>7.6494649558305997E-2</v>
      </c>
      <c r="R45" s="26">
        <f t="shared" si="2"/>
        <v>7.5102932416492046E-2</v>
      </c>
      <c r="S45" s="26">
        <f t="shared" si="2"/>
        <v>7.3433290265192408E-2</v>
      </c>
      <c r="T45" s="26">
        <f t="shared" si="2"/>
        <v>7.1516637952765694E-2</v>
      </c>
      <c r="U45" s="26">
        <f t="shared" si="2"/>
        <v>6.9383112520398235E-2</v>
      </c>
      <c r="V45" s="26">
        <f t="shared" si="2"/>
        <v>6.7061923888409966E-2</v>
      </c>
      <c r="W45" s="26">
        <f t="shared" si="2"/>
        <v>6.4581222656286269E-2</v>
      </c>
      <c r="X45" s="26">
        <f t="shared" si="2"/>
        <v>6.1967985046967392E-2</v>
      </c>
      <c r="Y45" s="26">
        <f t="shared" si="2"/>
        <v>5.9247914852398983E-2</v>
      </c>
      <c r="Z45" s="26">
        <f t="shared" si="2"/>
        <v>5.6445362077441191E-2</v>
      </c>
      <c r="AA45" s="26">
        <f t="shared" si="2"/>
        <v>0</v>
      </c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 spans="1:87" s="3" customFormat="1" x14ac:dyDescent="0.3">
      <c r="A46" s="29" t="s">
        <v>38</v>
      </c>
      <c r="B46" s="27" t="s">
        <v>39</v>
      </c>
      <c r="C46" s="30">
        <v>0</v>
      </c>
      <c r="D46" s="26">
        <f>prev accnt_act*CLO_Rate +prev accnt_clo</f>
        <v>3.5389410827823299E-2</v>
      </c>
      <c r="E46" s="26">
        <f>prev accnt_act*CLO_Rate +prev accnt_clo</f>
        <v>5.7411864106378205E-2</v>
      </c>
      <c r="F46" s="26">
        <f>prev accnt_act*CLO_Rate +prev accnt_clo</f>
        <v>7.9170134579175697E-2</v>
      </c>
      <c r="G46" s="26">
        <f>prev accnt_act*CLO_Rate +prev accnt_clo</f>
        <v>0.10070467012723172</v>
      </c>
      <c r="H46" s="26">
        <f>prev accnt_act*CLO_Rate +prev accnt_clo</f>
        <v>0.12153969134343415</v>
      </c>
      <c r="I46" s="26">
        <f>prev accnt_act*CLO_Rate +prev accnt_clo</f>
        <v>0.14214136153149179</v>
      </c>
      <c r="J46" s="26">
        <f>prev accnt_act*CLO_Rate +prev accnt_clo</f>
        <v>0.16252561493805023</v>
      </c>
      <c r="K46" s="26">
        <f>prev accnt_act*CLO_Rate +prev accnt_clo</f>
        <v>0.18270603812905495</v>
      </c>
      <c r="L46" s="26">
        <f>prev accnt_act*CLO_Rate +prev accnt_clo</f>
        <v>0.20269389785368591</v>
      </c>
      <c r="M46" s="26">
        <f>prev accnt_act*CLO_Rate +prev accnt_clo</f>
        <v>0.22249818923296452</v>
      </c>
      <c r="N46" s="26">
        <f>prev accnt_act*CLO_Rate +prev accnt_clo</f>
        <v>0.24212570271040235</v>
      </c>
      <c r="O46" s="26">
        <f>prev accnt_act*CLO_Rate +prev accnt_clo</f>
        <v>0.26158110809069757</v>
      </c>
      <c r="P46" s="26">
        <f>prev accnt_act*CLO_Rate +prev accnt_clo</f>
        <v>0.280867053906039</v>
      </c>
      <c r="Q46" s="26">
        <f>prev accnt_act*CLO_Rate +prev accnt_clo</f>
        <v>0.29998428028773327</v>
      </c>
      <c r="R46" s="26">
        <f>prev accnt_act*CLO_Rate +prev accnt_clo</f>
        <v>0.31893174348299858</v>
      </c>
      <c r="S46" s="26">
        <f>prev accnt_act*CLO_Rate +prev accnt_clo</f>
        <v>0.33770675014195511</v>
      </c>
      <c r="T46" s="26">
        <f>prev accnt_act*CLO_Rate +prev accnt_clo</f>
        <v>0.35630509950692518</v>
      </c>
      <c r="U46" s="26">
        <f>prev accnt_act*CLO_Rate +prev accnt_clo</f>
        <v>0.3747212316637466</v>
      </c>
      <c r="V46" s="26">
        <f>prev accnt_act*CLO_Rate +prev accnt_clo</f>
        <v>0.39294838006133137</v>
      </c>
      <c r="W46" s="26">
        <f>prev accnt_act*CLO_Rate +prev accnt_clo</f>
        <v>0.41097872656944084</v>
      </c>
      <c r="X46" s="26">
        <f>prev accnt_act*CLO_Rate +prev accnt_clo</f>
        <v>0.42880355742375642</v>
      </c>
      <c r="Y46" s="26">
        <f>prev accnt_act*CLO_Rate +prev accnt_clo</f>
        <v>0.44641341849987304</v>
      </c>
      <c r="Z46" s="26">
        <f>prev accnt_act*CLO_Rate +prev accnt_clo</f>
        <v>0.46379826846185107</v>
      </c>
      <c r="AA46" s="26">
        <f>1-accnt_wro</f>
        <v>0.8918658713064026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 spans="1:87" s="3" customFormat="1" x14ac:dyDescent="0.3">
      <c r="A47" s="29" t="s">
        <v>90</v>
      </c>
      <c r="B47" s="34" t="s">
        <v>91</v>
      </c>
      <c r="C47" s="35">
        <v>0</v>
      </c>
      <c r="D47" s="36">
        <f>prev accnt_act*DEF_Rate+prev accnt_DEF</f>
        <v>0</v>
      </c>
      <c r="E47" s="36">
        <f>prev accnt_act*DEF_Rate+prev accnt_DEF</f>
        <v>0</v>
      </c>
      <c r="F47" s="36">
        <f>prev accnt_act*DEF_Rate+prev accnt_DEF</f>
        <v>0</v>
      </c>
      <c r="G47" s="36">
        <f>prev accnt_act*DEF_Rate+prev accnt_DEF</f>
        <v>2.1581021872474831E-2</v>
      </c>
      <c r="H47" s="36">
        <f>prev accnt_act*DEF_Rate+prev accnt_DEF</f>
        <v>2.4998997322846203E-2</v>
      </c>
      <c r="I47" s="36">
        <f>prev accnt_act*DEF_Rate+prev accnt_DEF</f>
        <v>2.8874780228346355E-2</v>
      </c>
      <c r="J47" s="36">
        <f>prev accnt_act*DEF_Rate+prev accnt_DEF</f>
        <v>3.3129514393407625E-2</v>
      </c>
      <c r="K47" s="36">
        <f>prev accnt_act*DEF_Rate+prev accnt_DEF</f>
        <v>3.7688403866520732E-2</v>
      </c>
      <c r="L47" s="36">
        <f>prev accnt_act*DEF_Rate+prev accnt_DEF</f>
        <v>4.2480898322534454E-2</v>
      </c>
      <c r="M47" s="36">
        <f>prev accnt_act*DEF_Rate+prev accnt_DEF</f>
        <v>4.7440838269723465E-2</v>
      </c>
      <c r="N47" s="36">
        <f>prev accnt_act*DEF_Rate+prev accnt_DEF</f>
        <v>5.2506561183668386E-2</v>
      </c>
      <c r="O47" s="36">
        <f>prev accnt_act*DEF_Rate+prev accnt_DEF</f>
        <v>5.7620969966813707E-2</v>
      </c>
      <c r="P47" s="36">
        <f>prev accnt_act*DEF_Rate+prev accnt_DEF</f>
        <v>6.2731565397895622E-2</v>
      </c>
      <c r="Q47" s="36">
        <f>prev accnt_act*DEF_Rate+prev accnt_DEF</f>
        <v>6.7790444468053976E-2</v>
      </c>
      <c r="R47" s="36">
        <f>prev accnt_act*DEF_Rate+prev accnt_DEF</f>
        <v>7.2754266699637776E-2</v>
      </c>
      <c r="S47" s="36">
        <f>prev accnt_act*DEF_Rate+prev accnt_DEF</f>
        <v>7.7584190709227979E-2</v>
      </c>
      <c r="T47" s="36">
        <f>prev accnt_act*DEF_Rate+prev accnt_DEF</f>
        <v>8.2245783408421758E-2</v>
      </c>
      <c r="U47" s="36">
        <f>prev accnt_act*DEF_Rate+prev accnt_DEF</f>
        <v>8.6708904335046494E-2</v>
      </c>
      <c r="V47" s="36">
        <f>prev accnt_act*DEF_Rate+prev accnt_DEF</f>
        <v>9.0947567674674129E-2</v>
      </c>
      <c r="W47" s="36">
        <f>prev accnt_act*DEF_Rate+prev accnt_DEF</f>
        <v>9.4939784568897401E-2</v>
      </c>
      <c r="X47" s="36">
        <f>prev accnt_act*DEF_Rate+prev accnt_DEF</f>
        <v>9.8667388314418264E-2</v>
      </c>
      <c r="Y47" s="36">
        <f>prev accnt_act*DEF_Rate+prev accnt_DEF</f>
        <v>0.10211584503744719</v>
      </c>
      <c r="Z47" s="36">
        <f>prev accnt_act*DEF_Rate+prev accnt_DEF</f>
        <v>0.10527405238329493</v>
      </c>
      <c r="AA47" s="36">
        <f>prev accnt_act*DEF_Rate+prev accnt_DEF</f>
        <v>0.10813412869359738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</row>
    <row r="48" spans="1:87" s="3" customFormat="1" ht="15.75" customHeight="1" x14ac:dyDescent="0.3">
      <c r="A48" s="28"/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40"/>
      <c r="M48" s="40"/>
      <c r="N48" s="41"/>
      <c r="O48" s="41"/>
      <c r="P48" s="41"/>
      <c r="Q48" s="41"/>
      <c r="R48" s="42"/>
      <c r="S48" s="38"/>
      <c r="T48" s="38"/>
      <c r="U48" s="38"/>
      <c r="V48" s="38"/>
      <c r="W48" s="38"/>
      <c r="X48" s="38"/>
      <c r="Y48" s="38"/>
      <c r="Z48" s="38"/>
      <c r="AA48" s="3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</row>
    <row r="49" spans="1:87" s="3" customFormat="1" x14ac:dyDescent="0.3">
      <c r="A49" s="29" t="s">
        <v>103</v>
      </c>
      <c r="B49" s="27" t="s">
        <v>104</v>
      </c>
      <c r="C49" s="31">
        <v>0</v>
      </c>
      <c r="D49" s="43">
        <f>accnt_DEF-prev accnt_DEF</f>
        <v>0</v>
      </c>
      <c r="E49" s="43">
        <f>accnt_DEF-prev accnt_DEF</f>
        <v>0</v>
      </c>
      <c r="F49" s="43">
        <f>accnt_DEF-prev accnt_DEF</f>
        <v>0</v>
      </c>
      <c r="G49" s="43">
        <f>accnt_DEF-prev accnt_DEF</f>
        <v>2.1581021872474831E-2</v>
      </c>
      <c r="H49" s="43">
        <f>accnt_DEF-prev accnt_DEF</f>
        <v>3.4179754503713723E-3</v>
      </c>
      <c r="I49" s="43">
        <f>accnt_DEF-prev accnt_DEF</f>
        <v>3.8757829055001518E-3</v>
      </c>
      <c r="J49" s="43">
        <f>accnt_DEF-prev accnt_DEF</f>
        <v>4.2547341650612698E-3</v>
      </c>
      <c r="K49" s="43">
        <f>accnt_DEF-prev accnt_DEF</f>
        <v>4.5588894731131077E-3</v>
      </c>
      <c r="L49" s="43">
        <f>accnt_DEF-prev accnt_DEF</f>
        <v>4.7924944560137211E-3</v>
      </c>
      <c r="M49" s="43">
        <f>accnt_DEF-prev accnt_DEF</f>
        <v>4.9599399471890113E-3</v>
      </c>
      <c r="N49" s="43">
        <f>accnt_DEF-prev accnt_DEF</f>
        <v>5.0657229139449214E-3</v>
      </c>
      <c r="O49" s="43">
        <f>accnt_DEF-prev accnt_DEF</f>
        <v>5.1144087831453203E-3</v>
      </c>
      <c r="P49" s="43">
        <f>accnt_DEF-prev accnt_DEF</f>
        <v>5.1105954310819157E-3</v>
      </c>
      <c r="Q49" s="43">
        <f>accnt_DEF-prev accnt_DEF</f>
        <v>5.0588790701583536E-3</v>
      </c>
      <c r="R49" s="43">
        <f>accnt_DEF-prev accnt_DEF</f>
        <v>4.9638222315838004E-3</v>
      </c>
      <c r="S49" s="43">
        <f>accnt_DEF-prev accnt_DEF</f>
        <v>4.829924009590203E-3</v>
      </c>
      <c r="T49" s="43">
        <f>accnt_DEF-prev accnt_DEF</f>
        <v>4.6615926991937784E-3</v>
      </c>
      <c r="U49" s="43">
        <f>accnt_DEF-prev accnt_DEF</f>
        <v>4.4631209266247363E-3</v>
      </c>
      <c r="V49" s="43">
        <f>accnt_DEF-prev accnt_DEF</f>
        <v>4.2386633396276352E-3</v>
      </c>
      <c r="W49" s="43">
        <f>accnt_DEF-prev accnt_DEF</f>
        <v>3.9922168942232716E-3</v>
      </c>
      <c r="X49" s="43">
        <f>accnt_DEF-prev accnt_DEF</f>
        <v>3.7276037455208633E-3</v>
      </c>
      <c r="Y49" s="43">
        <f>accnt_DEF-prev accnt_DEF</f>
        <v>3.4484567230289309E-3</v>
      </c>
      <c r="Z49" s="43">
        <f>accnt_DEF-prev accnt_DEF</f>
        <v>3.1582073458477355E-3</v>
      </c>
      <c r="AA49" s="43">
        <f>accnt_DEF-prev accnt_DEF</f>
        <v>2.8600763103024535E-3</v>
      </c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</row>
    <row r="50" spans="1:87" x14ac:dyDescent="0.3">
      <c r="A50" s="29"/>
      <c r="B50" s="27"/>
      <c r="C50" s="44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87" ht="15.6" x14ac:dyDescent="0.3">
      <c r="A51" s="77" t="s">
        <v>79</v>
      </c>
      <c r="B51" s="27"/>
      <c r="C51" s="45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87" x14ac:dyDescent="0.3">
      <c r="A52" s="47" t="s">
        <v>35</v>
      </c>
      <c r="B52" s="27" t="s">
        <v>82</v>
      </c>
      <c r="C52" s="48">
        <f>initial_amount</f>
        <v>500000</v>
      </c>
      <c r="D52" s="49">
        <f>prev PB_model+int_model-regular_payment</f>
        <v>483564.45137337502</v>
      </c>
      <c r="E52" s="49">
        <f>prev PB_model+int_model-regular_payment</f>
        <v>466800.19177421753</v>
      </c>
      <c r="F52" s="49">
        <f>prev PB_model+int_model-regular_payment</f>
        <v>449700.64698307693</v>
      </c>
      <c r="G52" s="49">
        <f>prev PB_model+int_model-regular_payment</f>
        <v>432259.11129611358</v>
      </c>
      <c r="H52" s="49">
        <f>prev PB_model+int_model-regular_payment</f>
        <v>414468.74489541096</v>
      </c>
      <c r="I52" s="49">
        <f>prev PB_model+int_model-regular_payment</f>
        <v>396322.57116669428</v>
      </c>
      <c r="J52" s="49">
        <f>prev PB_model+int_model-regular_payment</f>
        <v>377813.47396340326</v>
      </c>
      <c r="K52" s="49">
        <f>prev PB_model+int_model-regular_payment</f>
        <v>358934.19481604639</v>
      </c>
      <c r="L52" s="49">
        <f>prev PB_model+int_model-regular_payment</f>
        <v>339677.3300857424</v>
      </c>
      <c r="M52" s="49">
        <f>prev PB_model+int_model-regular_payment</f>
        <v>320035.32806083234</v>
      </c>
      <c r="N52" s="49">
        <f>prev PB_model+int_model-regular_payment</f>
        <v>300000.48599542398</v>
      </c>
      <c r="O52" s="49">
        <f>prev PB_model+int_model-regular_payment</f>
        <v>279564.94708870747</v>
      </c>
      <c r="P52" s="49">
        <f>prev PB_model+int_model-regular_payment</f>
        <v>258720.6974038567</v>
      </c>
      <c r="Q52" s="49">
        <f>prev PB_model+int_model-regular_payment</f>
        <v>237459.5627253089</v>
      </c>
      <c r="R52" s="49">
        <f>prev PB_model+int_model-regular_payment</f>
        <v>215773.20535319013</v>
      </c>
      <c r="S52" s="49">
        <f>prev PB_model+int_model-regular_payment</f>
        <v>193653.12083362899</v>
      </c>
      <c r="T52" s="49">
        <f>prev PB_model+int_model-regular_payment</f>
        <v>171090.63462367663</v>
      </c>
      <c r="U52" s="49">
        <f>prev PB_model+int_model-regular_payment</f>
        <v>148076.8986895252</v>
      </c>
      <c r="V52" s="49">
        <f>prev PB_model+int_model-regular_payment</f>
        <v>124602.88803669077</v>
      </c>
      <c r="W52" s="49">
        <f>prev PB_model+int_model-regular_payment</f>
        <v>100659.39717079964</v>
      </c>
      <c r="X52" s="49">
        <f>prev PB_model+int_model-regular_payment</f>
        <v>76237.036487590682</v>
      </c>
      <c r="Y52" s="49">
        <f>prev PB_model+int_model-regular_payment</f>
        <v>51326.228590717539</v>
      </c>
      <c r="Z52" s="49">
        <f>prev PB_model+int_model-regular_payment</f>
        <v>25917.204535906938</v>
      </c>
      <c r="AA52" s="49">
        <f>prev PB_model+int_model-regular_payment</f>
        <v>1.2732925824820995E-10</v>
      </c>
    </row>
    <row r="53" spans="1:87" x14ac:dyDescent="0.3">
      <c r="A53" s="47" t="s">
        <v>80</v>
      </c>
      <c r="B53" s="50" t="s">
        <v>81</v>
      </c>
      <c r="C53" s="51">
        <f>PB*accnt_cur</f>
        <v>500000</v>
      </c>
      <c r="D53" s="51">
        <f>prev PB_model*interest_rate/12</f>
        <v>10000</v>
      </c>
      <c r="E53" s="51">
        <f>prev PB_model*interest_rate/12</f>
        <v>9671.2890274674992</v>
      </c>
      <c r="F53" s="51">
        <f>prev PB_model*interest_rate/12</f>
        <v>9336.0038354843509</v>
      </c>
      <c r="G53" s="51">
        <f>prev PB_model*interest_rate/12</f>
        <v>8994.0129396615393</v>
      </c>
      <c r="H53" s="51">
        <f>prev PB_model*interest_rate/12</f>
        <v>8645.1822259222718</v>
      </c>
      <c r="I53" s="51">
        <f>prev PB_model*interest_rate/12</f>
        <v>8289.3748979082193</v>
      </c>
      <c r="J53" s="51">
        <f>prev PB_model*interest_rate/12</f>
        <v>7926.451423333885</v>
      </c>
      <c r="K53" s="51">
        <f>prev PB_model*interest_rate/12</f>
        <v>7556.2694792680641</v>
      </c>
      <c r="L53" s="51">
        <f>prev PB_model*interest_rate/12</f>
        <v>7178.6838963209275</v>
      </c>
      <c r="M53" s="51">
        <f>prev PB_model*interest_rate/12</f>
        <v>6793.5466017148474</v>
      </c>
      <c r="N53" s="51">
        <f>prev PB_model*interest_rate/12</f>
        <v>6400.7065612166471</v>
      </c>
      <c r="O53" s="51">
        <f>prev PB_model*interest_rate/12</f>
        <v>6000.0097199084785</v>
      </c>
      <c r="P53" s="51">
        <f>prev PB_model*interest_rate/12</f>
        <v>5591.2989417741492</v>
      </c>
      <c r="Q53" s="51">
        <f>prev PB_model*interest_rate/12</f>
        <v>5174.4139480771337</v>
      </c>
      <c r="R53" s="51">
        <f>prev PB_model*interest_rate/12</f>
        <v>4749.1912545061778</v>
      </c>
      <c r="S53" s="51">
        <f>prev PB_model*interest_rate/12</f>
        <v>4315.4641070638027</v>
      </c>
      <c r="T53" s="51">
        <f>prev PB_model*interest_rate/12</f>
        <v>3873.0624166725793</v>
      </c>
      <c r="U53" s="51">
        <f>prev PB_model*interest_rate/12</f>
        <v>3421.812692473532</v>
      </c>
      <c r="V53" s="51">
        <f>prev PB_model*interest_rate/12</f>
        <v>2961.5379737905041</v>
      </c>
      <c r="W53" s="51">
        <f>prev PB_model*interest_rate/12</f>
        <v>2492.057760733815</v>
      </c>
      <c r="X53" s="51">
        <f>prev PB_model*interest_rate/12</f>
        <v>2013.1879434159928</v>
      </c>
      <c r="Y53" s="51">
        <f>prev PB_model*interest_rate/12</f>
        <v>1524.7407297518137</v>
      </c>
      <c r="Z53" s="51">
        <f>prev PB_model*interest_rate/12</f>
        <v>1026.5245718143508</v>
      </c>
      <c r="AA53" s="51">
        <f>prev PB_model*interest_rate/12</f>
        <v>518.34409071813877</v>
      </c>
    </row>
    <row r="54" spans="1:87" x14ac:dyDescent="0.3">
      <c r="A54" s="47"/>
      <c r="B54" s="27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87" ht="15.6" x14ac:dyDescent="0.3">
      <c r="A55" s="77" t="s">
        <v>83</v>
      </c>
      <c r="B55" s="52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87" x14ac:dyDescent="0.3">
      <c r="A56" s="47" t="s">
        <v>84</v>
      </c>
      <c r="B56" s="27" t="s">
        <v>85</v>
      </c>
      <c r="C56" s="48">
        <f t="shared" ref="C56:AA56" si="3">PB_cur+PB_dlq</f>
        <v>500000</v>
      </c>
      <c r="D56" s="48">
        <f>PB_cur+PB_dlq</f>
        <v>467599.6094823273</v>
      </c>
      <c r="E56" s="48">
        <f t="shared" si="3"/>
        <v>441328.95870200073</v>
      </c>
      <c r="F56" s="48">
        <f t="shared" si="3"/>
        <v>415556.91595067293</v>
      </c>
      <c r="G56" s="48">
        <f t="shared" si="3"/>
        <v>380588.61317059374</v>
      </c>
      <c r="H56" s="48">
        <f t="shared" si="3"/>
        <v>355000.92907671281</v>
      </c>
      <c r="I56" s="48">
        <f t="shared" si="3"/>
        <v>329884.25445586257</v>
      </c>
      <c r="J56" s="48">
        <f t="shared" si="3"/>
        <v>305294.92607324314</v>
      </c>
      <c r="K56" s="48">
        <f t="shared" si="3"/>
        <v>281285.03716910596</v>
      </c>
      <c r="L56" s="48">
        <f t="shared" si="3"/>
        <v>257902.32282650398</v>
      </c>
      <c r="M56" s="48">
        <f t="shared" si="3"/>
        <v>235190.07778623459</v>
      </c>
      <c r="N56" s="48">
        <f t="shared" si="3"/>
        <v>213187.10599740627</v>
      </c>
      <c r="O56" s="48">
        <f t="shared" si="3"/>
        <v>191927.70094637602</v>
      </c>
      <c r="P56" s="48">
        <f t="shared" si="3"/>
        <v>171441.655581712</v>
      </c>
      <c r="Q56" s="48">
        <f t="shared" si="3"/>
        <v>151754.30044982632</v>
      </c>
      <c r="R56" s="48">
        <f t="shared" si="3"/>
        <v>132886.56847615854</v>
      </c>
      <c r="S56" s="48">
        <f t="shared" si="3"/>
        <v>114855.08467107888</v>
      </c>
      <c r="T56" s="48">
        <f t="shared" si="3"/>
        <v>97672.278908507622</v>
      </c>
      <c r="U56" s="48">
        <f t="shared" si="3"/>
        <v>81346.519818772038</v>
      </c>
      <c r="V56" s="48">
        <f t="shared" si="3"/>
        <v>65882.267755289009</v>
      </c>
      <c r="W56" s="48">
        <f t="shared" si="3"/>
        <v>51280.244736844907</v>
      </c>
      <c r="X56" s="48">
        <f t="shared" si="3"/>
        <v>37537.619232834237</v>
      </c>
      <c r="Y56" s="48">
        <f t="shared" si="3"/>
        <v>24648.203646881506</v>
      </c>
      <c r="Z56" s="48">
        <f t="shared" si="3"/>
        <v>12602.662363648229</v>
      </c>
      <c r="AA56" s="48">
        <f t="shared" si="3"/>
        <v>0</v>
      </c>
    </row>
    <row r="57" spans="1:87" x14ac:dyDescent="0.3">
      <c r="A57" s="32" t="s">
        <v>86</v>
      </c>
      <c r="B57" s="33" t="s">
        <v>44</v>
      </c>
      <c r="C57" s="48">
        <f t="shared" ref="C57:AA57" si="4">PB_model*accnt_cur</f>
        <v>500000</v>
      </c>
      <c r="D57" s="48">
        <f>PB_model*accnt_cur</f>
        <v>432668.64470529614</v>
      </c>
      <c r="E57" s="48">
        <f t="shared" si="4"/>
        <v>403004.49919910124</v>
      </c>
      <c r="F57" s="48">
        <f t="shared" si="4"/>
        <v>375724.15802764957</v>
      </c>
      <c r="G57" s="48">
        <f t="shared" si="4"/>
        <v>349942.39675929444</v>
      </c>
      <c r="H57" s="48">
        <f t="shared" si="4"/>
        <v>324194.52348395693</v>
      </c>
      <c r="I57" s="48">
        <f t="shared" si="4"/>
        <v>299295.25781326526</v>
      </c>
      <c r="J57" s="48">
        <f t="shared" si="4"/>
        <v>275262.09764106158</v>
      </c>
      <c r="K57" s="48">
        <f t="shared" si="4"/>
        <v>252108.55973329736</v>
      </c>
      <c r="L57" s="48">
        <f t="shared" si="4"/>
        <v>229844.36609565682</v>
      </c>
      <c r="M57" s="48">
        <f t="shared" si="4"/>
        <v>208475.64055756992</v>
      </c>
      <c r="N57" s="48">
        <f t="shared" si="4"/>
        <v>188005.11323460625</v>
      </c>
      <c r="O57" s="48">
        <f t="shared" si="4"/>
        <v>168432.3306438117</v>
      </c>
      <c r="P57" s="48">
        <f t="shared" si="4"/>
        <v>149753.86937561361</v>
      </c>
      <c r="Q57" s="48">
        <f t="shared" si="4"/>
        <v>131963.55136843777</v>
      </c>
      <c r="R57" s="48">
        <f t="shared" si="4"/>
        <v>115052.65898514992</v>
      </c>
      <c r="S57" s="48">
        <f t="shared" si="4"/>
        <v>99010.148250927101</v>
      </c>
      <c r="T57" s="48">
        <f t="shared" si="4"/>
        <v>83822.85877742579</v>
      </c>
      <c r="U57" s="48">
        <f t="shared" si="4"/>
        <v>69475.719065491139</v>
      </c>
      <c r="V57" s="48">
        <f t="shared" si="4"/>
        <v>55951.946045740275</v>
      </c>
      <c r="W57" s="48">
        <f t="shared" si="4"/>
        <v>43233.237880931069</v>
      </c>
      <c r="X57" s="48">
        <f t="shared" si="4"/>
        <v>31299.959214117371</v>
      </c>
      <c r="Y57" s="48">
        <f t="shared" si="4"/>
        <v>20131.318200465499</v>
      </c>
      <c r="Z57" s="48">
        <f t="shared" si="4"/>
        <v>9705.534806775664</v>
      </c>
      <c r="AA57" s="48">
        <f t="shared" si="4"/>
        <v>0</v>
      </c>
    </row>
    <row r="58" spans="1:87" x14ac:dyDescent="0.3">
      <c r="A58" s="32" t="s">
        <v>87</v>
      </c>
      <c r="B58" s="33" t="s">
        <v>43</v>
      </c>
      <c r="C58" s="48">
        <f>0</f>
        <v>0</v>
      </c>
      <c r="D58" s="49">
        <f>prev PB_model*accnt_dlq</f>
        <v>34930.964777031171</v>
      </c>
      <c r="E58" s="49">
        <f>prev PB_model*accnt_dlq</f>
        <v>38324.45950289951</v>
      </c>
      <c r="F58" s="49">
        <f>prev PB_model*accnt_dlq</f>
        <v>39832.75792302336</v>
      </c>
      <c r="G58" s="49">
        <f>prev PB_model*accnt_dlq</f>
        <v>30646.216411299276</v>
      </c>
      <c r="H58" s="49">
        <f>prev PB_model*accnt_dlq</f>
        <v>30806.405592755855</v>
      </c>
      <c r="I58" s="49">
        <f>prev PB_model*accnt_dlq</f>
        <v>30588.99664259734</v>
      </c>
      <c r="J58" s="49">
        <f>prev PB_model*accnt_dlq</f>
        <v>30032.82843218153</v>
      </c>
      <c r="K58" s="49">
        <f>prev PB_model*accnt_dlq</f>
        <v>29176.477435808607</v>
      </c>
      <c r="L58" s="49">
        <f>prev PB_model*accnt_dlq</f>
        <v>28057.956730847163</v>
      </c>
      <c r="M58" s="49">
        <f>prev PB_model*accnt_dlq</f>
        <v>26714.437228664679</v>
      </c>
      <c r="N58" s="49">
        <f>prev PB_model*accnt_dlq</f>
        <v>25181.992762800008</v>
      </c>
      <c r="O58" s="49">
        <f>prev PB_model*accnt_dlq</f>
        <v>23495.370302564319</v>
      </c>
      <c r="P58" s="49">
        <f>prev PB_model*accnt_dlq</f>
        <v>21687.786206098386</v>
      </c>
      <c r="Q58" s="49">
        <f>prev PB_model*accnt_dlq</f>
        <v>19790.749081388545</v>
      </c>
      <c r="R58" s="49">
        <f>prev PB_model*accnt_dlq</f>
        <v>17833.909491008628</v>
      </c>
      <c r="S58" s="49">
        <f>prev PB_model*accnt_dlq</f>
        <v>15844.93642015178</v>
      </c>
      <c r="T58" s="49">
        <f>prev PB_model*accnt_dlq</f>
        <v>13849.420131081832</v>
      </c>
      <c r="U58" s="49">
        <f>prev PB_model*accnt_dlq</f>
        <v>11870.800753280897</v>
      </c>
      <c r="V58" s="49">
        <f>prev PB_model*accnt_dlq</f>
        <v>9930.3217095487325</v>
      </c>
      <c r="W58" s="49">
        <f>prev PB_model*accnt_dlq</f>
        <v>8047.0068559138354</v>
      </c>
      <c r="X58" s="49">
        <f>prev PB_model*accnt_dlq</f>
        <v>6237.6600187168642</v>
      </c>
      <c r="Y58" s="49">
        <f>prev PB_model*accnt_dlq</f>
        <v>4516.8854464160067</v>
      </c>
      <c r="Z58" s="49">
        <f>prev PB_model*accnt_dlq</f>
        <v>2897.1275568725655</v>
      </c>
      <c r="AA58" s="49">
        <f>prev PB_model*accnt_dlq</f>
        <v>0</v>
      </c>
    </row>
    <row r="59" spans="1:87" x14ac:dyDescent="0.3">
      <c r="A59" s="47" t="s">
        <v>88</v>
      </c>
      <c r="B59" s="50" t="s">
        <v>89</v>
      </c>
      <c r="C59" s="51">
        <v>0</v>
      </c>
      <c r="D59" s="51">
        <v>0</v>
      </c>
      <c r="E59" s="51">
        <v>0</v>
      </c>
      <c r="F59" s="51">
        <v>0</v>
      </c>
      <c r="G59" s="51">
        <f>prev_ PB_model *accnt_b_def+ prev PB_def</f>
        <v>10790.510936237415</v>
      </c>
      <c r="H59" s="51">
        <f>prev_ PB_model *accnt_b_def+ prev PB_def</f>
        <v>12443.322359703912</v>
      </c>
      <c r="I59" s="51">
        <f>prev_ PB_model *accnt_b_def+ prev PB_def</f>
        <v>14252.538563266617</v>
      </c>
      <c r="J59" s="51">
        <f>prev_ PB_model *accnt_b_def+ prev PB_def</f>
        <v>16165.895270035671</v>
      </c>
      <c r="K59" s="51">
        <f>prev_ PB_model *accnt_b_def+ prev PB_def</f>
        <v>18136.516782180752</v>
      </c>
      <c r="L59" s="51">
        <f>prev_ PB_model *accnt_b_def+ prev PB_def</f>
        <v>20122.855944282976</v>
      </c>
      <c r="M59" s="51">
        <f>prev_ PB_model *accnt_b_def+ prev PB_def</f>
        <v>22088.592096985321</v>
      </c>
      <c r="N59" s="51">
        <f>prev_ PB_model *accnt_b_def+ prev PB_def</f>
        <v>24002.490469238866</v>
      </c>
      <c r="O59" s="51">
        <f>prev_ PB_model *accnt_b_def+ prev PB_def</f>
        <v>25838.226667777246</v>
      </c>
      <c r="P59" s="51">
        <f>prev_ PB_model *accnt_b_def+ prev PB_def</f>
        <v>27574.180078955545</v>
      </c>
      <c r="Q59" s="51">
        <f>prev_ PB_model *accnt_b_def+ prev PB_def</f>
        <v>29193.200101793751</v>
      </c>
      <c r="R59" s="51">
        <f>prev_ PB_model *accnt_b_def+ prev PB_def</f>
        <v>30682.34918366378</v>
      </c>
      <c r="S59" s="51">
        <f>prev_ PB_model *accnt_b_def+ prev PB_def</f>
        <v>32032.626633847343</v>
      </c>
      <c r="T59" s="51">
        <f>prev_ PB_model *accnt_b_def+ prev PB_def</f>
        <v>33238.677147995484</v>
      </c>
      <c r="U59" s="51">
        <f>prev_ PB_model *accnt_b_def+ prev PB_def</f>
        <v>34298.487891621968</v>
      </c>
      <c r="V59" s="51">
        <f>prev_ PB_model *accnt_b_def+ prev PB_def</f>
        <v>35213.077866826483</v>
      </c>
      <c r="W59" s="51">
        <f>prev_ PB_model *accnt_b_def+ prev PB_def</f>
        <v>35986.183127437558</v>
      </c>
      <c r="X59" s="51">
        <f>prev_ PB_model *accnt_b_def+ prev PB_def</f>
        <v>36623.941217884319</v>
      </c>
      <c r="Y59" s="51">
        <f>prev_ PB_model *accnt_b_def+ prev PB_def</f>
        <v>37134.577994695486</v>
      </c>
      <c r="Z59" s="51">
        <f>prev_ PB_model *accnt_b_def+ prev PB_def</f>
        <v>37528.099751006805</v>
      </c>
      <c r="AA59" s="51">
        <f>prev_ PB_model *accnt_b_def+ prev PB_def</f>
        <v>37815.993308264333</v>
      </c>
    </row>
    <row r="60" spans="1:87" x14ac:dyDescent="0.3">
      <c r="A60" s="47"/>
      <c r="B60" s="27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87" ht="15.6" x14ac:dyDescent="0.3">
      <c r="A61" s="77" t="s">
        <v>65</v>
      </c>
      <c r="B61" s="2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87" x14ac:dyDescent="0.3">
      <c r="A62" s="29" t="s">
        <v>111</v>
      </c>
      <c r="B62" s="27" t="s">
        <v>11</v>
      </c>
      <c r="C62" s="53">
        <f t="shared" ref="C62:H62" si="5">GB_cur+GB_dlq</f>
        <v>500000</v>
      </c>
      <c r="D62" s="53">
        <f t="shared" si="5"/>
        <v>468298.22877786792</v>
      </c>
      <c r="E62" s="53">
        <f t="shared" si="5"/>
        <v>442095.44789205876</v>
      </c>
      <c r="F62" s="53">
        <f t="shared" si="5"/>
        <v>416353.57110913342</v>
      </c>
      <c r="G62" s="53">
        <f t="shared" si="5"/>
        <v>381201.5374988197</v>
      </c>
      <c r="H62" s="53">
        <f t="shared" si="5"/>
        <v>355617.05718856794</v>
      </c>
      <c r="I62" s="53">
        <f t="shared" ref="I62:AA62" si="6">GB_cur+GB_dlq</f>
        <v>330496.03438871453</v>
      </c>
      <c r="J62" s="53">
        <f t="shared" si="6"/>
        <v>305895.58264188672</v>
      </c>
      <c r="K62" s="53">
        <f t="shared" si="6"/>
        <v>281868.56671782216</v>
      </c>
      <c r="L62" s="53">
        <f t="shared" si="6"/>
        <v>258463.48196112094</v>
      </c>
      <c r="M62" s="53">
        <f t="shared" si="6"/>
        <v>235724.36653080789</v>
      </c>
      <c r="N62" s="53">
        <f t="shared" si="6"/>
        <v>213690.74585266225</v>
      </c>
      <c r="O62" s="53">
        <f t="shared" si="6"/>
        <v>192397.60835242731</v>
      </c>
      <c r="P62" s="53">
        <f t="shared" si="6"/>
        <v>171875.41130583396</v>
      </c>
      <c r="Q62" s="53">
        <f t="shared" si="6"/>
        <v>152150.11543145409</v>
      </c>
      <c r="R62" s="53">
        <f t="shared" si="6"/>
        <v>133243.24666597872</v>
      </c>
      <c r="S62" s="53">
        <f t="shared" si="6"/>
        <v>115171.98339948192</v>
      </c>
      <c r="T62" s="53">
        <f t="shared" si="6"/>
        <v>97949.267311129253</v>
      </c>
      <c r="U62" s="53">
        <f t="shared" si="6"/>
        <v>81583.935833837662</v>
      </c>
      <c r="V62" s="53">
        <f t="shared" si="6"/>
        <v>66080.874189479975</v>
      </c>
      <c r="W62" s="53">
        <f t="shared" si="6"/>
        <v>51441.184873963182</v>
      </c>
      <c r="X62" s="53">
        <f t="shared" si="6"/>
        <v>37662.372433208569</v>
      </c>
      <c r="Y62" s="53">
        <f t="shared" si="6"/>
        <v>24738.541355809826</v>
      </c>
      <c r="Z62" s="53">
        <f t="shared" si="6"/>
        <v>12660.604914785681</v>
      </c>
      <c r="AA62" s="53">
        <f t="shared" si="6"/>
        <v>0</v>
      </c>
    </row>
    <row r="63" spans="1:87" x14ac:dyDescent="0.3">
      <c r="A63" s="32" t="s">
        <v>115</v>
      </c>
      <c r="B63" s="33" t="s">
        <v>12</v>
      </c>
      <c r="C63" s="53">
        <f t="shared" ref="C63:AA63" si="7">PB_model*accnt_cur</f>
        <v>500000</v>
      </c>
      <c r="D63" s="53">
        <f t="shared" si="7"/>
        <v>432668.64470529614</v>
      </c>
      <c r="E63" s="53">
        <f t="shared" si="7"/>
        <v>403004.49919910124</v>
      </c>
      <c r="F63" s="53">
        <f t="shared" si="7"/>
        <v>375724.15802764957</v>
      </c>
      <c r="G63" s="53">
        <f t="shared" si="7"/>
        <v>349942.39675929444</v>
      </c>
      <c r="H63" s="53">
        <f t="shared" si="7"/>
        <v>324194.52348395693</v>
      </c>
      <c r="I63" s="53">
        <f t="shared" si="7"/>
        <v>299295.25781326526</v>
      </c>
      <c r="J63" s="53">
        <f t="shared" si="7"/>
        <v>275262.09764106158</v>
      </c>
      <c r="K63" s="53">
        <f t="shared" si="7"/>
        <v>252108.55973329736</v>
      </c>
      <c r="L63" s="53">
        <f t="shared" si="7"/>
        <v>229844.36609565682</v>
      </c>
      <c r="M63" s="53">
        <f t="shared" si="7"/>
        <v>208475.64055756992</v>
      </c>
      <c r="N63" s="53">
        <f t="shared" si="7"/>
        <v>188005.11323460625</v>
      </c>
      <c r="O63" s="53">
        <f t="shared" si="7"/>
        <v>168432.3306438117</v>
      </c>
      <c r="P63" s="53">
        <f t="shared" si="7"/>
        <v>149753.86937561361</v>
      </c>
      <c r="Q63" s="53">
        <f t="shared" si="7"/>
        <v>131963.55136843777</v>
      </c>
      <c r="R63" s="53">
        <f t="shared" si="7"/>
        <v>115052.65898514992</v>
      </c>
      <c r="S63" s="53">
        <f t="shared" si="7"/>
        <v>99010.148250927101</v>
      </c>
      <c r="T63" s="53">
        <f t="shared" si="7"/>
        <v>83822.85877742579</v>
      </c>
      <c r="U63" s="53">
        <f t="shared" si="7"/>
        <v>69475.719065491139</v>
      </c>
      <c r="V63" s="53">
        <f t="shared" si="7"/>
        <v>55951.946045740275</v>
      </c>
      <c r="W63" s="53">
        <f t="shared" si="7"/>
        <v>43233.237880931069</v>
      </c>
      <c r="X63" s="53">
        <f t="shared" si="7"/>
        <v>31299.959214117371</v>
      </c>
      <c r="Y63" s="53">
        <f t="shared" si="7"/>
        <v>20131.318200465499</v>
      </c>
      <c r="Z63" s="53">
        <f t="shared" si="7"/>
        <v>9705.534806775664</v>
      </c>
      <c r="AA63" s="53">
        <f t="shared" si="7"/>
        <v>0</v>
      </c>
    </row>
    <row r="64" spans="1:87" x14ac:dyDescent="0.3">
      <c r="A64" s="32" t="s">
        <v>13</v>
      </c>
      <c r="B64" s="33" t="s">
        <v>14</v>
      </c>
      <c r="C64" s="48">
        <f>0</f>
        <v>0</v>
      </c>
      <c r="D64" s="49">
        <f>(PB_model+regular_payment)*accnt_dlq</f>
        <v>35629.584072571794</v>
      </c>
      <c r="E64" s="49">
        <f t="shared" ref="E64:AA64" si="8">(PB_model+regular_payment)*accnt_dlq</f>
        <v>39090.9486929575</v>
      </c>
      <c r="F64" s="49">
        <f t="shared" si="8"/>
        <v>40629.413081483835</v>
      </c>
      <c r="G64" s="49">
        <f t="shared" si="8"/>
        <v>31259.140739525265</v>
      </c>
      <c r="H64" s="49">
        <f t="shared" si="8"/>
        <v>31422.533704610978</v>
      </c>
      <c r="I64" s="49">
        <f t="shared" si="8"/>
        <v>31200.776575449294</v>
      </c>
      <c r="J64" s="49">
        <f t="shared" si="8"/>
        <v>30633.485000825163</v>
      </c>
      <c r="K64" s="49">
        <f t="shared" si="8"/>
        <v>29760.006984524785</v>
      </c>
      <c r="L64" s="49">
        <f t="shared" si="8"/>
        <v>28619.115865464111</v>
      </c>
      <c r="M64" s="49">
        <f t="shared" si="8"/>
        <v>27248.725973237979</v>
      </c>
      <c r="N64" s="49">
        <f t="shared" si="8"/>
        <v>25685.632618056006</v>
      </c>
      <c r="O64" s="49">
        <f t="shared" si="8"/>
        <v>23965.277708615602</v>
      </c>
      <c r="P64" s="49">
        <f t="shared" si="8"/>
        <v>22121.541930220355</v>
      </c>
      <c r="Q64" s="49">
        <f t="shared" si="8"/>
        <v>20186.564063016318</v>
      </c>
      <c r="R64" s="49">
        <f t="shared" si="8"/>
        <v>18190.587680828801</v>
      </c>
      <c r="S64" s="49">
        <f t="shared" si="8"/>
        <v>16161.835148554816</v>
      </c>
      <c r="T64" s="49">
        <f t="shared" si="8"/>
        <v>14126.408533703468</v>
      </c>
      <c r="U64" s="49">
        <f t="shared" si="8"/>
        <v>12108.216768346516</v>
      </c>
      <c r="V64" s="49">
        <f t="shared" si="8"/>
        <v>10128.928143739708</v>
      </c>
      <c r="W64" s="49">
        <f t="shared" si="8"/>
        <v>8207.946993032112</v>
      </c>
      <c r="X64" s="49">
        <f t="shared" si="8"/>
        <v>6362.4132190912014</v>
      </c>
      <c r="Y64" s="49">
        <f t="shared" si="8"/>
        <v>4607.2231553443271</v>
      </c>
      <c r="Z64" s="49">
        <f t="shared" si="8"/>
        <v>2955.0701080100166</v>
      </c>
      <c r="AA64" s="49">
        <f t="shared" si="8"/>
        <v>0</v>
      </c>
    </row>
    <row r="65" spans="1:87" s="4" customFormat="1" x14ac:dyDescent="0.3">
      <c r="A65" s="51" t="s">
        <v>92</v>
      </c>
      <c r="B65" s="50" t="s">
        <v>93</v>
      </c>
      <c r="C65" s="51">
        <v>0</v>
      </c>
      <c r="D65" s="51">
        <v>0</v>
      </c>
      <c r="E65" s="51">
        <v>0</v>
      </c>
      <c r="F65" s="51">
        <v>0</v>
      </c>
      <c r="G65" s="51">
        <f>(PB_model +4*regular_payment)*accnt_b_def+ prev GB_DEF</f>
        <v>11610.617947946219</v>
      </c>
      <c r="H65" s="51">
        <f>(PB_model +4*regular_payment)*accnt_b_def+ prev GB_DEF</f>
        <v>13388.686167836579</v>
      </c>
      <c r="I65" s="51">
        <f>(PB_model +4*regular_payment)*accnt_b_def+ prev GB_DEF</f>
        <v>15334.580204086684</v>
      </c>
      <c r="J65" s="51">
        <f>(PB_model +4*regular_payment)*accnt_b_def+ prev GB_DEF</f>
        <v>17391.98102743462</v>
      </c>
      <c r="K65" s="51">
        <f>(PB_model +4*regular_payment)*accnt_b_def+ prev GB_DEF</f>
        <v>19510.389327121382</v>
      </c>
      <c r="L65" s="51">
        <f>(PB_model +4*regular_payment)*accnt_b_def+ prev GB_DEF</f>
        <v>21645.059929329971</v>
      </c>
      <c r="M65" s="51">
        <f>(PB_model +4*regular_payment)*accnt_b_def+ prev GB_DEF</f>
        <v>23756.890872126853</v>
      </c>
      <c r="N65" s="51">
        <f>(PB_model +4*regular_payment)*accnt_b_def+ prev GB_DEF</f>
        <v>25812.270865910883</v>
      </c>
      <c r="O65" s="51">
        <f>(PB_model +4*regular_payment)*accnt_b_def+ prev GB_DEF</f>
        <v>27782.889095094029</v>
      </c>
      <c r="P65" s="51">
        <f>(PB_model +4*regular_payment)*accnt_b_def+ prev GB_DEF</f>
        <v>29645.511485290001</v>
      </c>
      <c r="Q65" s="51">
        <f>(PB_model +4*regular_payment)*accnt_b_def+ prev GB_DEF</f>
        <v>31381.727671791567</v>
      </c>
      <c r="R65" s="51">
        <f>(PB_model +4*regular_payment)*accnt_b_def+ prev GB_DEF</f>
        <v>32977.672961411648</v>
      </c>
      <c r="S65" s="51">
        <f>(PB_model +4*regular_payment)*accnt_b_def+ prev GB_DEF</f>
        <v>34423.729583331769</v>
      </c>
      <c r="T65" s="51">
        <f>(PB_model +4*regular_payment)*accnt_b_def+ prev GB_DEF</f>
        <v>35714.211478502162</v>
      </c>
      <c r="U65" s="51">
        <f>(PB_model +4*regular_payment)*accnt_b_def+ prev GB_DEF</f>
        <v>36847.036784922253</v>
      </c>
      <c r="V65" s="51">
        <f>(PB_model +4*regular_payment)*accnt_b_def+ prev GB_DEF</f>
        <v>37823.392041761574</v>
      </c>
      <c r="W65" s="51">
        <f>(PB_model +4*regular_payment)*accnt_b_def+ prev GB_DEF</f>
        <v>38647.391963050264</v>
      </c>
      <c r="X65" s="51">
        <f>(PB_model +4*regular_payment)*accnt_b_def+ prev GB_DEF</f>
        <v>39325.738426110845</v>
      </c>
      <c r="Y65" s="51">
        <f>(PB_model +4*regular_payment)*accnt_b_def+ prev GB_DEF</f>
        <v>39867.382085715995</v>
      </c>
      <c r="Z65" s="51">
        <f>(PB_model +4*regular_payment)*accnt_b_def+ prev GB_DEF</f>
        <v>40283.18976692162</v>
      </c>
      <c r="AA65" s="51">
        <f>(PB_model +4*regular_payment)*accnt_b_def+ prev GB_DEF</f>
        <v>40585.620512429057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</row>
    <row r="66" spans="1:87" x14ac:dyDescent="0.3">
      <c r="A66" s="29"/>
      <c r="B66" s="27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1:87" ht="15.6" x14ac:dyDescent="0.3">
      <c r="A67" s="77" t="s">
        <v>96</v>
      </c>
      <c r="B67" s="27"/>
      <c r="C67" s="53"/>
      <c r="D67" s="53"/>
      <c r="E67" s="53"/>
      <c r="F67" s="53"/>
      <c r="G67" s="53"/>
      <c r="H67" s="53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87" x14ac:dyDescent="0.3">
      <c r="A68" s="45" t="s">
        <v>94</v>
      </c>
      <c r="B68" s="27" t="s">
        <v>97</v>
      </c>
      <c r="C68" s="53">
        <f t="shared" ref="C68" si="9">interest+recovery_st</f>
        <v>0</v>
      </c>
      <c r="D68" s="53">
        <f t="shared" ref="D68:AA68" si="10">interest+recovery_st+insurance</f>
        <v>14000</v>
      </c>
      <c r="E68" s="53">
        <f t="shared" si="10"/>
        <v>11689.990237058182</v>
      </c>
      <c r="F68" s="53">
        <f t="shared" si="10"/>
        <v>11033.223967550019</v>
      </c>
      <c r="G68" s="53">
        <f t="shared" si="10"/>
        <v>12711.046488356067</v>
      </c>
      <c r="H68" s="53">
        <f t="shared" si="10"/>
        <v>9870.3289732429166</v>
      </c>
      <c r="I68" s="53">
        <f t="shared" si="10"/>
        <v>9264.2020341678417</v>
      </c>
      <c r="J68" s="53">
        <f t="shared" si="10"/>
        <v>8658.5865260661503</v>
      </c>
      <c r="K68" s="53">
        <f t="shared" si="10"/>
        <v>8056.0548117684311</v>
      </c>
      <c r="L68" s="53">
        <f t="shared" si="10"/>
        <v>7459.0600496693669</v>
      </c>
      <c r="M68" s="53">
        <f t="shared" si="10"/>
        <v>6869.9242592219762</v>
      </c>
      <c r="N68" s="53">
        <f t="shared" si="10"/>
        <v>6290.8279434126707</v>
      </c>
      <c r="O68" s="53">
        <f t="shared" si="10"/>
        <v>5723.8012957717856</v>
      </c>
      <c r="P68" s="53">
        <f t="shared" si="10"/>
        <v>5170.7170016985947</v>
      </c>
      <c r="Q68" s="53">
        <f t="shared" si="10"/>
        <v>4633.2846268431131</v>
      </c>
      <c r="R68" s="53">
        <f t="shared" si="10"/>
        <v>4113.0465691696736</v>
      </c>
      <c r="S68" s="53">
        <f t="shared" si="10"/>
        <v>3611.3755362879879</v>
      </c>
      <c r="T68" s="53">
        <f t="shared" si="10"/>
        <v>3129.4734958110503</v>
      </c>
      <c r="U68" s="53">
        <f t="shared" si="10"/>
        <v>2668.372033996709</v>
      </c>
      <c r="V68" s="53">
        <f t="shared" si="10"/>
        <v>2228.9340468371652</v>
      </c>
      <c r="W68" s="53">
        <f t="shared" si="10"/>
        <v>1811.8566781399632</v>
      </c>
      <c r="X68" s="53">
        <f t="shared" si="10"/>
        <v>1417.675411033239</v>
      </c>
      <c r="Y68" s="53">
        <f t="shared" si="10"/>
        <v>1046.7692127418859</v>
      </c>
      <c r="Z68" s="53">
        <f t="shared" si="10"/>
        <v>699.36662741316252</v>
      </c>
      <c r="AA68" s="53">
        <f t="shared" si="10"/>
        <v>375.55270819269327</v>
      </c>
    </row>
    <row r="69" spans="1:87" x14ac:dyDescent="0.3">
      <c r="A69" s="32" t="s">
        <v>34</v>
      </c>
      <c r="B69" s="33" t="s">
        <v>34</v>
      </c>
      <c r="C69" s="53">
        <f>0</f>
        <v>0</v>
      </c>
      <c r="D69" s="53">
        <f>prev PB_act*interest_rate/12</f>
        <v>10000</v>
      </c>
      <c r="E69" s="53">
        <f>prev PB_act*interest_rate/12</f>
        <v>9351.9921896465457</v>
      </c>
      <c r="F69" s="53">
        <f>prev PB_act*interest_rate/12</f>
        <v>8826.5791740400145</v>
      </c>
      <c r="G69" s="53">
        <f>prev PB_act*interest_rate/12</f>
        <v>8311.1383190134584</v>
      </c>
      <c r="H69" s="53">
        <f>prev PB_act*interest_rate/12</f>
        <v>7611.7722634118754</v>
      </c>
      <c r="I69" s="53">
        <f>prev PB_act*interest_rate/12</f>
        <v>7100.0185815342556</v>
      </c>
      <c r="J69" s="53">
        <f>prev PB_act*interest_rate/12</f>
        <v>6597.6850891172508</v>
      </c>
      <c r="K69" s="53">
        <f>prev PB_act*interest_rate/12</f>
        <v>6105.8985214648628</v>
      </c>
      <c r="L69" s="53">
        <f>prev PB_act*interest_rate/12</f>
        <v>5625.7007433821191</v>
      </c>
      <c r="M69" s="53">
        <f>prev PB_act*interest_rate/12</f>
        <v>5158.0464565300799</v>
      </c>
      <c r="N69" s="53">
        <f>prev PB_act*interest_rate/12</f>
        <v>4703.8015557246918</v>
      </c>
      <c r="O69" s="53">
        <f>prev PB_act*interest_rate/12</f>
        <v>4263.742119948125</v>
      </c>
      <c r="P69" s="53">
        <f>prev PB_act*interest_rate/12</f>
        <v>3838.5540189275202</v>
      </c>
      <c r="Q69" s="53">
        <f>prev PB_act*interest_rate/12</f>
        <v>3428.8331116342397</v>
      </c>
      <c r="R69" s="53">
        <f>prev PB_act*interest_rate/12</f>
        <v>3035.0860089965263</v>
      </c>
      <c r="S69" s="53">
        <f>prev PB_act*interest_rate/12</f>
        <v>2657.731369523171</v>
      </c>
      <c r="T69" s="53">
        <f>prev PB_act*interest_rate/12</f>
        <v>2297.1016934215772</v>
      </c>
      <c r="U69" s="53">
        <f>prev PB_act*interest_rate/12</f>
        <v>1953.4455781701524</v>
      </c>
      <c r="V69" s="53">
        <f>prev PB_act*interest_rate/12</f>
        <v>1626.9303963754408</v>
      </c>
      <c r="W69" s="53">
        <f>prev PB_act*interest_rate/12</f>
        <v>1317.64535510578</v>
      </c>
      <c r="X69" s="53">
        <f>prev PB_act*interest_rate/12</f>
        <v>1025.6048947368981</v>
      </c>
      <c r="Y69" s="53">
        <f>prev PB_act*interest_rate/12</f>
        <v>750.75238465668474</v>
      </c>
      <c r="Z69" s="53">
        <f>prev PB_act*interest_rate/12</f>
        <v>492.96407293763014</v>
      </c>
      <c r="AA69" s="53">
        <f>prev PB_act*interest_rate/12</f>
        <v>252.05324727296457</v>
      </c>
    </row>
    <row r="70" spans="1:87" x14ac:dyDescent="0.3">
      <c r="A70" s="32" t="s">
        <v>66</v>
      </c>
      <c r="B70" s="33" t="s">
        <v>106</v>
      </c>
      <c r="C70" s="53">
        <v>0</v>
      </c>
      <c r="D70" s="53">
        <f>(GB_DEF-prev GB_DEF)*recovery</f>
        <v>0</v>
      </c>
      <c r="E70" s="53">
        <f>(GB_DEF-prev GB_DEF)*recovery</f>
        <v>0</v>
      </c>
      <c r="F70" s="53">
        <f>(GB_DEF-prev GB_DEF)*recovery</f>
        <v>0</v>
      </c>
      <c r="G70" s="53">
        <f>(GB_DEF-prev GB_DEF)*recovery</f>
        <v>2322.1235895892437</v>
      </c>
      <c r="H70" s="53">
        <f>(GB_DEF-prev GB_DEF)*recovery</f>
        <v>355.61364397807193</v>
      </c>
      <c r="I70" s="53">
        <f>(GB_DEF-prev GB_DEF)*recovery</f>
        <v>389.17880725002107</v>
      </c>
      <c r="J70" s="53">
        <f>(GB_DEF-prev GB_DEF)*recovery</f>
        <v>411.48016466958728</v>
      </c>
      <c r="K70" s="53">
        <f>(GB_DEF-prev GB_DEF)*recovery</f>
        <v>423.68165993735238</v>
      </c>
      <c r="L70" s="53">
        <f>(GB_DEF-prev GB_DEF)*recovery</f>
        <v>426.93412044171782</v>
      </c>
      <c r="M70" s="53">
        <f>(GB_DEF-prev GB_DEF)*recovery</f>
        <v>422.36618855937633</v>
      </c>
      <c r="N70" s="53">
        <f>(GB_DEF-prev GB_DEF)*recovery</f>
        <v>411.07599875680609</v>
      </c>
      <c r="O70" s="53">
        <f>(GB_DEF-prev GB_DEF)*recovery</f>
        <v>394.12364583662929</v>
      </c>
      <c r="P70" s="53">
        <f>(GB_DEF-prev GB_DEF)*recovery</f>
        <v>372.52447803919426</v>
      </c>
      <c r="Q70" s="53">
        <f>(GB_DEF-prev GB_DEF)*recovery</f>
        <v>347.24323730031324</v>
      </c>
      <c r="R70" s="53">
        <f>(GB_DEF-prev GB_DEF)*recovery</f>
        <v>319.18905792401642</v>
      </c>
      <c r="S70" s="53">
        <f>(GB_DEF-prev GB_DEF)*recovery</f>
        <v>289.21132438402418</v>
      </c>
      <c r="T70" s="53">
        <f>(GB_DEF-prev GB_DEF)*recovery</f>
        <v>258.09637903407855</v>
      </c>
      <c r="U70" s="53">
        <f>(GB_DEF-prev GB_DEF)*recovery</f>
        <v>226.56506128401816</v>
      </c>
      <c r="V70" s="53">
        <f>(GB_DEF-prev GB_DEF)*recovery</f>
        <v>195.27105136786415</v>
      </c>
      <c r="W70" s="53">
        <f>(GB_DEF-prev GB_DEF)*recovery</f>
        <v>164.79998425773812</v>
      </c>
      <c r="X70" s="53">
        <f>(GB_DEF-prev GB_DEF)*recovery</f>
        <v>135.66929261211627</v>
      </c>
      <c r="Y70" s="53">
        <f>(GB_DEF-prev GB_DEF)*recovery</f>
        <v>108.32873192102998</v>
      </c>
      <c r="Z70" s="53">
        <f>(GB_DEF-prev GB_DEF)*recovery</f>
        <v>83.16153624112485</v>
      </c>
      <c r="AA70" s="53">
        <f>(GB_DEF-prev GB_DEF)*recovery</f>
        <v>60.486149101487541</v>
      </c>
    </row>
    <row r="71" spans="1:87" x14ac:dyDescent="0.3">
      <c r="A71" s="29" t="s">
        <v>122</v>
      </c>
      <c r="B71" s="27" t="s">
        <v>122</v>
      </c>
      <c r="C71" s="82">
        <v>0</v>
      </c>
      <c r="D71" s="81">
        <f>prev PB_act*0.8*0.01</f>
        <v>4000</v>
      </c>
      <c r="E71" s="81">
        <f>prev PB_act*0.5*0.01</f>
        <v>2337.9980474116364</v>
      </c>
      <c r="F71" s="81">
        <f>prev PB_act*0.5*0.01</f>
        <v>2206.6447935100036</v>
      </c>
      <c r="G71" s="81">
        <f>prev PB_act*0.5*0.01</f>
        <v>2077.7845797533646</v>
      </c>
      <c r="H71" s="81">
        <f>prev PB_act*0.5*0.01</f>
        <v>1902.9430658529689</v>
      </c>
      <c r="I71" s="81">
        <f>prev PB_act*0.5*0.01</f>
        <v>1775.0046453835641</v>
      </c>
      <c r="J71" s="81">
        <f>prev PB_act*0.5*0.01</f>
        <v>1649.4212722793129</v>
      </c>
      <c r="K71" s="81">
        <f>prev PB_act*0.5*0.01</f>
        <v>1526.4746303662157</v>
      </c>
      <c r="L71" s="81">
        <f>prev PB_act*0.5*0.01</f>
        <v>1406.4251858455298</v>
      </c>
      <c r="M71" s="81">
        <f>prev PB_act*0.5*0.01</f>
        <v>1289.51161413252</v>
      </c>
      <c r="N71" s="81">
        <f>prev PB_act*0.5*0.01</f>
        <v>1175.9503889311729</v>
      </c>
      <c r="O71" s="81">
        <f>prev PB_act*0.5*0.01</f>
        <v>1065.9355299870313</v>
      </c>
      <c r="P71" s="81">
        <f>prev PB_act*0.5*0.01</f>
        <v>959.63850473188006</v>
      </c>
      <c r="Q71" s="81">
        <f>prev PB_act*0.5*0.01</f>
        <v>857.20827790856004</v>
      </c>
      <c r="R71" s="81">
        <f>prev PB_act*0.5*0.01</f>
        <v>758.77150224913157</v>
      </c>
      <c r="S71" s="81">
        <f>prev PB_act*0.5*0.01</f>
        <v>664.43284238079275</v>
      </c>
      <c r="T71" s="81">
        <f>prev PB_act*0.5*0.01</f>
        <v>574.27542335539442</v>
      </c>
      <c r="U71" s="81">
        <f>prev PB_act*0.5*0.01</f>
        <v>488.36139454253811</v>
      </c>
      <c r="V71" s="81">
        <f>prev PB_act*0.5*0.01</f>
        <v>406.73259909386019</v>
      </c>
      <c r="W71" s="81">
        <f>prev PB_act*0.5*0.01</f>
        <v>329.41133877644506</v>
      </c>
      <c r="X71" s="81">
        <f>prev PB_act*0.5*0.01</f>
        <v>256.40122368422453</v>
      </c>
      <c r="Y71" s="81">
        <f>prev PB_act*0.5*0.01</f>
        <v>187.68809616417118</v>
      </c>
      <c r="Z71" s="81">
        <f>prev PB_act*0.5*0.01</f>
        <v>123.24101823440753</v>
      </c>
      <c r="AA71" s="81">
        <f>prev PB_act*0.5*0.01</f>
        <v>63.013311818241149</v>
      </c>
    </row>
    <row r="72" spans="1:87" ht="15.6" x14ac:dyDescent="0.3">
      <c r="A72" s="77" t="s">
        <v>95</v>
      </c>
      <c r="B72" s="27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87" x14ac:dyDescent="0.3">
      <c r="A73" s="45" t="s">
        <v>95</v>
      </c>
      <c r="B73" s="54" t="s">
        <v>112</v>
      </c>
      <c r="C73" s="53">
        <f t="shared" ref="C73:AA73" si="11">Loan_Loss+Cost_of_Funds+Operation_cost+collect_cost</f>
        <v>0</v>
      </c>
      <c r="D73" s="53">
        <f t="shared" si="11"/>
        <v>6297.916666666667</v>
      </c>
      <c r="E73" s="53">
        <f t="shared" si="11"/>
        <v>5936.3388179199046</v>
      </c>
      <c r="F73" s="53">
        <f t="shared" si="11"/>
        <v>5614.0273470020402</v>
      </c>
      <c r="G73" s="53">
        <f t="shared" si="11"/>
        <v>16906.416156866053</v>
      </c>
      <c r="H73" s="53">
        <f t="shared" si="11"/>
        <v>6636.0149054633312</v>
      </c>
      <c r="I73" s="53">
        <f t="shared" si="11"/>
        <v>6476.7531153408509</v>
      </c>
      <c r="J73" s="53">
        <f t="shared" si="11"/>
        <v>6275.9123118150937</v>
      </c>
      <c r="K73" s="53">
        <f t="shared" si="11"/>
        <v>6030.6901879012994</v>
      </c>
      <c r="L73" s="53">
        <f t="shared" si="11"/>
        <v>5747.518655232876</v>
      </c>
      <c r="M73" s="53">
        <f t="shared" si="11"/>
        <v>5432.6650540671008</v>
      </c>
      <c r="N73" s="53">
        <f t="shared" si="11"/>
        <v>5092.1892771464172</v>
      </c>
      <c r="O73" s="53">
        <f t="shared" si="11"/>
        <v>4731.9052549861626</v>
      </c>
      <c r="P73" s="53">
        <f t="shared" si="11"/>
        <v>4357.3469607178968</v>
      </c>
      <c r="Q73" s="53">
        <f t="shared" si="11"/>
        <v>3973.7390325550277</v>
      </c>
      <c r="R73" s="53">
        <f t="shared" si="11"/>
        <v>3585.9720539944683</v>
      </c>
      <c r="S73" s="53">
        <f t="shared" si="11"/>
        <v>3198.5824766895903</v>
      </c>
      <c r="T73" s="53">
        <f t="shared" si="11"/>
        <v>2815.7371191120774</v>
      </c>
      <c r="U73" s="53">
        <f t="shared" si="11"/>
        <v>2441.222126165409</v>
      </c>
      <c r="V73" s="53">
        <f t="shared" si="11"/>
        <v>2078.4362312365656</v>
      </c>
      <c r="W73" s="53">
        <f t="shared" si="11"/>
        <v>1730.3881231028711</v>
      </c>
      <c r="X73" s="53">
        <f t="shared" si="11"/>
        <v>1399.6976858888374</v>
      </c>
      <c r="Y73" s="53">
        <f t="shared" si="11"/>
        <v>1088.6008510475576</v>
      </c>
      <c r="Z73" s="53">
        <f t="shared" si="11"/>
        <v>798.9577761959988</v>
      </c>
      <c r="AA73" s="53">
        <f t="shared" si="11"/>
        <v>532.2640465574317</v>
      </c>
    </row>
    <row r="74" spans="1:87" x14ac:dyDescent="0.3">
      <c r="A74" s="32" t="s">
        <v>16</v>
      </c>
      <c r="B74" s="33" t="s">
        <v>102</v>
      </c>
      <c r="C74" s="53">
        <f>Cost_of_Funds+operational_cost+collect_cost</f>
        <v>0</v>
      </c>
      <c r="D74" s="53">
        <f>GB_DEF-prev GB_DEF</f>
        <v>0</v>
      </c>
      <c r="E74" s="53">
        <f>GB_DEF-prev GB_DEF</f>
        <v>0</v>
      </c>
      <c r="F74" s="53">
        <f>GB_DEF-prev GB_DEF</f>
        <v>0</v>
      </c>
      <c r="G74" s="53">
        <f>GB_DEF-prev GB_DEF</f>
        <v>11610.617947946219</v>
      </c>
      <c r="H74" s="53">
        <f>GB_DEF-prev GB_DEF</f>
        <v>1778.0682198903596</v>
      </c>
      <c r="I74" s="53">
        <f>GB_DEF-prev GB_DEF</f>
        <v>1945.8940362501053</v>
      </c>
      <c r="J74" s="53">
        <f>GB_DEF-prev GB_DEF</f>
        <v>2057.4008233479362</v>
      </c>
      <c r="K74" s="53">
        <f>GB_DEF-prev GB_DEF</f>
        <v>2118.4082996867619</v>
      </c>
      <c r="L74" s="53">
        <f>GB_DEF-prev GB_DEF</f>
        <v>2134.6706022085891</v>
      </c>
      <c r="M74" s="53">
        <f>GB_DEF-prev GB_DEF</f>
        <v>2111.8309427968816</v>
      </c>
      <c r="N74" s="53">
        <f>GB_DEF-prev GB_DEF</f>
        <v>2055.3799937840304</v>
      </c>
      <c r="O74" s="53">
        <f>GB_DEF-prev GB_DEF</f>
        <v>1970.6182291831465</v>
      </c>
      <c r="P74" s="53">
        <f>GB_DEF-prev GB_DEF</f>
        <v>1862.6223901959711</v>
      </c>
      <c r="Q74" s="53">
        <f>GB_DEF-prev GB_DEF</f>
        <v>1736.216186501566</v>
      </c>
      <c r="R74" s="53">
        <f>GB_DEF-prev GB_DEF</f>
        <v>1595.9452896200819</v>
      </c>
      <c r="S74" s="53">
        <f>GB_DEF-prev GB_DEF</f>
        <v>1446.056621920121</v>
      </c>
      <c r="T74" s="53">
        <f>GB_DEF-prev GB_DEF</f>
        <v>1290.4818951703928</v>
      </c>
      <c r="U74" s="53">
        <f>GB_DEF-prev GB_DEF</f>
        <v>1132.8253064200908</v>
      </c>
      <c r="V74" s="53">
        <f>GB_DEF-prev GB_DEF</f>
        <v>976.35525683932065</v>
      </c>
      <c r="W74" s="53">
        <f>GB_DEF-prev GB_DEF</f>
        <v>823.99992128869053</v>
      </c>
      <c r="X74" s="53">
        <f>GB_DEF-prev GB_DEF</f>
        <v>678.3464630605813</v>
      </c>
      <c r="Y74" s="53">
        <f>GB_DEF-prev GB_DEF</f>
        <v>541.64365960514988</v>
      </c>
      <c r="Z74" s="53">
        <f>GB_DEF-prev GB_DEF</f>
        <v>415.80768120562425</v>
      </c>
      <c r="AA74" s="53">
        <f>GB_DEF-prev GB_DEF</f>
        <v>302.43074550743768</v>
      </c>
    </row>
    <row r="75" spans="1:87" x14ac:dyDescent="0.3">
      <c r="A75" s="32" t="s">
        <v>15</v>
      </c>
      <c r="B75" s="33" t="s">
        <v>98</v>
      </c>
      <c r="C75" s="53">
        <f>IF(statement_no=0,0,prev AT1_req*At1_int_rate/12)</f>
        <v>0</v>
      </c>
      <c r="D75" s="53">
        <f>(1-Equity_Req)*prev GB_act*CoF/12</f>
        <v>6197.916666666667</v>
      </c>
      <c r="E75" s="53">
        <f>(1-Equity_Req)*prev GB_act*CoF/12</f>
        <v>5804.9467942256551</v>
      </c>
      <c r="F75" s="53">
        <f>(1-Equity_Req)*prev GB_act*CoF/12</f>
        <v>5480.1414894953123</v>
      </c>
      <c r="G75" s="53">
        <f>(1-Equity_Req)*prev GB_act*CoF/12</f>
        <v>5161.0494752069671</v>
      </c>
      <c r="H75" s="53">
        <f>(1-Equity_Req)*prev GB_act*CoF/12</f>
        <v>4725.3107252457858</v>
      </c>
      <c r="I75" s="53">
        <f>(1-Equity_Req)*prev GB_act*CoF/12</f>
        <v>4408.1697713999574</v>
      </c>
      <c r="J75" s="53">
        <f>(1-Equity_Req)*prev GB_act*CoF/12</f>
        <v>4096.7737596101078</v>
      </c>
      <c r="K75" s="53">
        <f>(1-Equity_Req)*prev GB_act*CoF/12</f>
        <v>3791.8306598317213</v>
      </c>
      <c r="L75" s="53">
        <f>(1-Equity_Req)*prev GB_act*CoF/12</f>
        <v>3493.9957749396708</v>
      </c>
      <c r="M75" s="53">
        <f>(1-Equity_Req)*prev GB_act*CoF/12</f>
        <v>3203.8702451430618</v>
      </c>
      <c r="N75" s="53">
        <f>(1-Equity_Req)*prev GB_act*CoF/12</f>
        <v>2921.9999601214731</v>
      </c>
      <c r="O75" s="53">
        <f>(1-Equity_Req)*prev GB_act*CoF/12</f>
        <v>2648.8748704652926</v>
      </c>
      <c r="P75" s="53">
        <f>(1-Equity_Req)*prev GB_act*CoF/12</f>
        <v>2384.9286868686304</v>
      </c>
      <c r="Q75" s="53">
        <f>(1-Equity_Req)*prev GB_act*CoF/12</f>
        <v>2130.5389526452332</v>
      </c>
      <c r="R75" s="53">
        <f>(1-Equity_Req)*prev GB_act*CoF/12</f>
        <v>1886.0274725357333</v>
      </c>
      <c r="S75" s="53">
        <f>(1-Equity_Req)*prev GB_act*CoF/12</f>
        <v>1651.6610784636948</v>
      </c>
      <c r="T75" s="53">
        <f>(1-Equity_Req)*prev GB_act*CoF/12</f>
        <v>1427.6527108894113</v>
      </c>
      <c r="U75" s="53">
        <f>(1-Equity_Req)*prev GB_act*CoF/12</f>
        <v>1214.1627927108732</v>
      </c>
      <c r="V75" s="53">
        <f>(1-Equity_Req)*prev GB_act*CoF/12</f>
        <v>1011.3008712736129</v>
      </c>
      <c r="W75" s="53">
        <f>(1-Equity_Req)*prev GB_act*CoF/12</f>
        <v>819.12750297376226</v>
      </c>
      <c r="X75" s="53">
        <f>(1-Equity_Req)*prev GB_act*CoF/12</f>
        <v>637.65635416683529</v>
      </c>
      <c r="Y75" s="53">
        <f>(1-Equity_Req)*prev GB_act*CoF/12</f>
        <v>466.85649161998123</v>
      </c>
      <c r="Z75" s="53">
        <f>(1-Equity_Req)*prev GB_act*CoF/12</f>
        <v>306.65483555639264</v>
      </c>
      <c r="AA75" s="53">
        <f>(1-Equity_Req)*prev GB_act*CoF/12</f>
        <v>156.93874842286417</v>
      </c>
    </row>
    <row r="76" spans="1:87" x14ac:dyDescent="0.3">
      <c r="A76" s="32" t="s">
        <v>99</v>
      </c>
      <c r="B76" s="33" t="s">
        <v>105</v>
      </c>
      <c r="C76" s="53">
        <f>0</f>
        <v>0</v>
      </c>
      <c r="D76" s="53">
        <f>prev accnt_act*oper_cost</f>
        <v>100</v>
      </c>
      <c r="E76" s="53">
        <f>prev accnt_act*oper_cost</f>
        <v>96.46105891721767</v>
      </c>
      <c r="F76" s="53">
        <f>prev accnt_act*oper_cost</f>
        <v>94.258813589362177</v>
      </c>
      <c r="G76" s="53">
        <f>prev accnt_act*oper_cost</f>
        <v>92.082986542082438</v>
      </c>
      <c r="H76" s="53">
        <f>prev accnt_act*oper_cost</f>
        <v>87.77143080002935</v>
      </c>
      <c r="I76" s="53">
        <f>prev accnt_act*oper_cost</f>
        <v>85.346131133371969</v>
      </c>
      <c r="J76" s="53">
        <f>prev accnt_act*oper_cost</f>
        <v>82.898385824016188</v>
      </c>
      <c r="K76" s="53">
        <f>prev accnt_act*oper_cost</f>
        <v>80.434487066854217</v>
      </c>
      <c r="L76" s="53">
        <f>prev accnt_act*oper_cost</f>
        <v>77.960555800442435</v>
      </c>
      <c r="M76" s="53">
        <f>prev accnt_act*oper_cost</f>
        <v>75.48252038237797</v>
      </c>
      <c r="N76" s="53">
        <f>prev accnt_act*oper_cost</f>
        <v>73.006097249731212</v>
      </c>
      <c r="O76" s="53">
        <f>prev accnt_act*oper_cost</f>
        <v>70.536773610592931</v>
      </c>
      <c r="P76" s="53">
        <f>prev accnt_act*oper_cost</f>
        <v>68.079792194248867</v>
      </c>
      <c r="Q76" s="53">
        <f>prev accnt_act*oper_cost</f>
        <v>65.640138069606536</v>
      </c>
      <c r="R76" s="53">
        <f>prev accnt_act*oper_cost</f>
        <v>63.222527524421281</v>
      </c>
      <c r="S76" s="53">
        <f>prev accnt_act*oper_cost</f>
        <v>60.831398981736363</v>
      </c>
      <c r="T76" s="53">
        <f>prev accnt_act*oper_cost</f>
        <v>58.470905914881691</v>
      </c>
      <c r="U76" s="53">
        <f>prev accnt_act*oper_cost</f>
        <v>56.144911708465294</v>
      </c>
      <c r="V76" s="53">
        <f>prev accnt_act*oper_cost</f>
        <v>53.856986400120689</v>
      </c>
      <c r="W76" s="53">
        <f>prev accnt_act*oper_cost</f>
        <v>51.61040522639945</v>
      </c>
      <c r="X76" s="53">
        <f>prev accnt_act*oper_cost</f>
        <v>49.408148886166174</v>
      </c>
      <c r="Y76" s="53">
        <f>prev accnt_act*oper_cost</f>
        <v>47.252905426182537</v>
      </c>
      <c r="Z76" s="53">
        <f>prev accnt_act*oper_cost</f>
        <v>45.147073646267977</v>
      </c>
      <c r="AA76" s="53">
        <f>prev accnt_act*oper_cost</f>
        <v>43.092767915485403</v>
      </c>
    </row>
    <row r="77" spans="1:87" x14ac:dyDescent="0.3">
      <c r="A77" s="32" t="s">
        <v>100</v>
      </c>
      <c r="B77" s="33" t="s">
        <v>101</v>
      </c>
      <c r="C77" s="53">
        <v>0</v>
      </c>
      <c r="D77" s="53">
        <f>(prev accnt_dlq+prev accnt_b_def)*collection_cost</f>
        <v>0</v>
      </c>
      <c r="E77" s="53">
        <f>(prev accnt_dlq+prev accnt_b_def)*collection_cost</f>
        <v>34.930964777031171</v>
      </c>
      <c r="F77" s="53">
        <f>(prev accnt_dlq+prev accnt_b_def)*collection_cost</f>
        <v>39.627043917366059</v>
      </c>
      <c r="G77" s="53">
        <f>(prev accnt_dlq+prev accnt_b_def)*collection_cost</f>
        <v>42.66574717078278</v>
      </c>
      <c r="H77" s="53">
        <f>(prev accnt_dlq+prev accnt_b_def)*collection_cost</f>
        <v>44.864529527156357</v>
      </c>
      <c r="I77" s="53">
        <f>(prev accnt_dlq+prev accnt_b_def)*collection_cost</f>
        <v>37.343176557416363</v>
      </c>
      <c r="J77" s="53">
        <f>(prev accnt_dlq+prev accnt_b_def)*collection_cost</f>
        <v>38.839343033033067</v>
      </c>
      <c r="K77" s="53">
        <f>(prev accnt_dlq+prev accnt_b_def)*collection_cost</f>
        <v>40.016741315962378</v>
      </c>
      <c r="L77" s="53">
        <f>(prev accnt_dlq+prev accnt_b_def)*collection_cost</f>
        <v>40.891722284173582</v>
      </c>
      <c r="M77" s="53">
        <f>(prev accnt_dlq+prev accnt_b_def)*collection_cost</f>
        <v>41.481345744779347</v>
      </c>
      <c r="N77" s="53">
        <f>(prev accnt_dlq+prev accnt_b_def)*collection_cost</f>
        <v>41.803225991182345</v>
      </c>
      <c r="O77" s="53">
        <f>(prev accnt_dlq+prev accnt_b_def)*collection_cost</f>
        <v>41.875381727130595</v>
      </c>
      <c r="P77" s="53">
        <f>(prev accnt_dlq+prev accnt_b_def)*collection_cost</f>
        <v>41.716091459046787</v>
      </c>
      <c r="Q77" s="53">
        <f>(prev accnt_dlq+prev accnt_b_def)*collection_cost</f>
        <v>41.343755338621889</v>
      </c>
      <c r="R77" s="53">
        <f>(prev accnt_dlq+prev accnt_b_def)*collection_cost</f>
        <v>40.776764314232175</v>
      </c>
      <c r="S77" s="53">
        <f>(prev accnt_dlq+prev accnt_b_def)*collection_cost</f>
        <v>40.033377324037922</v>
      </c>
      <c r="T77" s="53">
        <f>(prev accnt_dlq+prev accnt_b_def)*collection_cost</f>
        <v>39.131607137391306</v>
      </c>
      <c r="U77" s="53">
        <f>(prev accnt_dlq+prev accnt_b_def)*collection_cost</f>
        <v>38.089115325979733</v>
      </c>
      <c r="V77" s="53">
        <f>(prev accnt_dlq+prev accnt_b_def)*collection_cost</f>
        <v>36.923116723511484</v>
      </c>
      <c r="W77" s="53">
        <f>(prev accnt_dlq+prev accnt_b_def)*collection_cost</f>
        <v>35.6502936140188</v>
      </c>
      <c r="X77" s="53">
        <f>(prev accnt_dlq+prev accnt_b_def)*collection_cost</f>
        <v>34.286719775254767</v>
      </c>
      <c r="Y77" s="53">
        <f>(prev accnt_dlq+prev accnt_b_def)*collection_cost</f>
        <v>32.847794396244126</v>
      </c>
      <c r="Z77" s="53">
        <f>(prev accnt_dlq+prev accnt_b_def)*collection_cost</f>
        <v>31.348185787713959</v>
      </c>
      <c r="AA77" s="53">
        <f>(prev accnt_dlq+prev accnt_b_def)*collection_cost</f>
        <v>29.801784711644462</v>
      </c>
    </row>
    <row r="78" spans="1:87" x14ac:dyDescent="0.3">
      <c r="A78" s="55"/>
      <c r="B78" s="56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87" ht="15.6" x14ac:dyDescent="0.3">
      <c r="A79" s="77" t="s">
        <v>47</v>
      </c>
      <c r="B79" s="27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58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87" x14ac:dyDescent="0.3">
      <c r="A80" s="59" t="s">
        <v>42</v>
      </c>
      <c r="B80" s="60" t="s">
        <v>48</v>
      </c>
      <c r="C80" s="51">
        <f>C68</f>
        <v>0</v>
      </c>
      <c r="D80" s="51">
        <f>(prev GB_act- GB_act)+(prev GB_DEF - GB_DEF)+Gross_profit</f>
        <v>45701.771222132083</v>
      </c>
      <c r="E80" s="51">
        <f>(prev GB_act- GB_act)+(prev GB_DEF - GB_DEF)+Gross_profit</f>
        <v>37892.771122867343</v>
      </c>
      <c r="F80" s="51">
        <f>(prev GB_act- GB_act)+(prev GB_DEF - GB_DEF)+Gross_profit</f>
        <v>36775.100750475351</v>
      </c>
      <c r="G80" s="51">
        <f>(prev GB_act- GB_act)+(prev GB_DEF - GB_DEF)+Gross_profit</f>
        <v>36252.462150723572</v>
      </c>
      <c r="H80" s="51">
        <f>(prev GB_act- GB_act)+(prev GB_DEF - GB_DEF)+Gross_profit</f>
        <v>33676.741063604321</v>
      </c>
      <c r="I80" s="51">
        <f>(prev GB_act- GB_act)+(prev GB_DEF - GB_DEF)+Gross_profit</f>
        <v>32439.330797771145</v>
      </c>
      <c r="J80" s="51">
        <f>(prev GB_act- GB_act)+(prev GB_DEF - GB_DEF)+Gross_profit</f>
        <v>31201.637449546019</v>
      </c>
      <c r="K80" s="51">
        <f>(prev GB_act- GB_act)+(prev GB_DEF - GB_DEF)+Gross_profit</f>
        <v>29964.662436146227</v>
      </c>
      <c r="L80" s="51">
        <f>(prev GB_act- GB_act)+(prev GB_DEF - GB_DEF)+Gross_profit</f>
        <v>28729.474204162001</v>
      </c>
      <c r="M80" s="51">
        <f>(prev GB_act- GB_act)+(prev GB_DEF - GB_DEF)+Gross_profit</f>
        <v>27497.208746738143</v>
      </c>
      <c r="N80" s="51">
        <f>(prev GB_act- GB_act)+(prev GB_DEF - GB_DEF)+Gross_profit</f>
        <v>26269.068627774283</v>
      </c>
      <c r="O80" s="51">
        <f>(prev GB_act- GB_act)+(prev GB_DEF - GB_DEF)+Gross_profit</f>
        <v>25046.320566823575</v>
      </c>
      <c r="P80" s="51">
        <f>(prev GB_act- GB_act)+(prev GB_DEF - GB_DEF)+Gross_profit</f>
        <v>23830.291658095979</v>
      </c>
      <c r="Q80" s="51">
        <f>(prev GB_act- GB_act)+(prev GB_DEF - GB_DEF)+Gross_profit</f>
        <v>22622.364314721413</v>
      </c>
      <c r="R80" s="51">
        <f>(prev GB_act- GB_act)+(prev GB_DEF - GB_DEF)+Gross_profit</f>
        <v>21423.970045024966</v>
      </c>
      <c r="S80" s="51">
        <f>(prev GB_act- GB_act)+(prev GB_DEF - GB_DEF)+Gross_profit</f>
        <v>20236.582180864665</v>
      </c>
      <c r="T80" s="51">
        <f>(prev GB_act- GB_act)+(prev GB_DEF - GB_DEF)+Gross_profit</f>
        <v>19061.707688993323</v>
      </c>
      <c r="U80" s="51">
        <f>(prev GB_act- GB_act)+(prev GB_DEF - GB_DEF)+Gross_profit</f>
        <v>17900.878204868208</v>
      </c>
      <c r="V80" s="51">
        <f>(prev GB_act- GB_act)+(prev GB_DEF - GB_DEF)+Gross_profit</f>
        <v>16755.640434355533</v>
      </c>
      <c r="W80" s="51">
        <f>(prev GB_act- GB_act)+(prev GB_DEF - GB_DEF)+Gross_profit</f>
        <v>15627.546072368066</v>
      </c>
      <c r="X80" s="51">
        <f>(prev GB_act- GB_act)+(prev GB_DEF - GB_DEF)+Gross_profit</f>
        <v>14518.14138872727</v>
      </c>
      <c r="Y80" s="51">
        <f>(prev GB_act- GB_act)+(prev GB_DEF - GB_DEF)+Gross_profit</f>
        <v>13428.956630535478</v>
      </c>
      <c r="Z80" s="51">
        <f>(prev GB_act- GB_act)+(prev GB_DEF - GB_DEF)+Gross_profit</f>
        <v>12361.495387231684</v>
      </c>
      <c r="AA80" s="51">
        <f>(prev GB_act- GB_act)+(prev GB_DEF - GB_DEF)+Gross_profit</f>
        <v>12733.726877470937</v>
      </c>
    </row>
    <row r="81" spans="1:87" x14ac:dyDescent="0.3">
      <c r="A81" s="29"/>
      <c r="B81" s="27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spans="1:87" ht="15.6" x14ac:dyDescent="0.3">
      <c r="A82" s="77" t="s">
        <v>41</v>
      </c>
      <c r="B82" s="27"/>
      <c r="C82" s="4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87" x14ac:dyDescent="0.3">
      <c r="A83" s="29" t="s">
        <v>17</v>
      </c>
      <c r="B83" s="27" t="s">
        <v>18</v>
      </c>
      <c r="C83" s="53">
        <f>Gross_profit-Loan_Loss</f>
        <v>0</v>
      </c>
      <c r="D83" s="53">
        <f t="shared" ref="D83:AA83" si="12">Gross_profit-Gross_Loss</f>
        <v>7702.083333333333</v>
      </c>
      <c r="E83" s="53">
        <f t="shared" si="12"/>
        <v>5753.6514191382776</v>
      </c>
      <c r="F83" s="53">
        <f t="shared" si="12"/>
        <v>5419.1966205479785</v>
      </c>
      <c r="G83" s="53">
        <f t="shared" si="12"/>
        <v>-4195.3696685099858</v>
      </c>
      <c r="H83" s="53">
        <f t="shared" si="12"/>
        <v>3234.3140677795855</v>
      </c>
      <c r="I83" s="53">
        <f t="shared" si="12"/>
        <v>2787.4489188269908</v>
      </c>
      <c r="J83" s="53">
        <f t="shared" si="12"/>
        <v>2382.6742142510566</v>
      </c>
      <c r="K83" s="53">
        <f t="shared" si="12"/>
        <v>2025.3646238671317</v>
      </c>
      <c r="L83" s="53">
        <f t="shared" si="12"/>
        <v>1711.5413944364909</v>
      </c>
      <c r="M83" s="53">
        <f t="shared" si="12"/>
        <v>1437.2592051548754</v>
      </c>
      <c r="N83" s="53">
        <f t="shared" si="12"/>
        <v>1198.6386662662535</v>
      </c>
      <c r="O83" s="53">
        <f t="shared" si="12"/>
        <v>991.89604078562297</v>
      </c>
      <c r="P83" s="53">
        <f t="shared" si="12"/>
        <v>813.37004098069792</v>
      </c>
      <c r="Q83" s="53">
        <f t="shared" si="12"/>
        <v>659.54559428808534</v>
      </c>
      <c r="R83" s="53">
        <f t="shared" si="12"/>
        <v>527.07451517520531</v>
      </c>
      <c r="S83" s="53">
        <f t="shared" si="12"/>
        <v>412.79305959839758</v>
      </c>
      <c r="T83" s="53">
        <f t="shared" si="12"/>
        <v>313.73637669897289</v>
      </c>
      <c r="U83" s="53">
        <f t="shared" si="12"/>
        <v>227.14990783129997</v>
      </c>
      <c r="V83" s="53">
        <f t="shared" si="12"/>
        <v>150.49781560059955</v>
      </c>
      <c r="W83" s="53">
        <f t="shared" si="12"/>
        <v>81.468555037092074</v>
      </c>
      <c r="X83" s="53">
        <f t="shared" si="12"/>
        <v>17.977725144401575</v>
      </c>
      <c r="Y83" s="53">
        <f t="shared" si="12"/>
        <v>-41.831638305671731</v>
      </c>
      <c r="Z83" s="53">
        <f t="shared" si="12"/>
        <v>-99.591148782836285</v>
      </c>
      <c r="AA83" s="53">
        <f t="shared" si="12"/>
        <v>-156.71133836473842</v>
      </c>
    </row>
    <row r="84" spans="1:87" x14ac:dyDescent="0.3">
      <c r="A84" s="29" t="s">
        <v>19</v>
      </c>
      <c r="B84" s="27" t="s">
        <v>19</v>
      </c>
      <c r="C84" s="53">
        <f t="shared" ref="C84:AA84" si="13">Net_Income_Bax*tax_rate</f>
        <v>0</v>
      </c>
      <c r="D84" s="53">
        <f>Net_Income_Bax*tax_rate</f>
        <v>1540.4166666666667</v>
      </c>
      <c r="E84" s="53">
        <f t="shared" si="13"/>
        <v>1150.7302838276555</v>
      </c>
      <c r="F84" s="53">
        <f>Net_Income_Bax*tax_rate</f>
        <v>1083.8393241095957</v>
      </c>
      <c r="G84" s="53">
        <f t="shared" si="13"/>
        <v>-839.07393370199725</v>
      </c>
      <c r="H84" s="53">
        <f t="shared" si="13"/>
        <v>646.86281355591711</v>
      </c>
      <c r="I84" s="53">
        <f>Net_Income_Bax*tax_rate</f>
        <v>557.48978376539822</v>
      </c>
      <c r="J84" s="53">
        <f t="shared" si="13"/>
        <v>476.53484285021136</v>
      </c>
      <c r="K84" s="53">
        <f t="shared" si="13"/>
        <v>405.07292477342639</v>
      </c>
      <c r="L84" s="53">
        <f t="shared" si="13"/>
        <v>342.30827888729823</v>
      </c>
      <c r="M84" s="53">
        <f t="shared" si="13"/>
        <v>287.45184103097512</v>
      </c>
      <c r="N84" s="53">
        <f t="shared" si="13"/>
        <v>239.7277332532507</v>
      </c>
      <c r="O84" s="53">
        <f t="shared" si="13"/>
        <v>198.37920815712459</v>
      </c>
      <c r="P84" s="53">
        <f t="shared" si="13"/>
        <v>162.6740081961396</v>
      </c>
      <c r="Q84" s="53">
        <f t="shared" si="13"/>
        <v>131.90911885761707</v>
      </c>
      <c r="R84" s="53">
        <f t="shared" si="13"/>
        <v>105.41490303504106</v>
      </c>
      <c r="S84" s="53">
        <f t="shared" si="13"/>
        <v>82.558611919679521</v>
      </c>
      <c r="T84" s="53">
        <f t="shared" si="13"/>
        <v>62.747275339794584</v>
      </c>
      <c r="U84" s="53">
        <f t="shared" si="13"/>
        <v>45.429981566259997</v>
      </c>
      <c r="V84" s="53">
        <f t="shared" si="13"/>
        <v>30.09956312011991</v>
      </c>
      <c r="W84" s="53">
        <f t="shared" si="13"/>
        <v>16.293711007418416</v>
      </c>
      <c r="X84" s="53">
        <f t="shared" si="13"/>
        <v>3.595545028880315</v>
      </c>
      <c r="Y84" s="53">
        <f t="shared" si="13"/>
        <v>-8.3663276611343473</v>
      </c>
      <c r="Z84" s="53">
        <f t="shared" si="13"/>
        <v>-19.918229756567257</v>
      </c>
      <c r="AA84" s="53">
        <f t="shared" si="13"/>
        <v>-31.342267672947685</v>
      </c>
    </row>
    <row r="85" spans="1:87" s="5" customFormat="1" x14ac:dyDescent="0.3">
      <c r="A85" s="61" t="s">
        <v>40</v>
      </c>
      <c r="B85" s="62" t="s">
        <v>20</v>
      </c>
      <c r="C85" s="63">
        <f t="shared" ref="C85:AA85" si="14">Net_Income_Bax-Tax</f>
        <v>0</v>
      </c>
      <c r="D85" s="63">
        <f t="shared" si="14"/>
        <v>6161.6666666666661</v>
      </c>
      <c r="E85" s="63">
        <f t="shared" si="14"/>
        <v>4602.921135310622</v>
      </c>
      <c r="F85" s="63">
        <f t="shared" si="14"/>
        <v>4335.3572964383829</v>
      </c>
      <c r="G85" s="63">
        <f t="shared" si="14"/>
        <v>-3356.2957348079885</v>
      </c>
      <c r="H85" s="63">
        <f t="shared" si="14"/>
        <v>2587.4512542236685</v>
      </c>
      <c r="I85" s="63">
        <f t="shared" si="14"/>
        <v>2229.9591350615929</v>
      </c>
      <c r="J85" s="63">
        <f t="shared" si="14"/>
        <v>1906.1393714008452</v>
      </c>
      <c r="K85" s="63">
        <f t="shared" si="14"/>
        <v>1620.2916990937053</v>
      </c>
      <c r="L85" s="63">
        <f t="shared" si="14"/>
        <v>1369.2331155491927</v>
      </c>
      <c r="M85" s="63">
        <f t="shared" si="14"/>
        <v>1149.8073641239002</v>
      </c>
      <c r="N85" s="63">
        <f t="shared" si="14"/>
        <v>958.91093301300282</v>
      </c>
      <c r="O85" s="63">
        <f t="shared" si="14"/>
        <v>793.51683262849838</v>
      </c>
      <c r="P85" s="63">
        <f t="shared" si="14"/>
        <v>650.69603278455838</v>
      </c>
      <c r="Q85" s="63">
        <f t="shared" si="14"/>
        <v>527.63647543046829</v>
      </c>
      <c r="R85" s="63">
        <f t="shared" si="14"/>
        <v>421.65961214016426</v>
      </c>
      <c r="S85" s="63">
        <f t="shared" si="14"/>
        <v>330.23444767871808</v>
      </c>
      <c r="T85" s="63">
        <f t="shared" si="14"/>
        <v>250.98910135917831</v>
      </c>
      <c r="U85" s="63">
        <f t="shared" si="14"/>
        <v>181.71992626503999</v>
      </c>
      <c r="V85" s="63">
        <f t="shared" si="14"/>
        <v>120.39825248047964</v>
      </c>
      <c r="W85" s="63">
        <f t="shared" si="14"/>
        <v>65.174844029673665</v>
      </c>
      <c r="X85" s="63">
        <f t="shared" si="14"/>
        <v>14.38218011552126</v>
      </c>
      <c r="Y85" s="63">
        <f t="shared" si="14"/>
        <v>-33.465310644537382</v>
      </c>
      <c r="Z85" s="63">
        <f t="shared" si="14"/>
        <v>-79.672919026269028</v>
      </c>
      <c r="AA85" s="63">
        <f t="shared" si="14"/>
        <v>-125.36907069179074</v>
      </c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</row>
    <row r="86" spans="1:87" x14ac:dyDescent="0.3">
      <c r="A86" s="29"/>
      <c r="B86" s="27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87" ht="15.6" x14ac:dyDescent="0.3">
      <c r="A87" s="77" t="s">
        <v>64</v>
      </c>
      <c r="B87" s="27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87" s="2" customFormat="1" x14ac:dyDescent="0.3">
      <c r="A88" s="45" t="s">
        <v>51</v>
      </c>
      <c r="B88" s="27" t="s">
        <v>52</v>
      </c>
      <c r="C88" s="53">
        <f t="shared" ref="C88:AA88" si="15">GB_act</f>
        <v>500000</v>
      </c>
      <c r="D88" s="53">
        <f t="shared" si="15"/>
        <v>468298.22877786792</v>
      </c>
      <c r="E88" s="53">
        <f t="shared" si="15"/>
        <v>442095.44789205876</v>
      </c>
      <c r="F88" s="53">
        <f t="shared" si="15"/>
        <v>416353.57110913342</v>
      </c>
      <c r="G88" s="53">
        <f t="shared" si="15"/>
        <v>381201.5374988197</v>
      </c>
      <c r="H88" s="53">
        <f t="shared" si="15"/>
        <v>355617.05718856794</v>
      </c>
      <c r="I88" s="53">
        <f t="shared" si="15"/>
        <v>330496.03438871453</v>
      </c>
      <c r="J88" s="53">
        <f t="shared" si="15"/>
        <v>305895.58264188672</v>
      </c>
      <c r="K88" s="53">
        <f t="shared" si="15"/>
        <v>281868.56671782216</v>
      </c>
      <c r="L88" s="53">
        <f t="shared" si="15"/>
        <v>258463.48196112094</v>
      </c>
      <c r="M88" s="53">
        <f t="shared" si="15"/>
        <v>235724.36653080789</v>
      </c>
      <c r="N88" s="53">
        <f t="shared" si="15"/>
        <v>213690.74585266225</v>
      </c>
      <c r="O88" s="53">
        <f t="shared" si="15"/>
        <v>192397.60835242731</v>
      </c>
      <c r="P88" s="53">
        <f t="shared" si="15"/>
        <v>171875.41130583396</v>
      </c>
      <c r="Q88" s="53">
        <f t="shared" si="15"/>
        <v>152150.11543145409</v>
      </c>
      <c r="R88" s="53">
        <f t="shared" si="15"/>
        <v>133243.24666597872</v>
      </c>
      <c r="S88" s="53">
        <f t="shared" si="15"/>
        <v>115171.98339948192</v>
      </c>
      <c r="T88" s="53">
        <f t="shared" si="15"/>
        <v>97949.267311129253</v>
      </c>
      <c r="U88" s="53">
        <f t="shared" si="15"/>
        <v>81583.935833837662</v>
      </c>
      <c r="V88" s="53">
        <f t="shared" si="15"/>
        <v>66080.874189479975</v>
      </c>
      <c r="W88" s="53">
        <f t="shared" si="15"/>
        <v>51441.184873963182</v>
      </c>
      <c r="X88" s="53">
        <f t="shared" si="15"/>
        <v>37662.372433208569</v>
      </c>
      <c r="Y88" s="53">
        <f t="shared" si="15"/>
        <v>24738.541355809826</v>
      </c>
      <c r="Z88" s="53">
        <f t="shared" si="15"/>
        <v>12660.604914785681</v>
      </c>
      <c r="AA88" s="53">
        <f t="shared" si="15"/>
        <v>0</v>
      </c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2" customFormat="1" x14ac:dyDescent="0.3">
      <c r="A89" s="45" t="s">
        <v>50</v>
      </c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2" customFormat="1" x14ac:dyDescent="0.3">
      <c r="A90" s="29" t="s">
        <v>55</v>
      </c>
      <c r="B90" s="27" t="s">
        <v>54</v>
      </c>
      <c r="C90" s="53">
        <f t="shared" ref="C90:AA90" si="16">GB_act*Equity_Req</f>
        <v>62500</v>
      </c>
      <c r="D90" s="53">
        <f t="shared" si="16"/>
        <v>58537.27859723349</v>
      </c>
      <c r="E90" s="53">
        <f t="shared" si="16"/>
        <v>55261.930986507345</v>
      </c>
      <c r="F90" s="53">
        <f t="shared" si="16"/>
        <v>52044.196388641678</v>
      </c>
      <c r="G90" s="53">
        <f t="shared" si="16"/>
        <v>47650.192187352462</v>
      </c>
      <c r="H90" s="53">
        <f t="shared" si="16"/>
        <v>44452.132148570992</v>
      </c>
      <c r="I90" s="53">
        <f t="shared" si="16"/>
        <v>41312.004298589316</v>
      </c>
      <c r="J90" s="53">
        <f t="shared" si="16"/>
        <v>38236.94783023584</v>
      </c>
      <c r="K90" s="53">
        <f t="shared" si="16"/>
        <v>35233.57083972777</v>
      </c>
      <c r="L90" s="53">
        <f t="shared" si="16"/>
        <v>32307.935245140117</v>
      </c>
      <c r="M90" s="53">
        <f t="shared" si="16"/>
        <v>29465.545816350987</v>
      </c>
      <c r="N90" s="53">
        <f t="shared" si="16"/>
        <v>26711.343231582781</v>
      </c>
      <c r="O90" s="53">
        <f t="shared" si="16"/>
        <v>24049.701044053414</v>
      </c>
      <c r="P90" s="53">
        <f t="shared" si="16"/>
        <v>21484.426413229245</v>
      </c>
      <c r="Q90" s="53">
        <f t="shared" si="16"/>
        <v>19018.764428931761</v>
      </c>
      <c r="R90" s="53">
        <f t="shared" si="16"/>
        <v>16655.40583324734</v>
      </c>
      <c r="S90" s="53">
        <f t="shared" si="16"/>
        <v>14396.49792493524</v>
      </c>
      <c r="T90" s="53">
        <f t="shared" si="16"/>
        <v>12243.658413891157</v>
      </c>
      <c r="U90" s="53">
        <f t="shared" si="16"/>
        <v>10197.991979229708</v>
      </c>
      <c r="V90" s="53">
        <f t="shared" si="16"/>
        <v>8260.1092736849969</v>
      </c>
      <c r="W90" s="53">
        <f t="shared" si="16"/>
        <v>6430.1481092453978</v>
      </c>
      <c r="X90" s="53">
        <f t="shared" si="16"/>
        <v>4707.7965541510712</v>
      </c>
      <c r="Y90" s="53">
        <f t="shared" si="16"/>
        <v>3092.3176694762283</v>
      </c>
      <c r="Z90" s="53">
        <f t="shared" si="16"/>
        <v>1582.5756143482101</v>
      </c>
      <c r="AA90" s="53">
        <f t="shared" si="16"/>
        <v>0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2" customFormat="1" x14ac:dyDescent="0.3">
      <c r="A91" s="29" t="s">
        <v>61</v>
      </c>
      <c r="B91" s="27" t="s">
        <v>56</v>
      </c>
      <c r="C91" s="53">
        <f t="shared" ref="C91:AA91" si="17">GB_act*(1-Equity_Req)</f>
        <v>437500</v>
      </c>
      <c r="D91" s="53">
        <f t="shared" si="17"/>
        <v>409760.95018063445</v>
      </c>
      <c r="E91" s="53">
        <f t="shared" si="17"/>
        <v>386833.51690555143</v>
      </c>
      <c r="F91" s="53">
        <f t="shared" si="17"/>
        <v>364309.37472049176</v>
      </c>
      <c r="G91" s="53">
        <f t="shared" si="17"/>
        <v>333551.34531146724</v>
      </c>
      <c r="H91" s="53">
        <f t="shared" si="17"/>
        <v>311164.92503999698</v>
      </c>
      <c r="I91" s="53">
        <f t="shared" si="17"/>
        <v>289184.03009012522</v>
      </c>
      <c r="J91" s="53">
        <f t="shared" si="17"/>
        <v>267658.6348116509</v>
      </c>
      <c r="K91" s="53">
        <f t="shared" si="17"/>
        <v>246634.9958780944</v>
      </c>
      <c r="L91" s="53">
        <f t="shared" si="17"/>
        <v>226155.54671598083</v>
      </c>
      <c r="M91" s="53">
        <f t="shared" si="17"/>
        <v>206258.8207144569</v>
      </c>
      <c r="N91" s="53">
        <f t="shared" si="17"/>
        <v>186979.40262107947</v>
      </c>
      <c r="O91" s="53">
        <f t="shared" si="17"/>
        <v>168347.90730837389</v>
      </c>
      <c r="P91" s="53">
        <f t="shared" si="17"/>
        <v>150390.9848926047</v>
      </c>
      <c r="Q91" s="53">
        <f t="shared" si="17"/>
        <v>133131.35100252234</v>
      </c>
      <c r="R91" s="53">
        <f t="shared" si="17"/>
        <v>116587.84083273138</v>
      </c>
      <c r="S91" s="53">
        <f t="shared" si="17"/>
        <v>100775.48547454667</v>
      </c>
      <c r="T91" s="53">
        <f t="shared" si="17"/>
        <v>85705.608897238097</v>
      </c>
      <c r="U91" s="53">
        <f t="shared" si="17"/>
        <v>71385.943854607962</v>
      </c>
      <c r="V91" s="53">
        <f t="shared" si="17"/>
        <v>57820.764915794978</v>
      </c>
      <c r="W91" s="53">
        <f t="shared" si="17"/>
        <v>45011.036764717785</v>
      </c>
      <c r="X91" s="53">
        <f t="shared" si="17"/>
        <v>32954.575879057498</v>
      </c>
      <c r="Y91" s="53">
        <f t="shared" si="17"/>
        <v>21646.223686333597</v>
      </c>
      <c r="Z91" s="53">
        <f t="shared" si="17"/>
        <v>11078.029300437471</v>
      </c>
      <c r="AA91" s="53">
        <f t="shared" si="17"/>
        <v>0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2" customFormat="1" x14ac:dyDescent="0.3">
      <c r="A92" s="29"/>
      <c r="B92" s="27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>
        <f t="shared" ref="X92:AA92" si="18">assets-Eq_req-AT1_req</f>
        <v>0</v>
      </c>
      <c r="Y92" s="29">
        <f t="shared" si="18"/>
        <v>0</v>
      </c>
      <c r="Z92" s="29">
        <f t="shared" si="18"/>
        <v>0</v>
      </c>
      <c r="AA92" s="29">
        <f t="shared" si="18"/>
        <v>0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2" customFormat="1" x14ac:dyDescent="0.3">
      <c r="A93" s="45" t="s">
        <v>53</v>
      </c>
      <c r="B93" s="27" t="s">
        <v>60</v>
      </c>
      <c r="C93" s="53">
        <v>500000</v>
      </c>
      <c r="D93" s="53">
        <f>assets-prev assets</f>
        <v>-31701.771222132083</v>
      </c>
      <c r="E93" s="53">
        <f>assets-prev assets</f>
        <v>-26202.780885809159</v>
      </c>
      <c r="F93" s="53">
        <f>assets-prev assets</f>
        <v>-25741.876782925334</v>
      </c>
      <c r="G93" s="53">
        <f>assets-prev assets</f>
        <v>-35152.033610313723</v>
      </c>
      <c r="H93" s="53">
        <f>assets-prev assets</f>
        <v>-25584.480310251762</v>
      </c>
      <c r="I93" s="53">
        <f>assets-prev assets</f>
        <v>-25121.02279985341</v>
      </c>
      <c r="J93" s="53">
        <f>assets-prev assets</f>
        <v>-24600.451746827806</v>
      </c>
      <c r="K93" s="53">
        <f>assets-prev assets</f>
        <v>-24027.015924064559</v>
      </c>
      <c r="L93" s="53">
        <f>assets-prev assets</f>
        <v>-23405.084756701224</v>
      </c>
      <c r="M93" s="53">
        <f>assets-prev assets</f>
        <v>-22739.115430313046</v>
      </c>
      <c r="N93" s="53">
        <f>assets-prev assets</f>
        <v>-22033.620678145642</v>
      </c>
      <c r="O93" s="53">
        <f>assets-prev assets</f>
        <v>-21293.137500234938</v>
      </c>
      <c r="P93" s="53">
        <f>assets-prev assets</f>
        <v>-20522.197046593355</v>
      </c>
      <c r="Q93" s="53">
        <f>assets-prev assets</f>
        <v>-19725.295874379866</v>
      </c>
      <c r="R93" s="53">
        <f>assets-prev assets</f>
        <v>-18906.868765475374</v>
      </c>
      <c r="S93" s="53">
        <f>assets-prev assets</f>
        <v>-18071.263266496797</v>
      </c>
      <c r="T93" s="53">
        <f>assets-prev assets</f>
        <v>-17222.716088352667</v>
      </c>
      <c r="U93" s="53">
        <f>assets-prev assets</f>
        <v>-16365.331477291591</v>
      </c>
      <c r="V93" s="53">
        <f>assets-prev assets</f>
        <v>-15503.061644357687</v>
      </c>
      <c r="W93" s="53">
        <f>assets-prev assets</f>
        <v>-14639.689315516793</v>
      </c>
      <c r="X93" s="53">
        <f>assets-prev assets</f>
        <v>-13778.812440754613</v>
      </c>
      <c r="Y93" s="53">
        <f>assets-prev assets</f>
        <v>-12923.831077398743</v>
      </c>
      <c r="Z93" s="53">
        <f>assets-prev assets</f>
        <v>-12077.936441024145</v>
      </c>
      <c r="AA93" s="53">
        <f>assets-prev assets</f>
        <v>-12660.604914785681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s="2" customFormat="1" x14ac:dyDescent="0.3">
      <c r="A94" s="45" t="s">
        <v>57</v>
      </c>
      <c r="B94" s="27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</row>
    <row r="95" spans="1:87" s="2" customFormat="1" x14ac:dyDescent="0.3">
      <c r="A95" s="29" t="s">
        <v>58</v>
      </c>
      <c r="B95" s="27" t="s">
        <v>59</v>
      </c>
      <c r="C95" s="53">
        <f>C90</f>
        <v>62500</v>
      </c>
      <c r="D95" s="53">
        <f>Eq_req-prev Eq_req</f>
        <v>-3962.7214027665104</v>
      </c>
      <c r="E95" s="53">
        <f>Eq_req-prev Eq_req</f>
        <v>-3275.3476107261449</v>
      </c>
      <c r="F95" s="53">
        <f>Eq_req-prev Eq_req</f>
        <v>-3217.7345978656667</v>
      </c>
      <c r="G95" s="53">
        <f>Eq_req-prev Eq_req</f>
        <v>-4394.0042012892154</v>
      </c>
      <c r="H95" s="53">
        <f>Eq_req-prev Eq_req</f>
        <v>-3198.0600387814702</v>
      </c>
      <c r="I95" s="53">
        <f>Eq_req-prev Eq_req</f>
        <v>-3140.1278499816763</v>
      </c>
      <c r="J95" s="53">
        <f>Eq_req-prev Eq_req</f>
        <v>-3075.0564683534758</v>
      </c>
      <c r="K95" s="53">
        <f>Eq_req-prev Eq_req</f>
        <v>-3003.3769905080699</v>
      </c>
      <c r="L95" s="53">
        <f>Eq_req-prev Eq_req</f>
        <v>-2925.635594587653</v>
      </c>
      <c r="M95" s="53">
        <f>Eq_req-prev Eq_req</f>
        <v>-2842.3894287891308</v>
      </c>
      <c r="N95" s="53">
        <f>Eq_req-prev Eq_req</f>
        <v>-2754.2025847682053</v>
      </c>
      <c r="O95" s="53">
        <f>Eq_req-prev Eq_req</f>
        <v>-2661.6421875293672</v>
      </c>
      <c r="P95" s="53">
        <f>Eq_req-prev Eq_req</f>
        <v>-2565.2746308241694</v>
      </c>
      <c r="Q95" s="53">
        <f>Eq_req-prev Eq_req</f>
        <v>-2465.6619842974833</v>
      </c>
      <c r="R95" s="53">
        <f>Eq_req-prev Eq_req</f>
        <v>-2363.3585956844217</v>
      </c>
      <c r="S95" s="53">
        <f>Eq_req-prev Eq_req</f>
        <v>-2258.9079083120996</v>
      </c>
      <c r="T95" s="53">
        <f>Eq_req-prev Eq_req</f>
        <v>-2152.8395110440833</v>
      </c>
      <c r="U95" s="53">
        <f>Eq_req-prev Eq_req</f>
        <v>-2045.6664346614489</v>
      </c>
      <c r="V95" s="53">
        <f>Eq_req-prev Eq_req</f>
        <v>-1937.8827055447109</v>
      </c>
      <c r="W95" s="53">
        <f>Eq_req-prev Eq_req</f>
        <v>-1829.9611644395991</v>
      </c>
      <c r="X95" s="53">
        <f>Eq_req-prev Eq_req</f>
        <v>-1722.3515550943266</v>
      </c>
      <c r="Y95" s="53">
        <f>Eq_req-prev Eq_req</f>
        <v>-1615.4788846748429</v>
      </c>
      <c r="Z95" s="53">
        <f>Eq_req-prev Eq_req</f>
        <v>-1509.7420551280181</v>
      </c>
      <c r="AA95" s="53">
        <f>Eq_req-prev Eq_req</f>
        <v>-1582.5756143482101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</row>
    <row r="96" spans="1:87" s="2" customFormat="1" x14ac:dyDescent="0.3">
      <c r="A96" s="29" t="s">
        <v>62</v>
      </c>
      <c r="B96" s="27" t="s">
        <v>63</v>
      </c>
      <c r="C96" s="53">
        <f>C91</f>
        <v>437500</v>
      </c>
      <c r="D96" s="53">
        <f>Fund_req-prev Fund_req</f>
        <v>-27739.049819365551</v>
      </c>
      <c r="E96" s="53">
        <f>Fund_req-prev Fund_req</f>
        <v>-22927.433275083022</v>
      </c>
      <c r="F96" s="53">
        <f>Fund_req-prev Fund_req</f>
        <v>-22524.142185059667</v>
      </c>
      <c r="G96" s="53">
        <f>Fund_req-prev Fund_req</f>
        <v>-30758.029409024515</v>
      </c>
      <c r="H96" s="53">
        <f>Fund_req-prev Fund_req</f>
        <v>-22386.42027147027</v>
      </c>
      <c r="I96" s="53">
        <f>Fund_req-prev Fund_req</f>
        <v>-21980.894949871756</v>
      </c>
      <c r="J96" s="53">
        <f>Fund_req-prev Fund_req</f>
        <v>-21525.395278474316</v>
      </c>
      <c r="K96" s="53">
        <f>Fund_req-prev Fund_req</f>
        <v>-21023.638933556504</v>
      </c>
      <c r="L96" s="53">
        <f>Fund_req-prev Fund_req</f>
        <v>-20479.449162113568</v>
      </c>
      <c r="M96" s="53">
        <f>Fund_req-prev Fund_req</f>
        <v>-19896.72600152393</v>
      </c>
      <c r="N96" s="53">
        <f>Fund_req-prev Fund_req</f>
        <v>-19279.418093377433</v>
      </c>
      <c r="O96" s="53">
        <f>Fund_req-prev Fund_req</f>
        <v>-18631.495312705578</v>
      </c>
      <c r="P96" s="53">
        <f>Fund_req-prev Fund_req</f>
        <v>-17956.922415769193</v>
      </c>
      <c r="Q96" s="53">
        <f>Fund_req-prev Fund_req</f>
        <v>-17259.633890082361</v>
      </c>
      <c r="R96" s="53">
        <f>Fund_req-prev Fund_req</f>
        <v>-16543.510169790956</v>
      </c>
      <c r="S96" s="53">
        <f>Fund_req-prev Fund_req</f>
        <v>-15812.355358184708</v>
      </c>
      <c r="T96" s="53">
        <f>Fund_req-prev Fund_req</f>
        <v>-15069.876577308576</v>
      </c>
      <c r="U96" s="53">
        <f>Fund_req-prev Fund_req</f>
        <v>-14319.665042630135</v>
      </c>
      <c r="V96" s="53">
        <f>Fund_req-prev Fund_req</f>
        <v>-13565.178938812984</v>
      </c>
      <c r="W96" s="53">
        <f>Fund_req-prev Fund_req</f>
        <v>-12809.728151077194</v>
      </c>
      <c r="X96" s="53">
        <f>Fund_req-prev Fund_req</f>
        <v>-12056.460885660286</v>
      </c>
      <c r="Y96" s="53">
        <f>Fund_req-prev Fund_req</f>
        <v>-11308.352192723902</v>
      </c>
      <c r="Z96" s="53">
        <f>Fund_req-prev Fund_req</f>
        <v>-10568.194385896126</v>
      </c>
      <c r="AA96" s="53">
        <f>Fund_req-prev Fund_req</f>
        <v>-11078.029300437471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</row>
    <row r="97" spans="1:87" x14ac:dyDescent="0.3">
      <c r="A97" s="29"/>
      <c r="B97" s="27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87" ht="15.6" x14ac:dyDescent="0.3">
      <c r="A98" s="77" t="s">
        <v>21</v>
      </c>
      <c r="B98" s="27"/>
      <c r="C98" s="10"/>
      <c r="E98" s="58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87" x14ac:dyDescent="0.3">
      <c r="A99" s="9" t="s">
        <v>22</v>
      </c>
      <c r="B99" s="64" t="s">
        <v>23</v>
      </c>
      <c r="C99" s="65">
        <f>1/(1+discount_rate_month)^(statement_no)</f>
        <v>1</v>
      </c>
      <c r="D99" s="65">
        <f>1/(1+discount_rate_month)^(statement_no)</f>
        <v>0.97837358933250107</v>
      </c>
      <c r="E99" s="65">
        <f t="shared" ref="E99:AA99" si="19">1/(1+discount_rate_month)^(statement_no)</f>
        <v>0.95721488030336144</v>
      </c>
      <c r="F99" s="65">
        <f t="shared" si="19"/>
        <v>0.93651375820488014</v>
      </c>
      <c r="G99" s="65">
        <f t="shared" si="19"/>
        <v>0.91626032707417848</v>
      </c>
      <c r="H99" s="65">
        <f t="shared" si="19"/>
        <v>0.89644490496253548</v>
      </c>
      <c r="I99" s="65">
        <f t="shared" si="19"/>
        <v>0.87705801930702865</v>
      </c>
      <c r="J99" s="65">
        <f t="shared" si="19"/>
        <v>0.85809040240227163</v>
      </c>
      <c r="K99" s="65">
        <f t="shared" si="19"/>
        <v>0.83953298697008061</v>
      </c>
      <c r="L99" s="65">
        <f t="shared" si="19"/>
        <v>0.8213769018249536</v>
      </c>
      <c r="M99" s="65">
        <f t="shared" si="19"/>
        <v>0.80361346763328922</v>
      </c>
      <c r="N99" s="65">
        <f t="shared" si="19"/>
        <v>0.78623419276431894</v>
      </c>
      <c r="O99" s="65">
        <f t="shared" si="19"/>
        <v>0.76923076923076805</v>
      </c>
      <c r="P99" s="65">
        <f t="shared" si="19"/>
        <v>0.75259506871730741</v>
      </c>
      <c r="Q99" s="65">
        <f t="shared" si="19"/>
        <v>0.73631913869489241</v>
      </c>
      <c r="R99" s="65">
        <f t="shared" si="19"/>
        <v>0.72039519861913748</v>
      </c>
      <c r="S99" s="65">
        <f t="shared" si="19"/>
        <v>0.70481563621090548</v>
      </c>
      <c r="T99" s="65">
        <f t="shared" si="19"/>
        <v>0.68957300381733388</v>
      </c>
      <c r="U99" s="65">
        <f t="shared" si="19"/>
        <v>0.67466001485155946</v>
      </c>
      <c r="V99" s="65">
        <f t="shared" si="19"/>
        <v>0.66006954030943865</v>
      </c>
      <c r="W99" s="65">
        <f t="shared" si="19"/>
        <v>0.64579460536159949</v>
      </c>
      <c r="X99" s="65">
        <f t="shared" si="19"/>
        <v>0.63182838601919411</v>
      </c>
      <c r="Y99" s="65">
        <f t="shared" si="19"/>
        <v>0.61816420587176002</v>
      </c>
      <c r="Z99" s="65">
        <f t="shared" si="19"/>
        <v>0.60479553289562893</v>
      </c>
      <c r="AA99" s="65">
        <f t="shared" si="19"/>
        <v>0.59171597633135908</v>
      </c>
    </row>
    <row r="100" spans="1:87" x14ac:dyDescent="0.3">
      <c r="B100" s="66">
        <f>((1+discount_rate)^(1/12)-1)</f>
        <v>2.2104450593615876E-2</v>
      </c>
      <c r="C100" s="10"/>
      <c r="D100" s="9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87" x14ac:dyDescent="0.3">
      <c r="A101" s="9" t="s">
        <v>107</v>
      </c>
      <c r="B101" s="68">
        <f>SUMPRODUCT(Cash_flow_to_Client,coeff_discount)</f>
        <v>12025.084413653691</v>
      </c>
      <c r="C101" s="69">
        <f>initial_amount-repayment</f>
        <v>500000</v>
      </c>
      <c r="D101" s="67">
        <f>-repayment</f>
        <v>-45701.771222132083</v>
      </c>
      <c r="E101" s="67">
        <f>-repayment</f>
        <v>-37892.771122867343</v>
      </c>
      <c r="F101" s="67">
        <f>-repayment</f>
        <v>-36775.100750475351</v>
      </c>
      <c r="G101" s="67">
        <f t="shared" ref="G101:AA101" si="20">-repayment</f>
        <v>-36252.462150723572</v>
      </c>
      <c r="H101" s="67">
        <f t="shared" si="20"/>
        <v>-33676.741063604321</v>
      </c>
      <c r="I101" s="67">
        <f t="shared" si="20"/>
        <v>-32439.330797771145</v>
      </c>
      <c r="J101" s="67">
        <f t="shared" si="20"/>
        <v>-31201.637449546019</v>
      </c>
      <c r="K101" s="67">
        <f t="shared" si="20"/>
        <v>-29964.662436146227</v>
      </c>
      <c r="L101" s="67">
        <f t="shared" si="20"/>
        <v>-28729.474204162001</v>
      </c>
      <c r="M101" s="67">
        <f t="shared" si="20"/>
        <v>-27497.208746738143</v>
      </c>
      <c r="N101" s="67">
        <f t="shared" si="20"/>
        <v>-26269.068627774283</v>
      </c>
      <c r="O101" s="67">
        <f t="shared" si="20"/>
        <v>-25046.320566823575</v>
      </c>
      <c r="P101" s="67">
        <f t="shared" si="20"/>
        <v>-23830.291658095979</v>
      </c>
      <c r="Q101" s="67">
        <f t="shared" si="20"/>
        <v>-22622.364314721413</v>
      </c>
      <c r="R101" s="67">
        <f t="shared" si="20"/>
        <v>-21423.970045024966</v>
      </c>
      <c r="S101" s="67">
        <f t="shared" si="20"/>
        <v>-20236.582180864665</v>
      </c>
      <c r="T101" s="67">
        <f t="shared" si="20"/>
        <v>-19061.707688993323</v>
      </c>
      <c r="U101" s="67">
        <f t="shared" si="20"/>
        <v>-17900.878204868208</v>
      </c>
      <c r="V101" s="67">
        <f t="shared" si="20"/>
        <v>-16755.640434355533</v>
      </c>
      <c r="W101" s="67">
        <f t="shared" si="20"/>
        <v>-15627.546072368066</v>
      </c>
      <c r="X101" s="67">
        <f t="shared" si="20"/>
        <v>-14518.14138872727</v>
      </c>
      <c r="Y101" s="67">
        <f t="shared" si="20"/>
        <v>-13428.956630535478</v>
      </c>
      <c r="Z101" s="67">
        <f t="shared" si="20"/>
        <v>-12361.495387231684</v>
      </c>
      <c r="AA101" s="67">
        <f t="shared" si="20"/>
        <v>-12733.726877470937</v>
      </c>
    </row>
    <row r="102" spans="1:87" x14ac:dyDescent="0.3">
      <c r="A102" s="9" t="s">
        <v>108</v>
      </c>
      <c r="B102" s="68">
        <f>SUMPRODUCT(to_bondholders,coeff_discount)</f>
        <v>-31331.89624605266</v>
      </c>
      <c r="C102" s="69">
        <f>Cost_of_Funds-Fund_req_chng</f>
        <v>-437500</v>
      </c>
      <c r="D102" s="69">
        <f t="shared" ref="D102:AA102" si="21">Cost_of_Funds-Fund_req_chng</f>
        <v>33936.966486032215</v>
      </c>
      <c r="E102" s="69">
        <f t="shared" si="21"/>
        <v>28732.380069308678</v>
      </c>
      <c r="F102" s="69">
        <f t="shared" si="21"/>
        <v>28004.283674554979</v>
      </c>
      <c r="G102" s="69">
        <f t="shared" si="21"/>
        <v>35919.07888423148</v>
      </c>
      <c r="H102" s="69">
        <f t="shared" si="21"/>
        <v>27111.730996716055</v>
      </c>
      <c r="I102" s="69">
        <f t="shared" si="21"/>
        <v>26389.064721271712</v>
      </c>
      <c r="J102" s="69">
        <f t="shared" si="21"/>
        <v>25622.169038084423</v>
      </c>
      <c r="K102" s="69">
        <f t="shared" si="21"/>
        <v>24815.469593388225</v>
      </c>
      <c r="L102" s="69">
        <f t="shared" si="21"/>
        <v>23973.444937053238</v>
      </c>
      <c r="M102" s="69">
        <f t="shared" si="21"/>
        <v>23100.596246666992</v>
      </c>
      <c r="N102" s="69">
        <f t="shared" si="21"/>
        <v>22201.418053498906</v>
      </c>
      <c r="O102" s="69">
        <f t="shared" si="21"/>
        <v>21280.370183170871</v>
      </c>
      <c r="P102" s="69">
        <f t="shared" si="21"/>
        <v>20341.851102637826</v>
      </c>
      <c r="Q102" s="69">
        <f t="shared" si="21"/>
        <v>19390.172842727596</v>
      </c>
      <c r="R102" s="69">
        <f t="shared" si="21"/>
        <v>18429.53764232669</v>
      </c>
      <c r="S102" s="69">
        <f t="shared" si="21"/>
        <v>17464.016436648402</v>
      </c>
      <c r="T102" s="69">
        <f t="shared" si="21"/>
        <v>16497.529288197988</v>
      </c>
      <c r="U102" s="69">
        <f t="shared" si="21"/>
        <v>15533.827835341008</v>
      </c>
      <c r="V102" s="69">
        <f t="shared" si="21"/>
        <v>14576.479810086597</v>
      </c>
      <c r="W102" s="69">
        <f t="shared" si="21"/>
        <v>13628.855654050956</v>
      </c>
      <c r="X102" s="69">
        <f t="shared" si="21"/>
        <v>12694.117239827121</v>
      </c>
      <c r="Y102" s="69">
        <f t="shared" si="21"/>
        <v>11775.208684343883</v>
      </c>
      <c r="Z102" s="69">
        <f t="shared" si="21"/>
        <v>10874.849221452518</v>
      </c>
      <c r="AA102" s="69">
        <f t="shared" si="21"/>
        <v>11234.968048860335</v>
      </c>
    </row>
    <row r="103" spans="1:87" x14ac:dyDescent="0.3">
      <c r="A103" s="9" t="s">
        <v>109</v>
      </c>
      <c r="B103" s="68">
        <f>SUMPRODUCT(cost_tax,coeff_discount)</f>
        <v>7969.6440476548269</v>
      </c>
      <c r="C103" s="69">
        <f t="shared" ref="C103:AA103" si="22">Operation_cost+collect_cost+Tax</f>
        <v>0</v>
      </c>
      <c r="D103" s="69">
        <f t="shared" si="22"/>
        <v>1640.4166666666667</v>
      </c>
      <c r="E103" s="69">
        <f t="shared" si="22"/>
        <v>1282.1223075219043</v>
      </c>
      <c r="F103" s="69">
        <f t="shared" si="22"/>
        <v>1217.7251816163239</v>
      </c>
      <c r="G103" s="69">
        <f t="shared" si="22"/>
        <v>-704.32519998913199</v>
      </c>
      <c r="H103" s="69">
        <f t="shared" si="22"/>
        <v>779.49877388310279</v>
      </c>
      <c r="I103" s="69">
        <f t="shared" si="22"/>
        <v>680.1790914561866</v>
      </c>
      <c r="J103" s="69">
        <f t="shared" si="22"/>
        <v>598.27257170726057</v>
      </c>
      <c r="K103" s="69">
        <f t="shared" si="22"/>
        <v>525.52415315624296</v>
      </c>
      <c r="L103" s="69">
        <f t="shared" si="22"/>
        <v>461.16055697191427</v>
      </c>
      <c r="M103" s="69">
        <f t="shared" si="22"/>
        <v>404.41570715813242</v>
      </c>
      <c r="N103" s="69">
        <f t="shared" si="22"/>
        <v>354.53705649416429</v>
      </c>
      <c r="O103" s="69">
        <f t="shared" si="22"/>
        <v>310.79136349484816</v>
      </c>
      <c r="P103" s="69">
        <f t="shared" si="22"/>
        <v>272.46989184943527</v>
      </c>
      <c r="Q103" s="69">
        <f t="shared" si="22"/>
        <v>238.8930122658455</v>
      </c>
      <c r="R103" s="69">
        <f t="shared" si="22"/>
        <v>209.4141948736945</v>
      </c>
      <c r="S103" s="69">
        <f t="shared" si="22"/>
        <v>183.42338822545381</v>
      </c>
      <c r="T103" s="69">
        <f t="shared" si="22"/>
        <v>160.34978839206758</v>
      </c>
      <c r="U103" s="69">
        <f t="shared" si="22"/>
        <v>139.66400860070502</v>
      </c>
      <c r="V103" s="69">
        <f t="shared" si="22"/>
        <v>120.87966624375208</v>
      </c>
      <c r="W103" s="69">
        <f t="shared" si="22"/>
        <v>103.55440984783667</v>
      </c>
      <c r="X103" s="69">
        <f t="shared" si="22"/>
        <v>87.29041369030125</v>
      </c>
      <c r="Y103" s="69">
        <f t="shared" si="22"/>
        <v>71.734372161292313</v>
      </c>
      <c r="Z103" s="69">
        <f t="shared" si="22"/>
        <v>56.577029677414686</v>
      </c>
      <c r="AA103" s="69">
        <f t="shared" si="22"/>
        <v>41.552284954182184</v>
      </c>
    </row>
    <row r="104" spans="1:87" s="7" customFormat="1" x14ac:dyDescent="0.3">
      <c r="A104" s="70" t="s">
        <v>110</v>
      </c>
      <c r="B104" s="71">
        <f>SUMPRODUCT(shareholders,coeff_discount)</f>
        <v>11337.167784744084</v>
      </c>
      <c r="C104" s="72">
        <f t="shared" ref="C104:AA104" si="23">Net_Income_Atax-Eq_req_chng</f>
        <v>-62500</v>
      </c>
      <c r="D104" s="72">
        <f t="shared" si="23"/>
        <v>10124.388069433176</v>
      </c>
      <c r="E104" s="72">
        <f t="shared" si="23"/>
        <v>7878.268746036767</v>
      </c>
      <c r="F104" s="72">
        <f t="shared" si="23"/>
        <v>7553.0918943040497</v>
      </c>
      <c r="G104" s="72">
        <f t="shared" si="23"/>
        <v>1037.7084664812269</v>
      </c>
      <c r="H104" s="72">
        <f t="shared" si="23"/>
        <v>5785.5112930051382</v>
      </c>
      <c r="I104" s="72">
        <f t="shared" si="23"/>
        <v>5370.0869850432691</v>
      </c>
      <c r="J104" s="72">
        <f t="shared" si="23"/>
        <v>4981.1958397543212</v>
      </c>
      <c r="K104" s="72">
        <f t="shared" si="23"/>
        <v>4623.6686896017754</v>
      </c>
      <c r="L104" s="72">
        <f t="shared" si="23"/>
        <v>4294.8687101368459</v>
      </c>
      <c r="M104" s="72">
        <f t="shared" si="23"/>
        <v>3992.196792913031</v>
      </c>
      <c r="N104" s="72">
        <f t="shared" si="23"/>
        <v>3713.113517781208</v>
      </c>
      <c r="O104" s="72">
        <f t="shared" si="23"/>
        <v>3455.1590201578656</v>
      </c>
      <c r="P104" s="72">
        <f t="shared" si="23"/>
        <v>3215.9706636087276</v>
      </c>
      <c r="Q104" s="72">
        <f t="shared" si="23"/>
        <v>2993.2984597279515</v>
      </c>
      <c r="R104" s="72">
        <f t="shared" si="23"/>
        <v>2785.0182078245862</v>
      </c>
      <c r="S104" s="72">
        <f t="shared" si="23"/>
        <v>2589.1423559908176</v>
      </c>
      <c r="T104" s="72">
        <f t="shared" si="23"/>
        <v>2403.8286124032616</v>
      </c>
      <c r="U104" s="72">
        <f t="shared" si="23"/>
        <v>2227.386360926489</v>
      </c>
      <c r="V104" s="72">
        <f t="shared" si="23"/>
        <v>2058.2809580251906</v>
      </c>
      <c r="W104" s="72">
        <f t="shared" si="23"/>
        <v>1895.1360084692728</v>
      </c>
      <c r="X104" s="72">
        <f t="shared" si="23"/>
        <v>1736.733735209848</v>
      </c>
      <c r="Y104" s="72">
        <f t="shared" si="23"/>
        <v>1582.0135740303056</v>
      </c>
      <c r="Z104" s="72">
        <f t="shared" si="23"/>
        <v>1430.0691361017491</v>
      </c>
      <c r="AA104" s="72">
        <f t="shared" si="23"/>
        <v>1457.2065436564194</v>
      </c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</row>
    <row r="105" spans="1:87" x14ac:dyDescent="0.3">
      <c r="A105" s="73"/>
      <c r="C105" s="74">
        <v>-62499.841999999997</v>
      </c>
      <c r="D105" s="74">
        <v>7013.8196294079262</v>
      </c>
      <c r="E105" s="74">
        <v>5791.9432377544508</v>
      </c>
      <c r="F105" s="74">
        <v>5689.4548950202461</v>
      </c>
      <c r="G105" s="74">
        <v>-5229.1033213884366</v>
      </c>
      <c r="H105" s="74">
        <v>2796.0011834785464</v>
      </c>
      <c r="I105" s="74">
        <v>2506.3731006017915</v>
      </c>
      <c r="J105" s="74">
        <v>2246.329156959358</v>
      </c>
      <c r="K105" s="74">
        <v>2023.4347139357185</v>
      </c>
      <c r="L105" s="74">
        <v>1834.9851537589602</v>
      </c>
      <c r="M105" s="74">
        <v>1677.726406278432</v>
      </c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87" x14ac:dyDescent="0.3">
      <c r="C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87" x14ac:dyDescent="0.3">
      <c r="A107" s="9" t="s">
        <v>45</v>
      </c>
      <c r="B107" s="75" t="s">
        <v>46</v>
      </c>
      <c r="C107" s="58">
        <f>CFtS*coeff_discount</f>
        <v>-62500</v>
      </c>
      <c r="D107" s="58">
        <f>prev C107 + CFtS*coeff_discount</f>
        <v>-52594.566104713515</v>
      </c>
      <c r="E107" s="58">
        <f>prev D107 + CFtS*coeff_discount</f>
        <v>-45053.370029978221</v>
      </c>
      <c r="F107" s="58">
        <f>prev E107 + CFtS*coeff_discount</f>
        <v>-37979.795553976721</v>
      </c>
      <c r="G107" s="58">
        <f>prev F107 + CFtS*coeff_discount</f>
        <v>-37028.984455070989</v>
      </c>
      <c r="H107" s="58">
        <f>prev G107 + CFtS*coeff_discount</f>
        <v>-31842.592333853325</v>
      </c>
      <c r="I107" s="58">
        <f>prev H107 + CFtS*coeff_discount</f>
        <v>-27132.714479244823</v>
      </c>
      <c r="J107" s="58">
        <f>prev I107 + CFtS*coeff_discount</f>
        <v>-22858.398136665517</v>
      </c>
      <c r="K107" s="58">
        <f>prev J107 + CFtS*coeff_discount</f>
        <v>-18976.6757509241</v>
      </c>
      <c r="L107" s="58">
        <f>prev K107 + CFtS*coeff_discount</f>
        <v>-15448.969796046962</v>
      </c>
      <c r="M107" s="58">
        <f>prev L107 + CFtS*coeff_discount</f>
        <v>-12240.786687819626</v>
      </c>
      <c r="N107" s="58">
        <f>prev M107 + CFtS*coeff_discount</f>
        <v>-9321.409878524637</v>
      </c>
      <c r="O107" s="58">
        <f>prev N107 + CFtS*coeff_discount</f>
        <v>-6663.5952476339753</v>
      </c>
      <c r="P107" s="58">
        <f>prev O107 + CFtS*coeff_discount</f>
        <v>-4243.2715850625209</v>
      </c>
      <c r="Q107" s="58">
        <f>prev P107 + CFtS*coeff_discount</f>
        <v>-2039.2486413388874</v>
      </c>
      <c r="R107" s="58">
        <f>prev Q107 + CFtS*coeff_discount</f>
        <v>-32.934896355180399</v>
      </c>
      <c r="S107" s="58">
        <f>prev R107 + CFtS*coeff_discount</f>
        <v>1791.9331205230903</v>
      </c>
      <c r="T107" s="58">
        <f>prev S107 + CFtS*coeff_discount</f>
        <v>3449.5484374400612</v>
      </c>
      <c r="U107" s="58">
        <f>prev T107 + CFtS*coeff_discount</f>
        <v>4952.2769527828877</v>
      </c>
      <c r="V107" s="58">
        <f>prev U107 + CFtS*coeff_discount</f>
        <v>6310.8855185742468</v>
      </c>
      <c r="W107" s="58">
        <f>prev V107 + CFtS*coeff_discount</f>
        <v>7534.7541292702181</v>
      </c>
      <c r="X107" s="58">
        <f>prev W107 + CFtS*coeff_discount</f>
        <v>8632.071802132943</v>
      </c>
      <c r="Y107" s="58">
        <f>prev X107 + CFtS*coeff_discount</f>
        <v>9610.0159668017313</v>
      </c>
      <c r="Z107" s="58">
        <f>prev Y107 + CFtS*coeff_discount</f>
        <v>10474.91539204798</v>
      </c>
      <c r="AA107" s="58">
        <f>prev Z107 + CFtS*coeff_discount</f>
        <v>11337.167784744084</v>
      </c>
    </row>
    <row r="108" spans="1:87" x14ac:dyDescent="0.3"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spans="1:87" x14ac:dyDescent="0.3">
      <c r="D109" s="46"/>
      <c r="E109" s="76"/>
      <c r="F109" s="40"/>
      <c r="G109" s="40"/>
      <c r="H109" s="40"/>
      <c r="I109" s="41"/>
      <c r="J109" s="41"/>
      <c r="K109" s="28"/>
    </row>
    <row r="110" spans="1:87" x14ac:dyDescent="0.3">
      <c r="D110" s="46"/>
      <c r="E110" s="76"/>
      <c r="F110" s="40"/>
      <c r="G110" s="40"/>
      <c r="H110" s="40"/>
      <c r="I110" s="41"/>
      <c r="J110" s="41"/>
      <c r="K110" s="28"/>
    </row>
    <row r="111" spans="1:87" x14ac:dyDescent="0.3">
      <c r="D111" s="46"/>
      <c r="E111" s="76"/>
      <c r="F111" s="40"/>
      <c r="G111" s="40"/>
      <c r="H111" s="40"/>
      <c r="I111" s="41"/>
      <c r="J111" s="41"/>
      <c r="K111" s="28"/>
    </row>
    <row r="112" spans="1:87" x14ac:dyDescent="0.3">
      <c r="D112" s="46"/>
      <c r="E112" s="76"/>
      <c r="F112" s="41"/>
      <c r="G112" s="41"/>
      <c r="H112" s="41"/>
      <c r="I112" s="41"/>
      <c r="J112" s="41"/>
      <c r="K112" s="28"/>
    </row>
    <row r="113" spans="4:11" x14ac:dyDescent="0.3">
      <c r="D113" s="46"/>
      <c r="E113" s="76"/>
      <c r="F113" s="41"/>
      <c r="G113" s="41"/>
      <c r="H113" s="41"/>
      <c r="I113" s="41"/>
      <c r="J113" s="41"/>
      <c r="K113" s="28"/>
    </row>
    <row r="114" spans="4:11" x14ac:dyDescent="0.3">
      <c r="D114" s="46"/>
      <c r="E114" s="76"/>
      <c r="F114" s="41"/>
      <c r="G114" s="41"/>
      <c r="H114" s="41"/>
      <c r="I114" s="41"/>
      <c r="J114" s="41"/>
      <c r="K114" s="28"/>
    </row>
    <row r="115" spans="4:11" x14ac:dyDescent="0.3">
      <c r="D115" s="46"/>
      <c r="E115" s="76"/>
      <c r="F115" s="41"/>
      <c r="G115" s="41"/>
      <c r="H115" s="41"/>
      <c r="I115" s="41"/>
      <c r="J115" s="41"/>
      <c r="K115" s="28"/>
    </row>
    <row r="116" spans="4:11" x14ac:dyDescent="0.3">
      <c r="D116" s="58"/>
      <c r="E116" s="76"/>
      <c r="F116" s="28"/>
      <c r="G116" s="28"/>
      <c r="H116" s="28"/>
      <c r="I116" s="28"/>
      <c r="J116" s="41"/>
      <c r="K116" s="28"/>
    </row>
    <row r="117" spans="4:11" x14ac:dyDescent="0.3">
      <c r="D117" s="58"/>
      <c r="E117" s="76"/>
      <c r="F117" s="28"/>
      <c r="G117" s="28"/>
      <c r="H117" s="28"/>
      <c r="I117" s="28"/>
      <c r="J117" s="28"/>
      <c r="K117" s="28"/>
    </row>
    <row r="118" spans="4:11" x14ac:dyDescent="0.3">
      <c r="D118" s="58"/>
      <c r="E118" s="76"/>
      <c r="F118" s="28"/>
      <c r="G118" s="28"/>
      <c r="H118" s="28"/>
      <c r="I118" s="28"/>
      <c r="J118" s="28"/>
      <c r="K118" s="28"/>
    </row>
    <row r="119" spans="4:11" x14ac:dyDescent="0.3">
      <c r="E119" s="76"/>
    </row>
    <row r="120" spans="4:11" x14ac:dyDescent="0.3">
      <c r="E120" s="76"/>
    </row>
    <row r="121" spans="4:11" x14ac:dyDescent="0.3">
      <c r="E121" s="67"/>
    </row>
    <row r="122" spans="4:11" x14ac:dyDescent="0.3">
      <c r="E122" s="67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22"/>
  <sheetViews>
    <sheetView topLeftCell="A97" zoomScaleNormal="100" workbookViewId="0">
      <pane xSplit="1" topLeftCell="B1" activePane="topRight" state="frozen"/>
      <selection activeCell="A12" sqref="A12"/>
      <selection pane="topRight" activeCell="AA37" sqref="AA37"/>
    </sheetView>
  </sheetViews>
  <sheetFormatPr defaultColWidth="9.109375" defaultRowHeight="14.4" x14ac:dyDescent="0.3"/>
  <cols>
    <col min="1" max="1" width="40" style="9" customWidth="1"/>
    <col min="2" max="2" width="19.44140625" style="9" customWidth="1"/>
    <col min="3" max="3" width="19.6640625" style="9" customWidth="1"/>
    <col min="4" max="4" width="11.44140625" style="10" customWidth="1"/>
    <col min="5" max="5" width="18" style="9" customWidth="1"/>
    <col min="6" max="6" width="12.6640625" style="9" bestFit="1" customWidth="1"/>
    <col min="7" max="7" width="13.44140625" style="9" bestFit="1" customWidth="1"/>
    <col min="8" max="8" width="12.6640625" style="9" bestFit="1" customWidth="1"/>
    <col min="9" max="9" width="13" style="9" bestFit="1" customWidth="1"/>
    <col min="10" max="10" width="14.109375" style="9" bestFit="1" customWidth="1"/>
    <col min="11" max="11" width="10" style="9" customWidth="1"/>
    <col min="12" max="15" width="13" style="9" bestFit="1" customWidth="1"/>
    <col min="16" max="16" width="12.77734375" style="9" bestFit="1" customWidth="1"/>
    <col min="17" max="27" width="11.77734375" style="9" bestFit="1" customWidth="1"/>
    <col min="28" max="87" width="9.109375" style="9"/>
    <col min="88" max="16384" width="9.109375" style="1"/>
  </cols>
  <sheetData>
    <row r="2" spans="1:87" x14ac:dyDescent="0.3">
      <c r="CE2" s="1"/>
      <c r="CF2" s="1"/>
      <c r="CG2" s="1"/>
      <c r="CH2" s="1"/>
      <c r="CI2" s="1"/>
    </row>
    <row r="3" spans="1:87" x14ac:dyDescent="0.3">
      <c r="CE3" s="1"/>
      <c r="CF3" s="1"/>
      <c r="CG3" s="1"/>
      <c r="CH3" s="1"/>
      <c r="CI3" s="1"/>
    </row>
    <row r="4" spans="1:87" x14ac:dyDescent="0.3">
      <c r="CE4" s="1"/>
      <c r="CF4" s="1"/>
      <c r="CG4" s="1"/>
      <c r="CH4" s="1"/>
      <c r="CI4" s="1"/>
    </row>
    <row r="5" spans="1:87" x14ac:dyDescent="0.3">
      <c r="CE5" s="1"/>
      <c r="CF5" s="1"/>
      <c r="CG5" s="1"/>
      <c r="CH5" s="1"/>
      <c r="CI5" s="1"/>
    </row>
    <row r="6" spans="1:87" x14ac:dyDescent="0.3">
      <c r="CE6" s="1"/>
      <c r="CF6" s="1"/>
      <c r="CG6" s="1"/>
      <c r="CH6" s="1"/>
      <c r="CI6" s="1"/>
    </row>
    <row r="7" spans="1:87" ht="15.6" x14ac:dyDescent="0.3">
      <c r="A7" s="77" t="s">
        <v>0</v>
      </c>
      <c r="B7" s="11"/>
      <c r="C7" s="11"/>
      <c r="CE7" s="1"/>
      <c r="CF7" s="1"/>
      <c r="CG7" s="1"/>
      <c r="CH7" s="1"/>
      <c r="CI7" s="1"/>
    </row>
    <row r="8" spans="1:87" x14ac:dyDescent="0.3">
      <c r="A8" s="13" t="s">
        <v>1</v>
      </c>
      <c r="B8" s="12" t="s">
        <v>25</v>
      </c>
      <c r="C8" s="14">
        <v>0.06</v>
      </c>
      <c r="CE8" s="1"/>
      <c r="CF8" s="1"/>
      <c r="CG8" s="1"/>
      <c r="CH8" s="1"/>
      <c r="CI8" s="1"/>
    </row>
    <row r="9" spans="1:87" x14ac:dyDescent="0.3">
      <c r="A9" s="15" t="s">
        <v>67</v>
      </c>
      <c r="B9" s="12" t="s">
        <v>113</v>
      </c>
      <c r="C9" s="14">
        <v>0.15</v>
      </c>
      <c r="CE9" s="1"/>
      <c r="CF9" s="1"/>
      <c r="CG9" s="1"/>
      <c r="CH9" s="1"/>
      <c r="CI9" s="1"/>
    </row>
    <row r="10" spans="1:87" x14ac:dyDescent="0.3">
      <c r="A10" s="15" t="s">
        <v>68</v>
      </c>
      <c r="B10" s="12" t="s">
        <v>70</v>
      </c>
      <c r="C10" s="16">
        <v>500000</v>
      </c>
      <c r="CE10" s="1"/>
      <c r="CF10" s="1"/>
      <c r="CG10" s="1"/>
      <c r="CH10" s="1"/>
      <c r="CI10" s="1"/>
    </row>
    <row r="11" spans="1:87" x14ac:dyDescent="0.3">
      <c r="A11" s="15" t="s">
        <v>69</v>
      </c>
      <c r="B11" s="12" t="s">
        <v>69</v>
      </c>
      <c r="C11" s="16">
        <v>24</v>
      </c>
      <c r="CE11" s="1"/>
      <c r="CF11" s="1"/>
      <c r="CG11" s="1"/>
      <c r="CH11" s="1"/>
      <c r="CI11" s="1"/>
    </row>
    <row r="12" spans="1:87" x14ac:dyDescent="0.3">
      <c r="A12" s="17" t="s">
        <v>5</v>
      </c>
      <c r="B12" s="12" t="s">
        <v>71</v>
      </c>
      <c r="C12" s="18">
        <f>initial_amount * (interest_rate/12)/(1-POWER(1+interest_rate/12,-initial_term))</f>
        <v>26435.54862662495</v>
      </c>
      <c r="CE12" s="1"/>
      <c r="CF12" s="1"/>
      <c r="CG12" s="1"/>
      <c r="CH12" s="1"/>
      <c r="CI12" s="1"/>
    </row>
    <row r="13" spans="1:87" x14ac:dyDescent="0.3">
      <c r="A13" s="19"/>
      <c r="B13" s="19"/>
      <c r="C13" s="19"/>
      <c r="CE13" s="1"/>
      <c r="CF13" s="1"/>
      <c r="CG13" s="1"/>
      <c r="CH13" s="1"/>
      <c r="CI13" s="1"/>
    </row>
    <row r="14" spans="1:87" ht="15.6" x14ac:dyDescent="0.3">
      <c r="A14" s="77" t="s">
        <v>2</v>
      </c>
      <c r="B14" s="19"/>
      <c r="C14" s="19"/>
      <c r="CE14" s="1"/>
      <c r="CF14" s="1"/>
      <c r="CG14" s="1"/>
      <c r="CH14" s="1"/>
      <c r="CI14" s="1"/>
    </row>
    <row r="15" spans="1:87" x14ac:dyDescent="0.3">
      <c r="A15" s="13" t="s">
        <v>6</v>
      </c>
      <c r="B15" s="12" t="s">
        <v>72</v>
      </c>
      <c r="C15" s="20">
        <v>0.24</v>
      </c>
      <c r="CE15" s="1"/>
      <c r="CF15" s="1"/>
      <c r="CG15" s="1"/>
      <c r="CH15" s="1"/>
      <c r="CI15" s="1"/>
    </row>
    <row r="16" spans="1:87" x14ac:dyDescent="0.3">
      <c r="A16" s="17" t="s">
        <v>114</v>
      </c>
      <c r="B16" s="21" t="s">
        <v>114</v>
      </c>
      <c r="C16" s="14">
        <v>0.01</v>
      </c>
      <c r="CE16" s="1"/>
      <c r="CF16" s="1"/>
      <c r="CG16" s="1"/>
      <c r="CH16" s="1"/>
      <c r="CI16" s="1"/>
    </row>
    <row r="17" spans="1:87" x14ac:dyDescent="0.3">
      <c r="A17" s="19"/>
      <c r="B17" s="19"/>
      <c r="C17" s="19"/>
      <c r="CE17" s="1"/>
      <c r="CF17" s="1"/>
      <c r="CG17" s="1"/>
      <c r="CH17" s="1"/>
      <c r="CI17" s="1"/>
    </row>
    <row r="18" spans="1:87" ht="15.6" x14ac:dyDescent="0.3">
      <c r="A18" s="77" t="s">
        <v>31</v>
      </c>
      <c r="B18" s="19"/>
      <c r="C18" s="19"/>
      <c r="CE18" s="1"/>
      <c r="CF18" s="1"/>
      <c r="CG18" s="1"/>
      <c r="CH18" s="1"/>
      <c r="CI18" s="1"/>
    </row>
    <row r="19" spans="1:87" x14ac:dyDescent="0.3">
      <c r="A19" s="13" t="s">
        <v>15</v>
      </c>
      <c r="B19" s="12" t="s">
        <v>49</v>
      </c>
      <c r="C19" s="20">
        <v>0.17</v>
      </c>
    </row>
    <row r="20" spans="1:87" x14ac:dyDescent="0.3">
      <c r="A20" s="15" t="s">
        <v>7</v>
      </c>
      <c r="B20" s="12" t="s">
        <v>26</v>
      </c>
      <c r="C20" s="20">
        <v>0.2</v>
      </c>
    </row>
    <row r="21" spans="1:87" x14ac:dyDescent="0.3">
      <c r="A21" s="15" t="s">
        <v>30</v>
      </c>
      <c r="B21" s="12" t="s">
        <v>27</v>
      </c>
      <c r="C21" s="20">
        <v>0.3</v>
      </c>
    </row>
    <row r="22" spans="1:87" x14ac:dyDescent="0.3">
      <c r="A22" s="17" t="s">
        <v>55</v>
      </c>
      <c r="B22" s="12" t="s">
        <v>73</v>
      </c>
      <c r="C22" s="22">
        <v>0.125</v>
      </c>
    </row>
    <row r="23" spans="1:87" x14ac:dyDescent="0.3">
      <c r="A23" s="19"/>
      <c r="B23" s="19"/>
      <c r="C23" s="19"/>
    </row>
    <row r="24" spans="1:87" ht="15.6" x14ac:dyDescent="0.3">
      <c r="A24" s="77" t="s">
        <v>8</v>
      </c>
      <c r="B24" s="19"/>
      <c r="C24" s="19"/>
    </row>
    <row r="25" spans="1:87" x14ac:dyDescent="0.3">
      <c r="A25" s="13" t="s">
        <v>3</v>
      </c>
      <c r="B25" s="12" t="s">
        <v>28</v>
      </c>
      <c r="C25" s="16">
        <v>100</v>
      </c>
    </row>
    <row r="26" spans="1:87" x14ac:dyDescent="0.3">
      <c r="A26" s="15" t="s">
        <v>4</v>
      </c>
      <c r="B26" s="12" t="s">
        <v>29</v>
      </c>
      <c r="C26" s="16">
        <v>500</v>
      </c>
    </row>
    <row r="27" spans="1:87" x14ac:dyDescent="0.3">
      <c r="A27" s="17" t="s">
        <v>66</v>
      </c>
      <c r="B27" s="12" t="s">
        <v>74</v>
      </c>
      <c r="C27" s="20">
        <v>0.2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87" x14ac:dyDescent="0.3">
      <c r="A28" s="19"/>
      <c r="B28" s="2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87" x14ac:dyDescent="0.3">
      <c r="A29" s="19"/>
      <c r="B29" s="23"/>
      <c r="C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87" x14ac:dyDescent="0.3">
      <c r="A30" s="19"/>
      <c r="B30" s="23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87" x14ac:dyDescent="0.3">
      <c r="A31" s="19"/>
      <c r="B31" s="23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87" x14ac:dyDescent="0.3">
      <c r="A32" s="19"/>
      <c r="B32" s="2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87" x14ac:dyDescent="0.3">
      <c r="A33" s="19"/>
      <c r="B33" s="23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87" x14ac:dyDescent="0.3">
      <c r="A34" s="19"/>
      <c r="C34" s="10">
        <v>0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</row>
    <row r="35" spans="1:87" s="6" customFormat="1" x14ac:dyDescent="0.3">
      <c r="A35" s="24"/>
      <c r="B35" s="25" t="s">
        <v>75</v>
      </c>
      <c r="C35" s="26">
        <v>0</v>
      </c>
      <c r="D35" s="26">
        <v>0</v>
      </c>
      <c r="E35" s="26">
        <v>0</v>
      </c>
      <c r="F35" s="26">
        <v>0</v>
      </c>
      <c r="G35" s="26">
        <v>2.6529267739842301E-2</v>
      </c>
      <c r="H35" s="26">
        <v>5.8666189875252904E-3</v>
      </c>
      <c r="I35" s="26">
        <v>6.6008806877057898E-3</v>
      </c>
      <c r="J35" s="26">
        <v>7.2704343533279902E-3</v>
      </c>
      <c r="K35" s="26">
        <v>7.8752799843918898E-3</v>
      </c>
      <c r="L35" s="26">
        <v>8.4154175808974808E-3</v>
      </c>
      <c r="M35" s="26">
        <v>8.8908471428447607E-3</v>
      </c>
      <c r="N35" s="26">
        <v>9.3015686702337397E-3</v>
      </c>
      <c r="O35" s="26">
        <v>9.6475821630644196E-3</v>
      </c>
      <c r="P35" s="26">
        <v>9.9288876213367901E-3</v>
      </c>
      <c r="Q35" s="26">
        <v>1.0145485045050801E-2</v>
      </c>
      <c r="R35" s="26">
        <v>1.0297374434206599E-2</v>
      </c>
      <c r="S35" s="26">
        <v>1.0384555788804E-2</v>
      </c>
      <c r="T35" s="26">
        <v>1.04070291088432E-2</v>
      </c>
      <c r="U35" s="26">
        <v>1.0364794394324001E-2</v>
      </c>
      <c r="V35" s="26">
        <v>1.0257851645246599E-2</v>
      </c>
      <c r="W35" s="26">
        <v>1.00862008616108E-2</v>
      </c>
      <c r="X35" s="26">
        <v>9.8498420434167799E-3</v>
      </c>
      <c r="Y35" s="26">
        <v>9.5487751906644103E-3</v>
      </c>
      <c r="Z35" s="26">
        <v>9.1830003033537295E-3</v>
      </c>
      <c r="AA35" s="26">
        <v>8.7525173814847496E-3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87" s="6" customFormat="1" x14ac:dyDescent="0.3">
      <c r="A36" s="24"/>
      <c r="B36" s="25" t="s">
        <v>78</v>
      </c>
      <c r="C36" s="26">
        <v>0</v>
      </c>
      <c r="D36" s="26">
        <v>7.9312229655490896E-2</v>
      </c>
      <c r="E36" s="26">
        <v>9.2028863735436006E-2</v>
      </c>
      <c r="F36" s="26">
        <v>0.10298596245869999</v>
      </c>
      <c r="G36" s="26">
        <v>9.0373441468767607E-2</v>
      </c>
      <c r="H36" s="26">
        <v>9.6911388374196494E-2</v>
      </c>
      <c r="I36" s="26">
        <v>0.103049713862195</v>
      </c>
      <c r="J36" s="26">
        <v>0.108788417932764</v>
      </c>
      <c r="K36" s="26">
        <v>0.114127500585903</v>
      </c>
      <c r="L36" s="26">
        <v>0.119066961821612</v>
      </c>
      <c r="M36" s="26">
        <v>0.12360680163989</v>
      </c>
      <c r="N36" s="26">
        <v>0.12774702004073901</v>
      </c>
      <c r="O36" s="26">
        <v>0.13148761702415801</v>
      </c>
      <c r="P36" s="26">
        <v>0.13482859259014701</v>
      </c>
      <c r="Q36" s="26">
        <v>0.13776994673870599</v>
      </c>
      <c r="R36" s="26">
        <v>0.140311679469835</v>
      </c>
      <c r="S36" s="26">
        <v>0.14245379078353401</v>
      </c>
      <c r="T36" s="26">
        <v>0.144196280679804</v>
      </c>
      <c r="U36" s="26">
        <v>0.14553914915864299</v>
      </c>
      <c r="V36" s="26">
        <v>0.14648239622005199</v>
      </c>
      <c r="W36" s="26">
        <v>0.14702602186403099</v>
      </c>
      <c r="X36" s="26">
        <v>0.14717002609058</v>
      </c>
      <c r="Y36" s="26">
        <v>0.14691440889969901</v>
      </c>
      <c r="Z36" s="26">
        <v>0.14625917029138799</v>
      </c>
      <c r="AA36" s="26">
        <v>0.14625917029138799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</row>
    <row r="37" spans="1:87" s="6" customFormat="1" x14ac:dyDescent="0.3">
      <c r="A37" s="24"/>
      <c r="B37" s="25" t="s">
        <v>76</v>
      </c>
      <c r="C37" s="26">
        <v>0</v>
      </c>
      <c r="D37" s="26">
        <v>3.5389410827823299E-2</v>
      </c>
      <c r="E37" s="26">
        <v>2.28304079654096E-2</v>
      </c>
      <c r="F37" s="26">
        <v>2.3083539506010799E-2</v>
      </c>
      <c r="G37" s="26">
        <v>2.3386009030250801E-2</v>
      </c>
      <c r="H37" s="26">
        <v>2.3737816538129699E-2</v>
      </c>
      <c r="I37" s="26">
        <v>2.4138962029647298E-2</v>
      </c>
      <c r="J37" s="26">
        <v>2.4589445504803801E-2</v>
      </c>
      <c r="K37" s="26">
        <v>2.5089266963599199E-2</v>
      </c>
      <c r="L37" s="26">
        <v>2.56384264060333E-2</v>
      </c>
      <c r="M37" s="26">
        <v>2.6236923832106299E-2</v>
      </c>
      <c r="N37" s="26">
        <v>2.6884759241818101E-2</v>
      </c>
      <c r="O37" s="26">
        <v>2.7581932635168699E-2</v>
      </c>
      <c r="P37" s="26">
        <v>2.8328444012158199E-2</v>
      </c>
      <c r="Q37" s="26">
        <v>2.9124293372786401E-2</v>
      </c>
      <c r="R37" s="26">
        <v>2.99694807170535E-2</v>
      </c>
      <c r="S37" s="26">
        <v>3.0864006044959501E-2</v>
      </c>
      <c r="T37" s="26">
        <v>3.1807869356504197E-2</v>
      </c>
      <c r="U37" s="26">
        <v>3.2801070651687803E-2</v>
      </c>
      <c r="V37" s="26">
        <v>3.38436099305102E-2</v>
      </c>
      <c r="W37" s="26">
        <v>3.4935487192971501E-2</v>
      </c>
      <c r="X37" s="26">
        <v>3.6076702439071497E-2</v>
      </c>
      <c r="Y37" s="26">
        <v>3.7267255668810402E-2</v>
      </c>
      <c r="Z37" s="26">
        <v>3.8507146882188099E-2</v>
      </c>
      <c r="AA37" s="26">
        <v>3.9796376079204603E-2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1:87" x14ac:dyDescent="0.3">
      <c r="A38" s="19"/>
      <c r="B38" s="23"/>
      <c r="C38" s="80"/>
      <c r="D38" s="80"/>
      <c r="E38" s="80"/>
      <c r="F38" s="80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spans="1:87" x14ac:dyDescent="0.3">
      <c r="A39" s="19"/>
      <c r="B39" s="23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 spans="1:87" x14ac:dyDescent="0.3">
      <c r="B40" s="23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 spans="1:87" x14ac:dyDescent="0.3">
      <c r="B41" s="19"/>
      <c r="C41" s="23" t="s">
        <v>77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87" s="3" customFormat="1" ht="15.6" x14ac:dyDescent="0.3">
      <c r="A42" s="77" t="s">
        <v>24</v>
      </c>
      <c r="B42" s="27"/>
      <c r="C42" s="10">
        <v>0</v>
      </c>
      <c r="D42" s="10">
        <v>1</v>
      </c>
      <c r="E42" s="10">
        <v>2</v>
      </c>
      <c r="F42" s="10">
        <v>3</v>
      </c>
      <c r="G42" s="10">
        <v>4</v>
      </c>
      <c r="H42" s="10">
        <v>5</v>
      </c>
      <c r="I42" s="10">
        <v>6</v>
      </c>
      <c r="J42" s="10">
        <v>7</v>
      </c>
      <c r="K42" s="10">
        <v>8</v>
      </c>
      <c r="L42" s="10">
        <v>9</v>
      </c>
      <c r="M42" s="10">
        <v>10</v>
      </c>
      <c r="N42" s="10">
        <v>11</v>
      </c>
      <c r="O42" s="10">
        <v>12</v>
      </c>
      <c r="P42" s="10">
        <v>13</v>
      </c>
      <c r="Q42" s="10">
        <v>14</v>
      </c>
      <c r="R42" s="10">
        <v>15</v>
      </c>
      <c r="S42" s="10">
        <v>16</v>
      </c>
      <c r="T42" s="10">
        <v>17</v>
      </c>
      <c r="U42" s="10">
        <v>18</v>
      </c>
      <c r="V42" s="10">
        <v>19</v>
      </c>
      <c r="W42" s="10">
        <v>20</v>
      </c>
      <c r="X42" s="10">
        <v>21</v>
      </c>
      <c r="Y42" s="10">
        <v>22</v>
      </c>
      <c r="Z42" s="10">
        <v>23</v>
      </c>
      <c r="AA42" s="10">
        <v>24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 spans="1:87" s="3" customFormat="1" x14ac:dyDescent="0.3">
      <c r="A43" s="29" t="s">
        <v>36</v>
      </c>
      <c r="B43" s="27" t="s">
        <v>37</v>
      </c>
      <c r="C43" s="30">
        <f>1-accnt_wro-accnt_clo</f>
        <v>1</v>
      </c>
      <c r="D43" s="31">
        <f>1-accnt_wro-accnt_clo</f>
        <v>0.96461058917217668</v>
      </c>
      <c r="E43" s="31">
        <f t="shared" ref="E43:AA43" si="0">1-accnt_wro-accnt_clo</f>
        <v>0.94258813589362178</v>
      </c>
      <c r="F43" s="31">
        <f t="shared" si="0"/>
        <v>0.92082986542082435</v>
      </c>
      <c r="G43" s="31">
        <f t="shared" si="0"/>
        <v>0.87486638783017623</v>
      </c>
      <c r="H43" s="31">
        <f t="shared" si="0"/>
        <v>0.84896646225809513</v>
      </c>
      <c r="I43" s="31">
        <f t="shared" si="0"/>
        <v>0.82286936673597366</v>
      </c>
      <c r="J43" s="31">
        <f t="shared" si="0"/>
        <v>0.7966528475728285</v>
      </c>
      <c r="K43" s="31">
        <f t="shared" si="0"/>
        <v>0.77039154737776316</v>
      </c>
      <c r="L43" s="31">
        <f t="shared" si="0"/>
        <v>0.74415675381451074</v>
      </c>
      <c r="M43" s="31">
        <f t="shared" si="0"/>
        <v>0.71801618579705151</v>
      </c>
      <c r="N43" s="31">
        <f t="shared" si="0"/>
        <v>0.69203381665163866</v>
      </c>
      <c r="O43" s="31">
        <f t="shared" si="0"/>
        <v>0.66626973343372875</v>
      </c>
      <c r="P43" s="31">
        <f t="shared" si="0"/>
        <v>0.64078003128439431</v>
      </c>
      <c r="Q43" s="31">
        <f t="shared" si="0"/>
        <v>0.61561674144128131</v>
      </c>
      <c r="R43" s="31">
        <f t="shared" si="0"/>
        <v>0.59082779128497454</v>
      </c>
      <c r="S43" s="31">
        <f t="shared" si="0"/>
        <v>0.56645699460305021</v>
      </c>
      <c r="T43" s="31">
        <f t="shared" si="0"/>
        <v>0.54254407009089678</v>
      </c>
      <c r="U43" s="31">
        <f t="shared" si="0"/>
        <v>0.51912468597983907</v>
      </c>
      <c r="V43" s="31">
        <f t="shared" si="0"/>
        <v>0.49623052858807232</v>
      </c>
      <c r="W43" s="31">
        <f t="shared" si="0"/>
        <v>0.47388939252681961</v>
      </c>
      <c r="X43" s="31">
        <f t="shared" si="0"/>
        <v>0.45212529026115733</v>
      </c>
      <c r="Y43" s="31">
        <f t="shared" si="0"/>
        <v>0.43095857871994198</v>
      </c>
      <c r="Z43" s="31">
        <f t="shared" si="0"/>
        <v>0.41040610066991601</v>
      </c>
      <c r="AA43" s="31">
        <f t="shared" si="0"/>
        <v>0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 spans="1:87" s="3" customFormat="1" x14ac:dyDescent="0.3">
      <c r="A44" s="32" t="s">
        <v>9</v>
      </c>
      <c r="B44" s="33" t="s">
        <v>32</v>
      </c>
      <c r="C44" s="30">
        <v>1</v>
      </c>
      <c r="D44" s="26">
        <f>accnt_act-accnt_dlq</f>
        <v>0.8881051725956346</v>
      </c>
      <c r="E44" s="26">
        <f t="shared" ref="E44:AA44" si="1">accnt_act-accnt_dlq</f>
        <v>0.85584282077682905</v>
      </c>
      <c r="F44" s="26">
        <f t="shared" si="1"/>
        <v>0.82599731546974553</v>
      </c>
      <c r="G44" s="26">
        <f t="shared" si="1"/>
        <v>0.79580170153661367</v>
      </c>
      <c r="H44" s="26">
        <f t="shared" si="1"/>
        <v>0.76669194371753324</v>
      </c>
      <c r="I44" s="26">
        <f t="shared" si="1"/>
        <v>0.73807291394786601</v>
      </c>
      <c r="J44" s="26">
        <f t="shared" si="1"/>
        <v>0.70998624464374904</v>
      </c>
      <c r="K44" s="26">
        <f t="shared" si="1"/>
        <v>0.68246868560303275</v>
      </c>
      <c r="L44" s="26">
        <f t="shared" si="1"/>
        <v>0.65555227001878369</v>
      </c>
      <c r="M44" s="26">
        <f t="shared" si="1"/>
        <v>0.62926450154500491</v>
      </c>
      <c r="N44" s="26">
        <f t="shared" si="1"/>
        <v>0.60362855880697264</v>
      </c>
      <c r="O44" s="26">
        <f t="shared" si="1"/>
        <v>0.57866351388920678</v>
      </c>
      <c r="P44" s="26">
        <f t="shared" si="1"/>
        <v>0.5543845615064491</v>
      </c>
      <c r="Q44" s="26">
        <f t="shared" si="1"/>
        <v>0.53080325576146026</v>
      </c>
      <c r="R44" s="26">
        <f t="shared" si="1"/>
        <v>0.50792775161232662</v>
      </c>
      <c r="S44" s="26">
        <f t="shared" si="1"/>
        <v>0.48576304840599782</v>
      </c>
      <c r="T44" s="26">
        <f t="shared" si="1"/>
        <v>0.46431123307890654</v>
      </c>
      <c r="U44" s="26">
        <f t="shared" si="1"/>
        <v>0.44357172087508556</v>
      </c>
      <c r="V44" s="26">
        <f t="shared" si="1"/>
        <v>0.42354149168294847</v>
      </c>
      <c r="W44" s="26">
        <f t="shared" si="1"/>
        <v>0.40421532034003904</v>
      </c>
      <c r="X44" s="26">
        <f t="shared" si="1"/>
        <v>0.38558599949721173</v>
      </c>
      <c r="Y44" s="26">
        <f t="shared" si="1"/>
        <v>0.36764455386704731</v>
      </c>
      <c r="Z44" s="26">
        <f t="shared" si="1"/>
        <v>0.35038044490341025</v>
      </c>
      <c r="AA44" s="26">
        <f t="shared" si="1"/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 spans="1:87" s="3" customFormat="1" ht="14.25" customHeight="1" x14ac:dyDescent="0.3">
      <c r="A45" s="32" t="s">
        <v>10</v>
      </c>
      <c r="B45" s="33" t="s">
        <v>33</v>
      </c>
      <c r="C45" s="30">
        <v>0</v>
      </c>
      <c r="D45" s="26">
        <f>accnt_act*DLNQ_Ratio</f>
        <v>7.6505416576542057E-2</v>
      </c>
      <c r="E45" s="26">
        <f t="shared" ref="E45:AA45" si="2">accnt_act*DLNQ_Ratio</f>
        <v>8.6745315116792759E-2</v>
      </c>
      <c r="F45" s="26">
        <f t="shared" si="2"/>
        <v>9.4832549951078787E-2</v>
      </c>
      <c r="G45" s="26">
        <f t="shared" si="2"/>
        <v>7.9064686293562572E-2</v>
      </c>
      <c r="H45" s="26">
        <f t="shared" si="2"/>
        <v>8.2274518540561892E-2</v>
      </c>
      <c r="I45" s="26">
        <f t="shared" si="2"/>
        <v>8.4796452788107685E-2</v>
      </c>
      <c r="J45" s="26">
        <f t="shared" si="2"/>
        <v>8.6666602929079406E-2</v>
      </c>
      <c r="K45" s="26">
        <f t="shared" si="2"/>
        <v>8.7922861774730382E-2</v>
      </c>
      <c r="L45" s="26">
        <f t="shared" si="2"/>
        <v>8.8604483795727065E-2</v>
      </c>
      <c r="M45" s="26">
        <f t="shared" si="2"/>
        <v>8.8751684252046548E-2</v>
      </c>
      <c r="N45" s="26">
        <f t="shared" si="2"/>
        <v>8.8405257844665991E-2</v>
      </c>
      <c r="O45" s="26">
        <f t="shared" si="2"/>
        <v>8.7606219544521968E-2</v>
      </c>
      <c r="P45" s="26">
        <f t="shared" si="2"/>
        <v>8.6395469777945252E-2</v>
      </c>
      <c r="Q45" s="26">
        <f t="shared" si="2"/>
        <v>8.4813485679821068E-2</v>
      </c>
      <c r="R45" s="26">
        <f t="shared" si="2"/>
        <v>8.2900039672647918E-2</v>
      </c>
      <c r="S45" s="26">
        <f t="shared" si="2"/>
        <v>8.0693946197052377E-2</v>
      </c>
      <c r="T45" s="26">
        <f t="shared" si="2"/>
        <v>7.8232837011990214E-2</v>
      </c>
      <c r="U45" s="26">
        <f t="shared" si="2"/>
        <v>7.5552965104753511E-2</v>
      </c>
      <c r="V45" s="26">
        <f t="shared" si="2"/>
        <v>7.2689036905123849E-2</v>
      </c>
      <c r="W45" s="26">
        <f t="shared" si="2"/>
        <v>6.9674072186780539E-2</v>
      </c>
      <c r="X45" s="26">
        <f t="shared" si="2"/>
        <v>6.6539290763945574E-2</v>
      </c>
      <c r="Y45" s="26">
        <f t="shared" si="2"/>
        <v>6.3314024852894682E-2</v>
      </c>
      <c r="Z45" s="26">
        <f t="shared" si="2"/>
        <v>6.0025655766505766E-2</v>
      </c>
      <c r="AA45" s="26">
        <f t="shared" si="2"/>
        <v>0</v>
      </c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 spans="1:87" s="3" customFormat="1" x14ac:dyDescent="0.3">
      <c r="A46" s="29" t="s">
        <v>38</v>
      </c>
      <c r="B46" s="27" t="s">
        <v>39</v>
      </c>
      <c r="C46" s="30">
        <v>0</v>
      </c>
      <c r="D46" s="26">
        <f>prev accnt_act*CLO_Rate +prev accnt_clo</f>
        <v>3.5389410827823299E-2</v>
      </c>
      <c r="E46" s="26">
        <f>prev accnt_act*CLO_Rate +prev accnt_clo</f>
        <v>5.7411864106378205E-2</v>
      </c>
      <c r="F46" s="26">
        <f>prev accnt_act*CLO_Rate +prev accnt_clo</f>
        <v>7.9170134579175697E-2</v>
      </c>
      <c r="G46" s="26">
        <f>prev accnt_act*CLO_Rate +prev accnt_clo</f>
        <v>0.10070467012723172</v>
      </c>
      <c r="H46" s="26">
        <f>prev accnt_act*CLO_Rate +prev accnt_clo</f>
        <v>0.12147208793692067</v>
      </c>
      <c r="I46" s="26">
        <f>prev accnt_act*CLO_Rate +prev accnt_clo</f>
        <v>0.14196525713381283</v>
      </c>
      <c r="J46" s="26">
        <f>prev accnt_act*CLO_Rate +prev accnt_clo</f>
        <v>0.16219915858473946</v>
      </c>
      <c r="K46" s="26">
        <f>prev accnt_act*CLO_Rate +prev accnt_clo</f>
        <v>0.18218659455480565</v>
      </c>
      <c r="L46" s="26">
        <f>prev accnt_act*CLO_Rate +prev accnt_clo</f>
        <v>0.20193822154608054</v>
      </c>
      <c r="M46" s="26">
        <f>prev accnt_act*CLO_Rate +prev accnt_clo</f>
        <v>0.22146260561505934</v>
      </c>
      <c r="N46" s="26">
        <f>prev accnt_act*CLO_Rate +prev accnt_clo</f>
        <v>0.24076629790194159</v>
      </c>
      <c r="O46" s="26">
        <f>prev accnt_act*CLO_Rate +prev accnt_clo</f>
        <v>0.2598539280140858</v>
      </c>
      <c r="P46" s="26">
        <f>prev accnt_act*CLO_Rate +prev accnt_clo</f>
        <v>0.27872831285465877</v>
      </c>
      <c r="Q46" s="26">
        <f>prev accnt_act*CLO_Rate +prev accnt_clo</f>
        <v>0.29739057847320871</v>
      </c>
      <c r="R46" s="26">
        <f>prev accnt_act*CLO_Rate +prev accnt_clo</f>
        <v>0.31584029253492851</v>
      </c>
      <c r="S46" s="26">
        <f>prev accnt_act*CLO_Rate +prev accnt_clo</f>
        <v>0.33407560505667805</v>
      </c>
      <c r="T46" s="26">
        <f>prev accnt_act*CLO_Rate +prev accnt_clo</f>
        <v>0.35209339513708987</v>
      </c>
      <c r="U46" s="26">
        <f>prev accnt_act*CLO_Rate +prev accnt_clo</f>
        <v>0.36988942151179566</v>
      </c>
      <c r="V46" s="26">
        <f>prev accnt_act*CLO_Rate +prev accnt_clo</f>
        <v>0.38745847488939594</v>
      </c>
      <c r="W46" s="26">
        <f>prev accnt_act*CLO_Rate +prev accnt_clo</f>
        <v>0.40479453016564604</v>
      </c>
      <c r="X46" s="26">
        <f>prev accnt_act*CLO_Rate +prev accnt_clo</f>
        <v>0.42189089676886848</v>
      </c>
      <c r="Y46" s="26">
        <f>prev accnt_act*CLO_Rate +prev accnt_clo</f>
        <v>0.43874036555536616</v>
      </c>
      <c r="Z46" s="26">
        <f>prev accnt_act*CLO_Rate +prev accnt_clo</f>
        <v>0.45533535084627397</v>
      </c>
      <c r="AA46" s="26">
        <f>1-accnt_wro</f>
        <v>0.86214936498660921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 spans="1:87" s="3" customFormat="1" x14ac:dyDescent="0.3">
      <c r="A47" s="29" t="s">
        <v>90</v>
      </c>
      <c r="B47" s="34" t="s">
        <v>91</v>
      </c>
      <c r="C47" s="35">
        <v>0</v>
      </c>
      <c r="D47" s="36">
        <f>prev accnt_act*DEF_Rate+prev accnt_DEF</f>
        <v>0</v>
      </c>
      <c r="E47" s="36">
        <f>prev accnt_act*DEF_Rate+prev accnt_DEF</f>
        <v>0</v>
      </c>
      <c r="F47" s="36">
        <f>prev accnt_act*DEF_Rate+prev accnt_DEF</f>
        <v>0</v>
      </c>
      <c r="G47" s="36">
        <f>prev accnt_act*DEF_Rate+prev accnt_DEF</f>
        <v>2.4428942042592001E-2</v>
      </c>
      <c r="H47" s="36">
        <f>prev accnt_act*DEF_Rate+prev accnt_DEF</f>
        <v>2.956144980498418E-2</v>
      </c>
      <c r="I47" s="36">
        <f>prev accnt_act*DEF_Rate+prev accnt_DEF</f>
        <v>3.5165376130213546E-2</v>
      </c>
      <c r="J47" s="36">
        <f>prev accnt_act*DEF_Rate+prev accnt_DEF</f>
        <v>4.1147993842432021E-2</v>
      </c>
      <c r="K47" s="36">
        <f>prev accnt_act*DEF_Rate+prev accnt_DEF</f>
        <v>4.742185806743112E-2</v>
      </c>
      <c r="L47" s="36">
        <f>prev accnt_act*DEF_Rate+prev accnt_DEF</f>
        <v>5.3905024639408765E-2</v>
      </c>
      <c r="M47" s="36">
        <f>prev accnt_act*DEF_Rate+prev accnt_DEF</f>
        <v>6.052120858788914E-2</v>
      </c>
      <c r="N47" s="36">
        <f>prev accnt_act*DEF_Rate+prev accnt_DEF</f>
        <v>6.7199885446419722E-2</v>
      </c>
      <c r="O47" s="36">
        <f>prev accnt_act*DEF_Rate+prev accnt_DEF</f>
        <v>7.3876338552185464E-2</v>
      </c>
      <c r="P47" s="36">
        <f>prev accnt_act*DEF_Rate+prev accnt_DEF</f>
        <v>8.0491655860946976E-2</v>
      </c>
      <c r="Q47" s="36">
        <f>prev accnt_act*DEF_Rate+prev accnt_DEF</f>
        <v>8.6992680085509977E-2</v>
      </c>
      <c r="R47" s="36">
        <f>prev accnt_act*DEF_Rate+prev accnt_DEF</f>
        <v>9.3331916180097008E-2</v>
      </c>
      <c r="S47" s="36">
        <f>prev accnt_act*DEF_Rate+prev accnt_DEF</f>
        <v>9.9467400340271669E-2</v>
      </c>
      <c r="T47" s="36">
        <f>prev accnt_act*DEF_Rate+prev accnt_DEF</f>
        <v>0.10536253477201345</v>
      </c>
      <c r="U47" s="36">
        <f>prev accnt_act*DEF_Rate+prev accnt_DEF</f>
        <v>0.1109858925083653</v>
      </c>
      <c r="V47" s="36">
        <f>prev accnt_act*DEF_Rate+prev accnt_DEF</f>
        <v>0.11631099652253171</v>
      </c>
      <c r="W47" s="36">
        <f>prev accnt_act*DEF_Rate+prev accnt_DEF</f>
        <v>0.12131607730753431</v>
      </c>
      <c r="X47" s="36">
        <f>prev accnt_act*DEF_Rate+prev accnt_DEF</f>
        <v>0.12598381296997421</v>
      </c>
      <c r="Y47" s="36">
        <f>prev accnt_act*DEF_Rate+prev accnt_DEF</f>
        <v>0.13030105572469189</v>
      </c>
      <c r="Z47" s="36">
        <f>prev accnt_act*DEF_Rate+prev accnt_DEF</f>
        <v>0.13425854848381</v>
      </c>
      <c r="AA47" s="36">
        <f>prev accnt_act*DEF_Rate+prev accnt_DEF</f>
        <v>0.13785063501339082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</row>
    <row r="48" spans="1:87" s="3" customFormat="1" ht="15.75" customHeight="1" x14ac:dyDescent="0.3">
      <c r="A48" s="28"/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40"/>
      <c r="M48" s="40"/>
      <c r="N48" s="41"/>
      <c r="O48" s="41"/>
      <c r="P48" s="41"/>
      <c r="Q48" s="41"/>
      <c r="R48" s="42"/>
      <c r="S48" s="38"/>
      <c r="T48" s="38"/>
      <c r="U48" s="38"/>
      <c r="V48" s="38"/>
      <c r="W48" s="38"/>
      <c r="X48" s="38"/>
      <c r="Y48" s="38"/>
      <c r="Z48" s="38"/>
      <c r="AA48" s="3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</row>
    <row r="49" spans="1:87" s="3" customFormat="1" x14ac:dyDescent="0.3">
      <c r="A49" s="29" t="s">
        <v>103</v>
      </c>
      <c r="B49" s="27" t="s">
        <v>104</v>
      </c>
      <c r="C49" s="31">
        <v>0</v>
      </c>
      <c r="D49" s="43">
        <f>accnt_DEF-prev accnt_DEF</f>
        <v>0</v>
      </c>
      <c r="E49" s="43">
        <f>accnt_DEF-prev accnt_DEF</f>
        <v>0</v>
      </c>
      <c r="F49" s="43">
        <f>accnt_DEF-prev accnt_DEF</f>
        <v>0</v>
      </c>
      <c r="G49" s="43">
        <f>accnt_DEF-prev accnt_DEF</f>
        <v>2.4428942042592001E-2</v>
      </c>
      <c r="H49" s="43">
        <f>accnt_DEF-prev accnt_DEF</f>
        <v>5.1325077623921786E-3</v>
      </c>
      <c r="I49" s="43">
        <f>accnt_DEF-prev accnt_DEF</f>
        <v>5.6039263252293664E-3</v>
      </c>
      <c r="J49" s="43">
        <f>accnt_DEF-prev accnt_DEF</f>
        <v>5.9826177122184743E-3</v>
      </c>
      <c r="K49" s="43">
        <f>accnt_DEF-prev accnt_DEF</f>
        <v>6.2738642249990997E-3</v>
      </c>
      <c r="L49" s="43">
        <f>accnt_DEF-prev accnt_DEF</f>
        <v>6.4831665719776443E-3</v>
      </c>
      <c r="M49" s="43">
        <f>accnt_DEF-prev accnt_DEF</f>
        <v>6.6161839484803753E-3</v>
      </c>
      <c r="N49" s="43">
        <f>accnt_DEF-prev accnt_DEF</f>
        <v>6.6786768585305814E-3</v>
      </c>
      <c r="O49" s="43">
        <f>accnt_DEF-prev accnt_DEF</f>
        <v>6.6764531057657422E-3</v>
      </c>
      <c r="P49" s="43">
        <f>accnt_DEF-prev accnt_DEF</f>
        <v>6.6153173087615119E-3</v>
      </c>
      <c r="Q49" s="43">
        <f>accnt_DEF-prev accnt_DEF</f>
        <v>6.5010242245630012E-3</v>
      </c>
      <c r="R49" s="43">
        <f>accnt_DEF-prev accnt_DEF</f>
        <v>6.3392360945870307E-3</v>
      </c>
      <c r="S49" s="43">
        <f>accnt_DEF-prev accnt_DEF</f>
        <v>6.1354841601746618E-3</v>
      </c>
      <c r="T49" s="43">
        <f>accnt_DEF-prev accnt_DEF</f>
        <v>5.8951344317417775E-3</v>
      </c>
      <c r="U49" s="43">
        <f>accnt_DEF-prev accnt_DEF</f>
        <v>5.62335773635185E-3</v>
      </c>
      <c r="V49" s="43">
        <f>accnt_DEF-prev accnt_DEF</f>
        <v>5.3251040141664152E-3</v>
      </c>
      <c r="W49" s="43">
        <f>accnt_DEF-prev accnt_DEF</f>
        <v>5.0050807850025997E-3</v>
      </c>
      <c r="X49" s="43">
        <f>accnt_DEF-prev accnt_DEF</f>
        <v>4.6677356624399008E-3</v>
      </c>
      <c r="Y49" s="43">
        <f>accnt_DEF-prev accnt_DEF</f>
        <v>4.3172427547176762E-3</v>
      </c>
      <c r="Z49" s="43">
        <f>accnt_DEF-prev accnt_DEF</f>
        <v>3.9574927591181086E-3</v>
      </c>
      <c r="AA49" s="43">
        <f>accnt_DEF-prev accnt_DEF</f>
        <v>3.592086529580818E-3</v>
      </c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</row>
    <row r="50" spans="1:87" x14ac:dyDescent="0.3">
      <c r="A50" s="29"/>
      <c r="B50" s="27"/>
      <c r="C50" s="44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87" ht="15.6" x14ac:dyDescent="0.3">
      <c r="A51" s="77" t="s">
        <v>79</v>
      </c>
      <c r="B51" s="27"/>
      <c r="C51" s="45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87" x14ac:dyDescent="0.3">
      <c r="A52" s="47" t="s">
        <v>35</v>
      </c>
      <c r="B52" s="27" t="s">
        <v>82</v>
      </c>
      <c r="C52" s="48">
        <f>initial_amount</f>
        <v>500000</v>
      </c>
      <c r="D52" s="49">
        <f>prev PB_model+int_model-regular_payment</f>
        <v>483564.45137337502</v>
      </c>
      <c r="E52" s="49">
        <f>prev PB_model+int_model-regular_payment</f>
        <v>466800.19177421753</v>
      </c>
      <c r="F52" s="49">
        <f>prev PB_model+int_model-regular_payment</f>
        <v>449700.64698307693</v>
      </c>
      <c r="G52" s="49">
        <f>prev PB_model+int_model-regular_payment</f>
        <v>432259.11129611358</v>
      </c>
      <c r="H52" s="49">
        <f>prev PB_model+int_model-regular_payment</f>
        <v>414468.74489541096</v>
      </c>
      <c r="I52" s="49">
        <f>prev PB_model+int_model-regular_payment</f>
        <v>396322.57116669428</v>
      </c>
      <c r="J52" s="49">
        <f>prev PB_model+int_model-regular_payment</f>
        <v>377813.47396340326</v>
      </c>
      <c r="K52" s="49">
        <f>prev PB_model+int_model-regular_payment</f>
        <v>358934.19481604639</v>
      </c>
      <c r="L52" s="49">
        <f>prev PB_model+int_model-regular_payment</f>
        <v>339677.3300857424</v>
      </c>
      <c r="M52" s="49">
        <f>prev PB_model+int_model-regular_payment</f>
        <v>320035.32806083234</v>
      </c>
      <c r="N52" s="49">
        <f>prev PB_model+int_model-regular_payment</f>
        <v>300000.48599542398</v>
      </c>
      <c r="O52" s="49">
        <f>prev PB_model+int_model-regular_payment</f>
        <v>279564.94708870747</v>
      </c>
      <c r="P52" s="49">
        <f>prev PB_model+int_model-regular_payment</f>
        <v>258720.6974038567</v>
      </c>
      <c r="Q52" s="49">
        <f>prev PB_model+int_model-regular_payment</f>
        <v>237459.5627253089</v>
      </c>
      <c r="R52" s="49">
        <f>prev PB_model+int_model-regular_payment</f>
        <v>215773.20535319013</v>
      </c>
      <c r="S52" s="49">
        <f>prev PB_model+int_model-regular_payment</f>
        <v>193653.12083362899</v>
      </c>
      <c r="T52" s="49">
        <f>prev PB_model+int_model-regular_payment</f>
        <v>171090.63462367663</v>
      </c>
      <c r="U52" s="49">
        <f>prev PB_model+int_model-regular_payment</f>
        <v>148076.8986895252</v>
      </c>
      <c r="V52" s="49">
        <f>prev PB_model+int_model-regular_payment</f>
        <v>124602.88803669077</v>
      </c>
      <c r="W52" s="49">
        <f>prev PB_model+int_model-regular_payment</f>
        <v>100659.39717079964</v>
      </c>
      <c r="X52" s="49">
        <f>prev PB_model+int_model-regular_payment</f>
        <v>76237.036487590682</v>
      </c>
      <c r="Y52" s="49">
        <f>prev PB_model+int_model-regular_payment</f>
        <v>51326.228590717539</v>
      </c>
      <c r="Z52" s="49">
        <f>prev PB_model+int_model-regular_payment</f>
        <v>25917.204535906938</v>
      </c>
      <c r="AA52" s="49">
        <f>prev PB_model+int_model-regular_payment</f>
        <v>1.2732925824820995E-10</v>
      </c>
    </row>
    <row r="53" spans="1:87" x14ac:dyDescent="0.3">
      <c r="A53" s="47" t="s">
        <v>80</v>
      </c>
      <c r="B53" s="50" t="s">
        <v>81</v>
      </c>
      <c r="C53" s="51">
        <f>PB*accnt_cur</f>
        <v>500000</v>
      </c>
      <c r="D53" s="51">
        <f>prev PB_model*interest_rate/12</f>
        <v>10000</v>
      </c>
      <c r="E53" s="51">
        <f>prev PB_model*interest_rate/12</f>
        <v>9671.2890274674992</v>
      </c>
      <c r="F53" s="51">
        <f>prev PB_model*interest_rate/12</f>
        <v>9336.0038354843509</v>
      </c>
      <c r="G53" s="51">
        <f>prev PB_model*interest_rate/12</f>
        <v>8994.0129396615393</v>
      </c>
      <c r="H53" s="51">
        <f>prev PB_model*interest_rate/12</f>
        <v>8645.1822259222718</v>
      </c>
      <c r="I53" s="51">
        <f>prev PB_model*interest_rate/12</f>
        <v>8289.3748979082193</v>
      </c>
      <c r="J53" s="51">
        <f>prev PB_model*interest_rate/12</f>
        <v>7926.451423333885</v>
      </c>
      <c r="K53" s="51">
        <f>prev PB_model*interest_rate/12</f>
        <v>7556.2694792680641</v>
      </c>
      <c r="L53" s="51">
        <f>prev PB_model*interest_rate/12</f>
        <v>7178.6838963209275</v>
      </c>
      <c r="M53" s="51">
        <f>prev PB_model*interest_rate/12</f>
        <v>6793.5466017148474</v>
      </c>
      <c r="N53" s="51">
        <f>prev PB_model*interest_rate/12</f>
        <v>6400.7065612166471</v>
      </c>
      <c r="O53" s="51">
        <f>prev PB_model*interest_rate/12</f>
        <v>6000.0097199084785</v>
      </c>
      <c r="P53" s="51">
        <f>prev PB_model*interest_rate/12</f>
        <v>5591.2989417741492</v>
      </c>
      <c r="Q53" s="51">
        <f>prev PB_model*interest_rate/12</f>
        <v>5174.4139480771337</v>
      </c>
      <c r="R53" s="51">
        <f>prev PB_model*interest_rate/12</f>
        <v>4749.1912545061778</v>
      </c>
      <c r="S53" s="51">
        <f>prev PB_model*interest_rate/12</f>
        <v>4315.4641070638027</v>
      </c>
      <c r="T53" s="51">
        <f>prev PB_model*interest_rate/12</f>
        <v>3873.0624166725793</v>
      </c>
      <c r="U53" s="51">
        <f>prev PB_model*interest_rate/12</f>
        <v>3421.812692473532</v>
      </c>
      <c r="V53" s="51">
        <f>prev PB_model*interest_rate/12</f>
        <v>2961.5379737905041</v>
      </c>
      <c r="W53" s="51">
        <f>prev PB_model*interest_rate/12</f>
        <v>2492.057760733815</v>
      </c>
      <c r="X53" s="51">
        <f>prev PB_model*interest_rate/12</f>
        <v>2013.1879434159928</v>
      </c>
      <c r="Y53" s="51">
        <f>prev PB_model*interest_rate/12</f>
        <v>1524.7407297518137</v>
      </c>
      <c r="Z53" s="51">
        <f>prev PB_model*interest_rate/12</f>
        <v>1026.5245718143508</v>
      </c>
      <c r="AA53" s="51">
        <f>prev PB_model*interest_rate/12</f>
        <v>518.34409071813877</v>
      </c>
    </row>
    <row r="54" spans="1:87" x14ac:dyDescent="0.3">
      <c r="A54" s="47"/>
      <c r="B54" s="27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87" ht="15.6" x14ac:dyDescent="0.3">
      <c r="A55" s="77" t="s">
        <v>83</v>
      </c>
      <c r="B55" s="52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87" x14ac:dyDescent="0.3">
      <c r="A56" s="47" t="s">
        <v>84</v>
      </c>
      <c r="B56" s="27" t="s">
        <v>85</v>
      </c>
      <c r="C56" s="48">
        <f t="shared" ref="C56:AA56" si="3">PB_cur+PB_dlq</f>
        <v>500000</v>
      </c>
      <c r="D56" s="48">
        <f>PB_cur+PB_dlq</f>
        <v>467708.7988363356</v>
      </c>
      <c r="E56" s="48">
        <f t="shared" si="3"/>
        <v>441454.54358087352</v>
      </c>
      <c r="F56" s="48">
        <f t="shared" si="3"/>
        <v>415719.3796766309</v>
      </c>
      <c r="G56" s="48">
        <f t="shared" si="3"/>
        <v>379547.97685388074</v>
      </c>
      <c r="H56" s="48">
        <f t="shared" si="3"/>
        <v>353333.75790068798</v>
      </c>
      <c r="I56" s="48">
        <f t="shared" si="3"/>
        <v>327660.4343229825</v>
      </c>
      <c r="J56" s="48">
        <f t="shared" si="3"/>
        <v>302590.30046222126</v>
      </c>
      <c r="K56" s="48">
        <f t="shared" si="3"/>
        <v>278179.79000200506</v>
      </c>
      <c r="L56" s="48">
        <f t="shared" si="3"/>
        <v>254479.42385993886</v>
      </c>
      <c r="M56" s="48">
        <f t="shared" si="3"/>
        <v>231533.8063363398</v>
      </c>
      <c r="N56" s="48">
        <f t="shared" si="3"/>
        <v>209381.6666994293</v>
      </c>
      <c r="O56" s="48">
        <f t="shared" si="3"/>
        <v>188055.94308218005</v>
      </c>
      <c r="P56" s="48">
        <f t="shared" si="3"/>
        <v>167583.90532005508</v>
      </c>
      <c r="Q56" s="48">
        <f t="shared" si="3"/>
        <v>147987.31317062199</v>
      </c>
      <c r="R56" s="48">
        <f t="shared" si="3"/>
        <v>129282.60622380843</v>
      </c>
      <c r="S56" s="48">
        <f t="shared" si="3"/>
        <v>111481.12173301453</v>
      </c>
      <c r="T56" s="48">
        <f t="shared" si="3"/>
        <v>94589.336569412495</v>
      </c>
      <c r="U56" s="48">
        <f t="shared" si="3"/>
        <v>78609.129521031165</v>
      </c>
      <c r="V56" s="48">
        <f t="shared" si="3"/>
        <v>63538.060220702602</v>
      </c>
      <c r="W56" s="48">
        <f t="shared" si="3"/>
        <v>49369.661088379726</v>
      </c>
      <c r="X56" s="48">
        <f t="shared" si="3"/>
        <v>36093.738809244373</v>
      </c>
      <c r="Y56" s="48">
        <f t="shared" si="3"/>
        <v>23696.682034798796</v>
      </c>
      <c r="Z56" s="48">
        <f t="shared" si="3"/>
        <v>12161.772185123151</v>
      </c>
      <c r="AA56" s="48">
        <f t="shared" si="3"/>
        <v>0</v>
      </c>
    </row>
    <row r="57" spans="1:87" x14ac:dyDescent="0.3">
      <c r="A57" s="32" t="s">
        <v>86</v>
      </c>
      <c r="B57" s="33" t="s">
        <v>44</v>
      </c>
      <c r="C57" s="48">
        <f t="shared" ref="C57:AA57" si="4">PB_model*accnt_cur</f>
        <v>500000</v>
      </c>
      <c r="D57" s="48">
        <f>PB_model*accnt_cur</f>
        <v>429456.09054806456</v>
      </c>
      <c r="E57" s="48">
        <f t="shared" si="4"/>
        <v>399507.59286721109</v>
      </c>
      <c r="F57" s="48">
        <f t="shared" si="4"/>
        <v>371451.52717302926</v>
      </c>
      <c r="G57" s="48">
        <f t="shared" si="4"/>
        <v>343992.53627415164</v>
      </c>
      <c r="H57" s="48">
        <f t="shared" si="4"/>
        <v>317769.84763402905</v>
      </c>
      <c r="I57" s="48">
        <f t="shared" si="4"/>
        <v>292514.95496431255</v>
      </c>
      <c r="J57" s="48">
        <f t="shared" si="4"/>
        <v>268242.36955508555</v>
      </c>
      <c r="K57" s="48">
        <f t="shared" si="4"/>
        <v>244961.34815409008</v>
      </c>
      <c r="L57" s="48">
        <f t="shared" si="4"/>
        <v>222676.24481162813</v>
      </c>
      <c r="M57" s="48">
        <f t="shared" si="4"/>
        <v>201386.87118899179</v>
      </c>
      <c r="N57" s="48">
        <f t="shared" si="4"/>
        <v>181088.86100280916</v>
      </c>
      <c r="O57" s="48">
        <f t="shared" si="4"/>
        <v>161774.03464260165</v>
      </c>
      <c r="P57" s="48">
        <f t="shared" si="4"/>
        <v>143430.76038287979</v>
      </c>
      <c r="Q57" s="48">
        <f t="shared" si="4"/>
        <v>126044.30900628665</v>
      </c>
      <c r="R57" s="48">
        <f t="shared" si="4"/>
        <v>109597.1990532307</v>
      </c>
      <c r="S57" s="48">
        <f t="shared" si="4"/>
        <v>94069.530309478665</v>
      </c>
      <c r="T57" s="48">
        <f t="shared" si="4"/>
        <v>79439.303530371952</v>
      </c>
      <c r="U57" s="48">
        <f t="shared" si="4"/>
        <v>65682.724773558395</v>
      </c>
      <c r="V57" s="48">
        <f t="shared" si="4"/>
        <v>52774.49306706342</v>
      </c>
      <c r="W57" s="48">
        <f t="shared" si="4"/>
        <v>40688.070472629995</v>
      </c>
      <c r="X57" s="48">
        <f t="shared" si="4"/>
        <v>29395.933912773053</v>
      </c>
      <c r="Y57" s="48">
        <f t="shared" si="4"/>
        <v>18869.80841191244</v>
      </c>
      <c r="Z57" s="48">
        <f t="shared" si="4"/>
        <v>9080.8816559437546</v>
      </c>
      <c r="AA57" s="48">
        <f t="shared" si="4"/>
        <v>0</v>
      </c>
    </row>
    <row r="58" spans="1:87" x14ac:dyDescent="0.3">
      <c r="A58" s="32" t="s">
        <v>87</v>
      </c>
      <c r="B58" s="33" t="s">
        <v>43</v>
      </c>
      <c r="C58" s="48">
        <f>0</f>
        <v>0</v>
      </c>
      <c r="D58" s="49">
        <f>prev PB_model*accnt_dlq</f>
        <v>38252.708288271031</v>
      </c>
      <c r="E58" s="49">
        <f>prev PB_model*accnt_dlq</f>
        <v>41946.950713662423</v>
      </c>
      <c r="F58" s="49">
        <f>prev PB_model*accnt_dlq</f>
        <v>44267.852503601644</v>
      </c>
      <c r="G58" s="49">
        <f>prev PB_model*accnt_dlq</f>
        <v>35555.440579729104</v>
      </c>
      <c r="H58" s="49">
        <f>prev PB_model*accnt_dlq</f>
        <v>35563.910266658902</v>
      </c>
      <c r="I58" s="49">
        <f>prev PB_model*accnt_dlq</f>
        <v>35145.47935866996</v>
      </c>
      <c r="J58" s="49">
        <f>prev PB_model*accnt_dlq</f>
        <v>34347.930907135706</v>
      </c>
      <c r="K58" s="49">
        <f>prev PB_model*accnt_dlq</f>
        <v>33218.441847915004</v>
      </c>
      <c r="L58" s="49">
        <f>prev PB_model*accnt_dlq</f>
        <v>31803.179048310725</v>
      </c>
      <c r="M58" s="49">
        <f>prev PB_model*accnt_dlq</f>
        <v>30146.935147348002</v>
      </c>
      <c r="N58" s="49">
        <f>prev PB_model*accnt_dlq</f>
        <v>28292.805696620151</v>
      </c>
      <c r="O58" s="49">
        <f>prev PB_model*accnt_dlq</f>
        <v>26281.908439578401</v>
      </c>
      <c r="P58" s="49">
        <f>prev PB_model*accnt_dlq</f>
        <v>24153.14493717529</v>
      </c>
      <c r="Q58" s="49">
        <f>prev PB_model*accnt_dlq</f>
        <v>21943.004164335322</v>
      </c>
      <c r="R58" s="49">
        <f>prev PB_model*accnt_dlq</f>
        <v>19685.407170577735</v>
      </c>
      <c r="S58" s="49">
        <f>prev PB_model*accnt_dlq</f>
        <v>17411.591423535858</v>
      </c>
      <c r="T58" s="49">
        <f>prev PB_model*accnt_dlq</f>
        <v>15150.033039040543</v>
      </c>
      <c r="U58" s="49">
        <f>prev PB_model*accnt_dlq</f>
        <v>12926.404747472772</v>
      </c>
      <c r="V58" s="49">
        <f>prev PB_model*accnt_dlq</f>
        <v>10763.567153639182</v>
      </c>
      <c r="W58" s="49">
        <f>prev PB_model*accnt_dlq</f>
        <v>8681.5906157497266</v>
      </c>
      <c r="X58" s="49">
        <f>prev PB_model*accnt_dlq</f>
        <v>6697.804896471318</v>
      </c>
      <c r="Y58" s="49">
        <f>prev PB_model*accnt_dlq</f>
        <v>4826.8736228863554</v>
      </c>
      <c r="Z58" s="49">
        <f>prev PB_model*accnt_dlq</f>
        <v>3080.8905291793972</v>
      </c>
      <c r="AA58" s="49">
        <f>prev PB_model*accnt_dlq</f>
        <v>0</v>
      </c>
    </row>
    <row r="59" spans="1:87" x14ac:dyDescent="0.3">
      <c r="A59" s="47" t="s">
        <v>88</v>
      </c>
      <c r="B59" s="50" t="s">
        <v>89</v>
      </c>
      <c r="C59" s="51">
        <v>0</v>
      </c>
      <c r="D59" s="51">
        <v>0</v>
      </c>
      <c r="E59" s="51">
        <v>0</v>
      </c>
      <c r="F59" s="51">
        <v>0</v>
      </c>
      <c r="G59" s="51">
        <f>prev_ PB_model *accnt_b_def+ prev PB_def</f>
        <v>12214.471021296</v>
      </c>
      <c r="H59" s="51">
        <f>prev_ PB_model *accnt_b_def+ prev PB_def</f>
        <v>14696.369321586762</v>
      </c>
      <c r="I59" s="51">
        <f>prev_ PB_model *accnt_b_def+ prev PB_def</f>
        <v>17312.283204892417</v>
      </c>
      <c r="J59" s="51">
        <f>prev_ PB_model *accnt_b_def+ prev PB_def</f>
        <v>20002.670260729479</v>
      </c>
      <c r="K59" s="51">
        <f>prev_ PB_model *accnt_b_def+ prev PB_def</f>
        <v>22714.60523502007</v>
      </c>
      <c r="L59" s="51">
        <f>prev_ PB_model *accnt_b_def+ prev PB_def</f>
        <v>25401.675147055528</v>
      </c>
      <c r="M59" s="51">
        <f>prev_ PB_model *accnt_b_def+ prev PB_def</f>
        <v>28023.818180829083</v>
      </c>
      <c r="N59" s="51">
        <f>prev_ PB_model *accnt_b_def+ prev PB_def</f>
        <v>30547.112286229509</v>
      </c>
      <c r="O59" s="51">
        <f>prev_ PB_model *accnt_b_def+ prev PB_def</f>
        <v>32943.51960597463</v>
      </c>
      <c r="P59" s="51">
        <f>prev_ PB_model *accnt_b_def+ prev PB_def</f>
        <v>35190.592927084741</v>
      </c>
      <c r="Q59" s="51">
        <f>prev_ PB_model *accnt_b_def+ prev PB_def</f>
        <v>37271.150347524177</v>
      </c>
      <c r="R59" s="51">
        <f>prev_ PB_model *accnt_b_def+ prev PB_def</f>
        <v>39172.924256740022</v>
      </c>
      <c r="S59" s="51">
        <f>prev_ PB_model *accnt_b_def+ prev PB_def</f>
        <v>40888.190561342853</v>
      </c>
      <c r="T59" s="51">
        <f>prev_ PB_model *accnt_b_def+ prev PB_def</f>
        <v>42413.383852812578</v>
      </c>
      <c r="U59" s="51">
        <f>prev_ PB_model *accnt_b_def+ prev PB_def</f>
        <v>43748.70392193467</v>
      </c>
      <c r="V59" s="51">
        <f>prev_ PB_model *accnt_b_def+ prev PB_def</f>
        <v>44897.718683910498</v>
      </c>
      <c r="W59" s="51">
        <f>prev_ PB_model *accnt_b_def+ prev PB_def</f>
        <v>45866.968197950679</v>
      </c>
      <c r="X59" s="51">
        <f>prev_ PB_model *accnt_b_def+ prev PB_def</f>
        <v>46665.57405469309</v>
      </c>
      <c r="Y59" s="51">
        <f>prev_ PB_model *accnt_b_def+ prev PB_def</f>
        <v>47304.857972701509</v>
      </c>
      <c r="Z59" s="51">
        <f>prev_ PB_model *accnt_b_def+ prev PB_def</f>
        <v>47797.972999871919</v>
      </c>
      <c r="AA59" s="51">
        <f>prev_ PB_model *accnt_b_def+ prev PB_def</f>
        <v>48159.550264524878</v>
      </c>
    </row>
    <row r="60" spans="1:87" x14ac:dyDescent="0.3">
      <c r="A60" s="47"/>
      <c r="B60" s="27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87" ht="15.6" x14ac:dyDescent="0.3">
      <c r="A61" s="77" t="s">
        <v>65</v>
      </c>
      <c r="B61" s="2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87" x14ac:dyDescent="0.3">
      <c r="A62" s="29" t="s">
        <v>111</v>
      </c>
      <c r="B62" s="27" t="s">
        <v>11</v>
      </c>
      <c r="C62" s="53">
        <f t="shared" ref="C62:H62" si="5">GB_cur+GB_dlq</f>
        <v>500000</v>
      </c>
      <c r="D62" s="53">
        <f t="shared" si="5"/>
        <v>468473.85300210101</v>
      </c>
      <c r="E62" s="53">
        <f t="shared" si="5"/>
        <v>442293.48259514675</v>
      </c>
      <c r="F62" s="53">
        <f t="shared" si="5"/>
        <v>416604.73672670295</v>
      </c>
      <c r="G62" s="53">
        <f t="shared" si="5"/>
        <v>380259.08566547534</v>
      </c>
      <c r="H62" s="53">
        <f t="shared" si="5"/>
        <v>354045.03610602114</v>
      </c>
      <c r="I62" s="53">
        <f t="shared" ref="I62:AA62" si="6">GB_cur+GB_dlq</f>
        <v>328363.34391015593</v>
      </c>
      <c r="J62" s="53">
        <f t="shared" si="6"/>
        <v>303277.25908036396</v>
      </c>
      <c r="K62" s="53">
        <f t="shared" si="6"/>
        <v>278844.15883896337</v>
      </c>
      <c r="L62" s="53">
        <f t="shared" si="6"/>
        <v>255115.48744090507</v>
      </c>
      <c r="M62" s="53">
        <f t="shared" si="6"/>
        <v>232136.74503928676</v>
      </c>
      <c r="N62" s="53">
        <f t="shared" si="6"/>
        <v>209947.52281336172</v>
      </c>
      <c r="O62" s="53">
        <f t="shared" si="6"/>
        <v>188581.58125097162</v>
      </c>
      <c r="P62" s="53">
        <f t="shared" si="6"/>
        <v>168066.96821879857</v>
      </c>
      <c r="Q62" s="53">
        <f t="shared" si="6"/>
        <v>148426.1732539087</v>
      </c>
      <c r="R62" s="53">
        <f t="shared" si="6"/>
        <v>129676.31436721998</v>
      </c>
      <c r="S62" s="53">
        <f t="shared" si="6"/>
        <v>111829.35356148524</v>
      </c>
      <c r="T62" s="53">
        <f t="shared" si="6"/>
        <v>94892.337230193312</v>
      </c>
      <c r="U62" s="53">
        <f t="shared" si="6"/>
        <v>78867.657615980628</v>
      </c>
      <c r="V62" s="53">
        <f t="shared" si="6"/>
        <v>63753.331563775384</v>
      </c>
      <c r="W62" s="53">
        <f t="shared" si="6"/>
        <v>49543.292900694716</v>
      </c>
      <c r="X62" s="53">
        <f t="shared" si="6"/>
        <v>36227.694907173798</v>
      </c>
      <c r="Y62" s="53">
        <f t="shared" si="6"/>
        <v>23793.219507256523</v>
      </c>
      <c r="Z62" s="53">
        <f t="shared" si="6"/>
        <v>12223.389995706741</v>
      </c>
      <c r="AA62" s="53">
        <f t="shared" si="6"/>
        <v>0</v>
      </c>
    </row>
    <row r="63" spans="1:87" x14ac:dyDescent="0.3">
      <c r="A63" s="32" t="s">
        <v>115</v>
      </c>
      <c r="B63" s="33" t="s">
        <v>12</v>
      </c>
      <c r="C63" s="53">
        <f t="shared" ref="C63:AA63" si="7">PB_model*accnt_cur</f>
        <v>500000</v>
      </c>
      <c r="D63" s="53">
        <f t="shared" si="7"/>
        <v>429456.09054806456</v>
      </c>
      <c r="E63" s="53">
        <f t="shared" si="7"/>
        <v>399507.59286721109</v>
      </c>
      <c r="F63" s="53">
        <f t="shared" si="7"/>
        <v>371451.52717302926</v>
      </c>
      <c r="G63" s="53">
        <f t="shared" si="7"/>
        <v>343992.53627415164</v>
      </c>
      <c r="H63" s="53">
        <f t="shared" si="7"/>
        <v>317769.84763402905</v>
      </c>
      <c r="I63" s="53">
        <f t="shared" si="7"/>
        <v>292514.95496431255</v>
      </c>
      <c r="J63" s="53">
        <f t="shared" si="7"/>
        <v>268242.36955508555</v>
      </c>
      <c r="K63" s="53">
        <f t="shared" si="7"/>
        <v>244961.34815409008</v>
      </c>
      <c r="L63" s="53">
        <f t="shared" si="7"/>
        <v>222676.24481162813</v>
      </c>
      <c r="M63" s="53">
        <f t="shared" si="7"/>
        <v>201386.87118899179</v>
      </c>
      <c r="N63" s="53">
        <f t="shared" si="7"/>
        <v>181088.86100280916</v>
      </c>
      <c r="O63" s="53">
        <f t="shared" si="7"/>
        <v>161774.03464260165</v>
      </c>
      <c r="P63" s="53">
        <f t="shared" si="7"/>
        <v>143430.76038287979</v>
      </c>
      <c r="Q63" s="53">
        <f t="shared" si="7"/>
        <v>126044.30900628665</v>
      </c>
      <c r="R63" s="53">
        <f t="shared" si="7"/>
        <v>109597.1990532307</v>
      </c>
      <c r="S63" s="53">
        <f t="shared" si="7"/>
        <v>94069.530309478665</v>
      </c>
      <c r="T63" s="53">
        <f t="shared" si="7"/>
        <v>79439.303530371952</v>
      </c>
      <c r="U63" s="53">
        <f t="shared" si="7"/>
        <v>65682.724773558395</v>
      </c>
      <c r="V63" s="53">
        <f t="shared" si="7"/>
        <v>52774.49306706342</v>
      </c>
      <c r="W63" s="53">
        <f t="shared" si="7"/>
        <v>40688.070472629995</v>
      </c>
      <c r="X63" s="53">
        <f t="shared" si="7"/>
        <v>29395.933912773053</v>
      </c>
      <c r="Y63" s="53">
        <f t="shared" si="7"/>
        <v>18869.80841191244</v>
      </c>
      <c r="Z63" s="53">
        <f t="shared" si="7"/>
        <v>9080.8816559437546</v>
      </c>
      <c r="AA63" s="53">
        <f t="shared" si="7"/>
        <v>0</v>
      </c>
    </row>
    <row r="64" spans="1:87" x14ac:dyDescent="0.3">
      <c r="A64" s="32" t="s">
        <v>13</v>
      </c>
      <c r="B64" s="33" t="s">
        <v>14</v>
      </c>
      <c r="C64" s="48">
        <f>0</f>
        <v>0</v>
      </c>
      <c r="D64" s="49">
        <f>(PB_model+regular_payment)*accnt_dlq</f>
        <v>39017.762454036449</v>
      </c>
      <c r="E64" s="49">
        <f t="shared" ref="E64:AA64" si="8">(PB_model+regular_payment)*accnt_dlq</f>
        <v>42785.889727935675</v>
      </c>
      <c r="F64" s="49">
        <f t="shared" si="8"/>
        <v>45153.209553673674</v>
      </c>
      <c r="G64" s="49">
        <f t="shared" si="8"/>
        <v>36266.549391323693</v>
      </c>
      <c r="H64" s="49">
        <f t="shared" si="8"/>
        <v>36275.188471992085</v>
      </c>
      <c r="I64" s="49">
        <f t="shared" si="8"/>
        <v>35848.38894584337</v>
      </c>
      <c r="J64" s="49">
        <f t="shared" si="8"/>
        <v>35034.889525278428</v>
      </c>
      <c r="K64" s="49">
        <f t="shared" si="8"/>
        <v>33882.810684873308</v>
      </c>
      <c r="L64" s="49">
        <f t="shared" si="8"/>
        <v>32439.242629276945</v>
      </c>
      <c r="M64" s="49">
        <f t="shared" si="8"/>
        <v>30749.873850294967</v>
      </c>
      <c r="N64" s="49">
        <f t="shared" si="8"/>
        <v>28858.661810552552</v>
      </c>
      <c r="O64" s="49">
        <f t="shared" si="8"/>
        <v>26807.546608369968</v>
      </c>
      <c r="P64" s="49">
        <f t="shared" si="8"/>
        <v>24636.207835918798</v>
      </c>
      <c r="Q64" s="49">
        <f t="shared" si="8"/>
        <v>22381.864247622027</v>
      </c>
      <c r="R64" s="49">
        <f t="shared" si="8"/>
        <v>20079.115313989289</v>
      </c>
      <c r="S64" s="49">
        <f t="shared" si="8"/>
        <v>17759.823252006576</v>
      </c>
      <c r="T64" s="49">
        <f t="shared" si="8"/>
        <v>15453.033699821355</v>
      </c>
      <c r="U64" s="49">
        <f t="shared" si="8"/>
        <v>13184.932842422228</v>
      </c>
      <c r="V64" s="49">
        <f t="shared" si="8"/>
        <v>10978.838496711967</v>
      </c>
      <c r="W64" s="49">
        <f t="shared" si="8"/>
        <v>8855.2224280647206</v>
      </c>
      <c r="X64" s="49">
        <f t="shared" si="8"/>
        <v>6831.7609944007445</v>
      </c>
      <c r="Y64" s="49">
        <f t="shared" si="8"/>
        <v>4923.4110953440822</v>
      </c>
      <c r="Z64" s="49">
        <f t="shared" si="8"/>
        <v>3142.5083397629851</v>
      </c>
      <c r="AA64" s="49">
        <f t="shared" si="8"/>
        <v>0</v>
      </c>
    </row>
    <row r="65" spans="1:87" s="4" customFormat="1" x14ac:dyDescent="0.3">
      <c r="A65" s="51" t="s">
        <v>92</v>
      </c>
      <c r="B65" s="50" t="s">
        <v>93</v>
      </c>
      <c r="C65" s="51">
        <v>0</v>
      </c>
      <c r="D65" s="51">
        <v>0</v>
      </c>
      <c r="E65" s="51">
        <v>0</v>
      </c>
      <c r="F65" s="51">
        <v>0</v>
      </c>
      <c r="G65" s="51">
        <f>(PB_model +4*regular_payment)*accnt_b_def+ prev GB_DEF</f>
        <v>13142.802718290857</v>
      </c>
      <c r="H65" s="51">
        <f>(PB_model +4*regular_payment)*accnt_b_def+ prev GB_DEF</f>
        <v>15812.789402852492</v>
      </c>
      <c r="I65" s="51">
        <f>(PB_model +4*regular_payment)*accnt_b_def+ prev GB_DEF</f>
        <v>18626.323360178616</v>
      </c>
      <c r="J65" s="51">
        <f>(PB_model +4*regular_payment)*accnt_b_def+ prev GB_DEF</f>
        <v>21519.252067210302</v>
      </c>
      <c r="K65" s="51">
        <f>(PB_model +4*regular_payment)*accnt_b_def+ prev GB_DEF</f>
        <v>24434.568642382779</v>
      </c>
      <c r="L65" s="51">
        <f>(PB_model +4*regular_payment)*accnt_b_def+ prev GB_DEF</f>
        <v>27322.297614725379</v>
      </c>
      <c r="M65" s="51">
        <f>(PB_model +4*regular_payment)*accnt_b_def+ prev GB_DEF</f>
        <v>30139.320025159104</v>
      </c>
      <c r="N65" s="51">
        <f>(PB_model +4*regular_payment)*accnt_b_def+ prev GB_DEF</f>
        <v>32849.144275945473</v>
      </c>
      <c r="O65" s="51">
        <f>(PB_model +4*regular_payment)*accnt_b_def+ prev GB_DEF</f>
        <v>35421.629338122511</v>
      </c>
      <c r="P65" s="51">
        <f>(PB_model +4*regular_payment)*accnt_b_def+ prev GB_DEF</f>
        <v>37832.667015378371</v>
      </c>
      <c r="Q65" s="51">
        <f>(PB_model +4*regular_payment)*accnt_b_def+ prev GB_DEF</f>
        <v>40063.829953054948</v>
      </c>
      <c r="R65" s="51">
        <f>(PB_model +4*regular_payment)*accnt_b_def+ prev GB_DEF</f>
        <v>42101.991980811079</v>
      </c>
      <c r="S65" s="51">
        <f>(PB_model +4*regular_payment)*accnt_b_def+ prev GB_DEF</f>
        <v>43938.927195710938</v>
      </c>
      <c r="T65" s="51">
        <f>(PB_model +4*regular_payment)*accnt_b_def+ prev GB_DEF</f>
        <v>45570.893938552726</v>
      </c>
      <c r="U65" s="51">
        <f>(PB_model +4*regular_payment)*accnt_b_def+ prev GB_DEF</f>
        <v>46998.209499910408</v>
      </c>
      <c r="V65" s="51">
        <f>(PB_model +4*regular_payment)*accnt_b_def+ prev GB_DEF</f>
        <v>48224.821023604643</v>
      </c>
      <c r="W65" s="51">
        <f>(PB_model +4*regular_payment)*accnt_b_def+ prev GB_DEF</f>
        <v>49257.877664102649</v>
      </c>
      <c r="X65" s="51">
        <f>(PB_model +4*regular_payment)*accnt_b_def+ prev GB_DEF</f>
        <v>50107.308610437154</v>
      </c>
      <c r="Y65" s="51">
        <f>(PB_model +4*regular_payment)*accnt_b_def+ prev GB_DEF</f>
        <v>50785.411122048543</v>
      </c>
      <c r="Z65" s="51">
        <f>(PB_model +4*regular_payment)*accnt_b_def+ prev GB_DEF</f>
        <v>51306.452240428713</v>
      </c>
      <c r="AA65" s="51">
        <f>(PB_model +4*regular_payment)*accnt_b_def+ prev GB_DEF</f>
        <v>51686.287352923828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</row>
    <row r="66" spans="1:87" x14ac:dyDescent="0.3">
      <c r="A66" s="29"/>
      <c r="B66" s="27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1:87" ht="15.6" x14ac:dyDescent="0.3">
      <c r="A67" s="77" t="s">
        <v>96</v>
      </c>
      <c r="B67" s="27"/>
      <c r="C67" s="53"/>
      <c r="D67" s="53"/>
      <c r="E67" s="53"/>
      <c r="F67" s="53"/>
      <c r="G67" s="53"/>
      <c r="H67" s="53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87" x14ac:dyDescent="0.3">
      <c r="A68" s="45" t="s">
        <v>94</v>
      </c>
      <c r="B68" s="27" t="s">
        <v>97</v>
      </c>
      <c r="C68" s="53">
        <f t="shared" ref="C68" si="9">interest+recovery_st</f>
        <v>0</v>
      </c>
      <c r="D68" s="53">
        <f t="shared" ref="D68:AA68" si="10">interest+recovery_st+insurance</f>
        <v>14000</v>
      </c>
      <c r="E68" s="53">
        <f t="shared" si="10"/>
        <v>11692.719970908391</v>
      </c>
      <c r="F68" s="53">
        <f t="shared" si="10"/>
        <v>11036.363589521836</v>
      </c>
      <c r="G68" s="53">
        <f t="shared" si="10"/>
        <v>13021.545035573945</v>
      </c>
      <c r="H68" s="53">
        <f t="shared" si="10"/>
        <v>10022.696758259346</v>
      </c>
      <c r="I68" s="53">
        <f t="shared" si="10"/>
        <v>9396.0507389824252</v>
      </c>
      <c r="J68" s="53">
        <f t="shared" si="10"/>
        <v>8770.0965994808994</v>
      </c>
      <c r="K68" s="53">
        <f t="shared" si="10"/>
        <v>8147.8208265900266</v>
      </c>
      <c r="L68" s="53">
        <f t="shared" si="10"/>
        <v>7532.0405445186461</v>
      </c>
      <c r="M68" s="53">
        <f t="shared" si="10"/>
        <v>6925.3900785852165</v>
      </c>
      <c r="N68" s="53">
        <f t="shared" si="10"/>
        <v>6330.3100085657679</v>
      </c>
      <c r="O68" s="53">
        <f t="shared" si="10"/>
        <v>5749.0386799211401</v>
      </c>
      <c r="P68" s="53">
        <f t="shared" si="10"/>
        <v>5183.6061125056731</v>
      </c>
      <c r="Q68" s="53">
        <f t="shared" si="10"/>
        <v>4635.8302205366927</v>
      </c>
      <c r="R68" s="53">
        <f t="shared" si="10"/>
        <v>4107.315234816776</v>
      </c>
      <c r="S68" s="53">
        <f t="shared" si="10"/>
        <v>3599.4521985751821</v>
      </c>
      <c r="T68" s="53">
        <f t="shared" si="10"/>
        <v>3113.4213918937212</v>
      </c>
      <c r="U68" s="53">
        <f t="shared" si="10"/>
        <v>2650.1965265068488</v>
      </c>
      <c r="V68" s="53">
        <f t="shared" si="10"/>
        <v>2210.5505427646262</v>
      </c>
      <c r="W68" s="53">
        <f t="shared" si="10"/>
        <v>1795.0628336171665</v>
      </c>
      <c r="X68" s="53">
        <f t="shared" si="10"/>
        <v>1404.1277164763944</v>
      </c>
      <c r="Y68" s="53">
        <f t="shared" si="10"/>
        <v>1037.9639725533871</v>
      </c>
      <c r="Z68" s="53">
        <f t="shared" si="10"/>
        <v>696.62527454600388</v>
      </c>
      <c r="AA68" s="53">
        <f t="shared" si="10"/>
        <v>380.01132712710177</v>
      </c>
    </row>
    <row r="69" spans="1:87" x14ac:dyDescent="0.3">
      <c r="A69" s="32" t="s">
        <v>34</v>
      </c>
      <c r="B69" s="33" t="s">
        <v>34</v>
      </c>
      <c r="C69" s="53">
        <f>0</f>
        <v>0</v>
      </c>
      <c r="D69" s="53">
        <f>prev PB_act*interest_rate/12</f>
        <v>10000</v>
      </c>
      <c r="E69" s="53">
        <f>prev PB_act*interest_rate/12</f>
        <v>9354.1759767267122</v>
      </c>
      <c r="F69" s="53">
        <f>prev PB_act*interest_rate/12</f>
        <v>8829.090871617469</v>
      </c>
      <c r="G69" s="53">
        <f>prev PB_act*interest_rate/12</f>
        <v>8314.3875935326178</v>
      </c>
      <c r="H69" s="53">
        <f>prev PB_act*interest_rate/12</f>
        <v>7590.9595370776151</v>
      </c>
      <c r="I69" s="53">
        <f>prev PB_act*interest_rate/12</f>
        <v>7066.6751580137598</v>
      </c>
      <c r="J69" s="53">
        <f>prev PB_act*interest_rate/12</f>
        <v>6553.2086864596495</v>
      </c>
      <c r="K69" s="53">
        <f>prev PB_act*interest_rate/12</f>
        <v>6051.8060092444248</v>
      </c>
      <c r="L69" s="53">
        <f>prev PB_act*interest_rate/12</f>
        <v>5563.5958000401006</v>
      </c>
      <c r="M69" s="53">
        <f>prev PB_act*interest_rate/12</f>
        <v>5089.5884771987776</v>
      </c>
      <c r="N69" s="53">
        <f>prev PB_act*interest_rate/12</f>
        <v>4630.6761267267957</v>
      </c>
      <c r="O69" s="53">
        <f>prev PB_act*interest_rate/12</f>
        <v>4187.6333339885859</v>
      </c>
      <c r="P69" s="53">
        <f>prev PB_act*interest_rate/12</f>
        <v>3761.1188616436011</v>
      </c>
      <c r="Q69" s="53">
        <f>prev PB_act*interest_rate/12</f>
        <v>3351.6781064011016</v>
      </c>
      <c r="R69" s="53">
        <f>prev PB_act*interest_rate/12</f>
        <v>2959.7462634124399</v>
      </c>
      <c r="S69" s="53">
        <f>prev PB_act*interest_rate/12</f>
        <v>2585.6521244761684</v>
      </c>
      <c r="T69" s="53">
        <f>prev PB_act*interest_rate/12</f>
        <v>2229.6224346602908</v>
      </c>
      <c r="U69" s="53">
        <f>prev PB_act*interest_rate/12</f>
        <v>1891.7867313882498</v>
      </c>
      <c r="V69" s="53">
        <f>prev PB_act*interest_rate/12</f>
        <v>1572.1825904206232</v>
      </c>
      <c r="W69" s="53">
        <f>prev PB_act*interest_rate/12</f>
        <v>1270.7612044140521</v>
      </c>
      <c r="X69" s="53">
        <f>prev PB_act*interest_rate/12</f>
        <v>987.39322176759458</v>
      </c>
      <c r="Y69" s="53">
        <f>prev PB_act*interest_rate/12</f>
        <v>721.87477618488754</v>
      </c>
      <c r="Z69" s="53">
        <f>prev PB_act*interest_rate/12</f>
        <v>473.93364069597595</v>
      </c>
      <c r="AA69" s="53">
        <f>prev PB_act*interest_rate/12</f>
        <v>243.23544370246302</v>
      </c>
    </row>
    <row r="70" spans="1:87" x14ac:dyDescent="0.3">
      <c r="A70" s="32" t="s">
        <v>66</v>
      </c>
      <c r="B70" s="33" t="s">
        <v>106</v>
      </c>
      <c r="C70" s="53">
        <v>0</v>
      </c>
      <c r="D70" s="53">
        <f>(GB_DEF-prev GB_DEF)*recovery</f>
        <v>0</v>
      </c>
      <c r="E70" s="53">
        <f>(GB_DEF-prev GB_DEF)*recovery</f>
        <v>0</v>
      </c>
      <c r="F70" s="53">
        <f>(GB_DEF-prev GB_DEF)*recovery</f>
        <v>0</v>
      </c>
      <c r="G70" s="53">
        <f>(GB_DEF-prev GB_DEF)*recovery</f>
        <v>2628.5605436581718</v>
      </c>
      <c r="H70" s="53">
        <f>(GB_DEF-prev GB_DEF)*recovery</f>
        <v>533.99733691232689</v>
      </c>
      <c r="I70" s="53">
        <f>(GB_DEF-prev GB_DEF)*recovery</f>
        <v>562.70679146522491</v>
      </c>
      <c r="J70" s="53">
        <f>(GB_DEF-prev GB_DEF)*recovery</f>
        <v>578.58574140633721</v>
      </c>
      <c r="K70" s="53">
        <f>(GB_DEF-prev GB_DEF)*recovery</f>
        <v>583.06331503449553</v>
      </c>
      <c r="L70" s="53">
        <f>(GB_DEF-prev GB_DEF)*recovery</f>
        <v>577.54579446852006</v>
      </c>
      <c r="M70" s="53">
        <f>(GB_DEF-prev GB_DEF)*recovery</f>
        <v>563.40448208674502</v>
      </c>
      <c r="N70" s="53">
        <f>(GB_DEF-prev GB_DEF)*recovery</f>
        <v>541.96485015727376</v>
      </c>
      <c r="O70" s="53">
        <f>(GB_DEF-prev GB_DEF)*recovery</f>
        <v>514.49701243540767</v>
      </c>
      <c r="P70" s="53">
        <f>(GB_DEF-prev GB_DEF)*recovery</f>
        <v>482.20753545117191</v>
      </c>
      <c r="Q70" s="53">
        <f>(GB_DEF-prev GB_DEF)*recovery</f>
        <v>446.23258753531559</v>
      </c>
      <c r="R70" s="53">
        <f>(GB_DEF-prev GB_DEF)*recovery</f>
        <v>407.63240555122616</v>
      </c>
      <c r="S70" s="53">
        <f>(GB_DEF-prev GB_DEF)*recovery</f>
        <v>367.38704297997174</v>
      </c>
      <c r="T70" s="53">
        <f>(GB_DEF-prev GB_DEF)*recovery</f>
        <v>326.39334856835779</v>
      </c>
      <c r="U70" s="53">
        <f>(GB_DEF-prev GB_DEF)*recovery</f>
        <v>285.46311227153637</v>
      </c>
      <c r="V70" s="53">
        <f>(GB_DEF-prev GB_DEF)*recovery</f>
        <v>245.32230473884704</v>
      </c>
      <c r="W70" s="53">
        <f>(GB_DEF-prev GB_DEF)*recovery</f>
        <v>206.61132809960111</v>
      </c>
      <c r="X70" s="53">
        <f>(GB_DEF-prev GB_DEF)*recovery</f>
        <v>169.88618926690106</v>
      </c>
      <c r="Y70" s="53">
        <f>(GB_DEF-prev GB_DEF)*recovery</f>
        <v>135.62050232227776</v>
      </c>
      <c r="Z70" s="53">
        <f>(GB_DEF-prev GB_DEF)*recovery</f>
        <v>104.20822367603397</v>
      </c>
      <c r="AA70" s="53">
        <f>(GB_DEF-prev GB_DEF)*recovery</f>
        <v>75.967022499023003</v>
      </c>
    </row>
    <row r="71" spans="1:87" x14ac:dyDescent="0.3">
      <c r="A71" s="29" t="s">
        <v>122</v>
      </c>
      <c r="B71" s="27" t="s">
        <v>122</v>
      </c>
      <c r="C71" s="82">
        <v>0</v>
      </c>
      <c r="D71" s="81">
        <f>prev PB_act*0.8*0.01</f>
        <v>4000</v>
      </c>
      <c r="E71" s="81">
        <f>prev PB_act*0.5*0.01</f>
        <v>2338.543994181678</v>
      </c>
      <c r="F71" s="81">
        <f>prev PB_act*0.5*0.01</f>
        <v>2207.2727179043677</v>
      </c>
      <c r="G71" s="81">
        <f>prev PB_act*0.5*0.01</f>
        <v>2078.5968983831544</v>
      </c>
      <c r="H71" s="81">
        <f>prev PB_act*0.5*0.01</f>
        <v>1897.7398842694038</v>
      </c>
      <c r="I71" s="81">
        <f>prev PB_act*0.5*0.01</f>
        <v>1766.6687895034399</v>
      </c>
      <c r="J71" s="81">
        <f>prev PB_act*0.5*0.01</f>
        <v>1638.3021716149126</v>
      </c>
      <c r="K71" s="81">
        <f>prev PB_act*0.5*0.01</f>
        <v>1512.9515023111064</v>
      </c>
      <c r="L71" s="81">
        <f>prev PB_act*0.5*0.01</f>
        <v>1390.8989500100254</v>
      </c>
      <c r="M71" s="81">
        <f>prev PB_act*0.5*0.01</f>
        <v>1272.3971192996944</v>
      </c>
      <c r="N71" s="81">
        <f>prev PB_act*0.5*0.01</f>
        <v>1157.6690316816989</v>
      </c>
      <c r="O71" s="81">
        <f>prev PB_act*0.5*0.01</f>
        <v>1046.9083334971465</v>
      </c>
      <c r="P71" s="81">
        <f>prev PB_act*0.5*0.01</f>
        <v>940.27971541090028</v>
      </c>
      <c r="Q71" s="81">
        <f>prev PB_act*0.5*0.01</f>
        <v>837.91952660027539</v>
      </c>
      <c r="R71" s="81">
        <f>prev PB_act*0.5*0.01</f>
        <v>739.93656585310998</v>
      </c>
      <c r="S71" s="81">
        <f>prev PB_act*0.5*0.01</f>
        <v>646.4130311190421</v>
      </c>
      <c r="T71" s="81">
        <f>prev PB_act*0.5*0.01</f>
        <v>557.40560866507269</v>
      </c>
      <c r="U71" s="81">
        <f>prev PB_act*0.5*0.01</f>
        <v>472.9466828470625</v>
      </c>
      <c r="V71" s="81">
        <f>prev PB_act*0.5*0.01</f>
        <v>393.04564760515586</v>
      </c>
      <c r="W71" s="81">
        <f>prev PB_act*0.5*0.01</f>
        <v>317.69030110351304</v>
      </c>
      <c r="X71" s="81">
        <f>prev PB_act*0.5*0.01</f>
        <v>246.84830544189865</v>
      </c>
      <c r="Y71" s="81">
        <f>prev PB_act*0.5*0.01</f>
        <v>180.46869404622186</v>
      </c>
      <c r="Z71" s="81">
        <f>prev PB_act*0.5*0.01</f>
        <v>118.48341017399399</v>
      </c>
      <c r="AA71" s="81">
        <f>prev PB_act*0.5*0.01</f>
        <v>60.808860925615754</v>
      </c>
    </row>
    <row r="72" spans="1:87" ht="15.6" x14ac:dyDescent="0.3">
      <c r="A72" s="77" t="s">
        <v>95</v>
      </c>
      <c r="B72" s="27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87" x14ac:dyDescent="0.3">
      <c r="A73" s="45" t="s">
        <v>95</v>
      </c>
      <c r="B73" s="54" t="s">
        <v>112</v>
      </c>
      <c r="C73" s="53">
        <f t="shared" ref="C73:AA73" si="11">Loan_Loss+Cost_of_Funds+Operation_cost+collect_cost</f>
        <v>0</v>
      </c>
      <c r="D73" s="53">
        <f t="shared" si="11"/>
        <v>6297.916666666667</v>
      </c>
      <c r="E73" s="53">
        <f t="shared" si="11"/>
        <v>5941.8375700440329</v>
      </c>
      <c r="F73" s="53">
        <f t="shared" si="11"/>
        <v>5620.2277658167659</v>
      </c>
      <c r="G73" s="53">
        <f t="shared" si="11"/>
        <v>18446.4648621499</v>
      </c>
      <c r="H73" s="53">
        <f t="shared" si="11"/>
        <v>7522.8483869076845</v>
      </c>
      <c r="I73" s="53">
        <f t="shared" si="11"/>
        <v>7330.8173767676317</v>
      </c>
      <c r="J73" s="53">
        <f t="shared" si="11"/>
        <v>7090.7531171482606</v>
      </c>
      <c r="K73" s="53">
        <f t="shared" si="11"/>
        <v>6800.680827600755</v>
      </c>
      <c r="L73" s="53">
        <f t="shared" si="11"/>
        <v>6468.3722090215579</v>
      </c>
      <c r="M73" s="53">
        <f t="shared" si="11"/>
        <v>6101.3509740685813</v>
      </c>
      <c r="N73" s="53">
        <f t="shared" si="11"/>
        <v>5706.8382055158299</v>
      </c>
      <c r="O73" s="53">
        <f t="shared" si="11"/>
        <v>5291.7049127344299</v>
      </c>
      <c r="P73" s="53">
        <f t="shared" si="11"/>
        <v>4862.4318378478793</v>
      </c>
      <c r="Q73" s="53">
        <f t="shared" si="11"/>
        <v>4425.0764612272287</v>
      </c>
      <c r="R73" s="53">
        <f t="shared" si="11"/>
        <v>3985.2470628123606</v>
      </c>
      <c r="S73" s="53">
        <f t="shared" si="11"/>
        <v>3548.0836120889717</v>
      </c>
      <c r="T73" s="53">
        <f t="shared" si="11"/>
        <v>3118.2451860032852</v>
      </c>
      <c r="U73" s="53">
        <f t="shared" si="11"/>
        <v>2699.9035510045755</v>
      </c>
      <c r="V73" s="53">
        <f t="shared" si="11"/>
        <v>2296.7424929108652</v>
      </c>
      <c r="W73" s="53">
        <f t="shared" si="11"/>
        <v>1911.9624363257569</v>
      </c>
      <c r="X73" s="53">
        <f t="shared" si="11"/>
        <v>1548.289863654607</v>
      </c>
      <c r="Y73" s="53">
        <f t="shared" si="11"/>
        <v>1207.9910219708725</v>
      </c>
      <c r="Z73" s="53">
        <f t="shared" si="11"/>
        <v>892.88939353133742</v>
      </c>
      <c r="AA73" s="53">
        <f t="shared" si="11"/>
        <v>604.38640198003338</v>
      </c>
    </row>
    <row r="74" spans="1:87" x14ac:dyDescent="0.3">
      <c r="A74" s="32" t="s">
        <v>16</v>
      </c>
      <c r="B74" s="33" t="s">
        <v>102</v>
      </c>
      <c r="C74" s="53">
        <f>Cost_of_Funds+operational_cost+collect_cost</f>
        <v>0</v>
      </c>
      <c r="D74" s="53">
        <f>GB_DEF-prev GB_DEF</f>
        <v>0</v>
      </c>
      <c r="E74" s="53">
        <f>GB_DEF-prev GB_DEF</f>
        <v>0</v>
      </c>
      <c r="F74" s="53">
        <f>GB_DEF-prev GB_DEF</f>
        <v>0</v>
      </c>
      <c r="G74" s="53">
        <f>GB_DEF-prev GB_DEF</f>
        <v>13142.802718290857</v>
      </c>
      <c r="H74" s="53">
        <f>GB_DEF-prev GB_DEF</f>
        <v>2669.9866845616343</v>
      </c>
      <c r="I74" s="53">
        <f>GB_DEF-prev GB_DEF</f>
        <v>2813.5339573261244</v>
      </c>
      <c r="J74" s="53">
        <f>GB_DEF-prev GB_DEF</f>
        <v>2892.9287070316859</v>
      </c>
      <c r="K74" s="53">
        <f>GB_DEF-prev GB_DEF</f>
        <v>2915.3165751724773</v>
      </c>
      <c r="L74" s="53">
        <f>GB_DEF-prev GB_DEF</f>
        <v>2887.7289723426002</v>
      </c>
      <c r="M74" s="53">
        <f>GB_DEF-prev GB_DEF</f>
        <v>2817.0224104337249</v>
      </c>
      <c r="N74" s="53">
        <f>GB_DEF-prev GB_DEF</f>
        <v>2709.8242507863688</v>
      </c>
      <c r="O74" s="53">
        <f>GB_DEF-prev GB_DEF</f>
        <v>2572.4850621770383</v>
      </c>
      <c r="P74" s="53">
        <f>GB_DEF-prev GB_DEF</f>
        <v>2411.0376772558593</v>
      </c>
      <c r="Q74" s="53">
        <f>GB_DEF-prev GB_DEF</f>
        <v>2231.1629376765777</v>
      </c>
      <c r="R74" s="53">
        <f>GB_DEF-prev GB_DEF</f>
        <v>2038.1620277561306</v>
      </c>
      <c r="S74" s="53">
        <f>GB_DEF-prev GB_DEF</f>
        <v>1836.9352148998587</v>
      </c>
      <c r="T74" s="53">
        <f>GB_DEF-prev GB_DEF</f>
        <v>1631.9667428417888</v>
      </c>
      <c r="U74" s="53">
        <f>GB_DEF-prev GB_DEF</f>
        <v>1427.3155613576819</v>
      </c>
      <c r="V74" s="53">
        <f>GB_DEF-prev GB_DEF</f>
        <v>1226.6115236942351</v>
      </c>
      <c r="W74" s="53">
        <f>GB_DEF-prev GB_DEF</f>
        <v>1033.0566404980054</v>
      </c>
      <c r="X74" s="53">
        <f>GB_DEF-prev GB_DEF</f>
        <v>849.43094633450528</v>
      </c>
      <c r="Y74" s="53">
        <f>GB_DEF-prev GB_DEF</f>
        <v>678.10251161138876</v>
      </c>
      <c r="Z74" s="53">
        <f>GB_DEF-prev GB_DEF</f>
        <v>521.04111838016979</v>
      </c>
      <c r="AA74" s="53">
        <f>GB_DEF-prev GB_DEF</f>
        <v>379.83511249511503</v>
      </c>
    </row>
    <row r="75" spans="1:87" x14ac:dyDescent="0.3">
      <c r="A75" s="32" t="s">
        <v>15</v>
      </c>
      <c r="B75" s="33" t="s">
        <v>98</v>
      </c>
      <c r="C75" s="53">
        <f>IF(statement_no=0,0,prev AT1_req*At1_int_rate/12)</f>
        <v>0</v>
      </c>
      <c r="D75" s="53">
        <f>(1-Equity_Req)*prev GB_act*CoF/12</f>
        <v>6197.916666666667</v>
      </c>
      <c r="E75" s="53">
        <f>(1-Equity_Req)*prev GB_act*CoF/12</f>
        <v>5807.1238028385442</v>
      </c>
      <c r="F75" s="53">
        <f>(1-Equity_Req)*prev GB_act*CoF/12</f>
        <v>5482.5962946690079</v>
      </c>
      <c r="G75" s="53">
        <f>(1-Equity_Req)*prev GB_act*CoF/12</f>
        <v>5164.1628823414221</v>
      </c>
      <c r="H75" s="53">
        <f>(1-Equity_Req)*prev GB_act*CoF/12</f>
        <v>4713.6282493949548</v>
      </c>
      <c r="I75" s="53">
        <f>(1-Equity_Req)*prev GB_act*CoF/12</f>
        <v>4388.683260064221</v>
      </c>
      <c r="J75" s="53">
        <f>(1-Equity_Req)*prev GB_act*CoF/12</f>
        <v>4070.3372838863083</v>
      </c>
      <c r="K75" s="53">
        <f>(1-Equity_Req)*prev GB_act*CoF/12</f>
        <v>3759.3743573503452</v>
      </c>
      <c r="L75" s="53">
        <f>(1-Equity_Req)*prev GB_act*CoF/12</f>
        <v>3456.5057189413169</v>
      </c>
      <c r="M75" s="53">
        <f>(1-Equity_Req)*prev GB_act*CoF/12</f>
        <v>3162.3690630695528</v>
      </c>
      <c r="N75" s="53">
        <f>(1-Equity_Req)*prev GB_act*CoF/12</f>
        <v>2877.5284020494923</v>
      </c>
      <c r="O75" s="53">
        <f>(1-Equity_Req)*prev GB_act*CoF/12</f>
        <v>2602.4745015406302</v>
      </c>
      <c r="P75" s="53">
        <f>(1-Equity_Req)*prev GB_act*CoF/12</f>
        <v>2337.6258509235026</v>
      </c>
      <c r="Q75" s="53">
        <f>(1-Equity_Req)*prev GB_act*CoF/12</f>
        <v>2083.3301268788578</v>
      </c>
      <c r="R75" s="53">
        <f>(1-Equity_Req)*prev GB_act*CoF/12</f>
        <v>1839.8661059599099</v>
      </c>
      <c r="S75" s="53">
        <f>(1-Equity_Req)*prev GB_act*CoF/12</f>
        <v>1607.4459801769979</v>
      </c>
      <c r="T75" s="53">
        <f>(1-Equity_Req)*prev GB_act*CoF/12</f>
        <v>1386.2180285225777</v>
      </c>
      <c r="U75" s="53">
        <f>(1-Equity_Req)*prev GB_act*CoF/12</f>
        <v>1176.2695969159379</v>
      </c>
      <c r="V75" s="53">
        <f>(1-Equity_Req)*prev GB_act*CoF/12</f>
        <v>977.63033919809334</v>
      </c>
      <c r="W75" s="53">
        <f>(1-Equity_Req)*prev GB_act*CoF/12</f>
        <v>790.27567250929906</v>
      </c>
      <c r="X75" s="53">
        <f>(1-Equity_Req)*prev GB_act*CoF/12</f>
        <v>614.1304015815283</v>
      </c>
      <c r="Y75" s="53">
        <f>(1-Equity_Req)*prev GB_act*CoF/12</f>
        <v>449.07246812017524</v>
      </c>
      <c r="Z75" s="53">
        <f>(1-Equity_Req)*prev GB_act*CoF/12</f>
        <v>294.93678347536735</v>
      </c>
      <c r="AA75" s="53">
        <f>(1-Equity_Req)*prev GB_act*CoF/12</f>
        <v>151.51910515511483</v>
      </c>
    </row>
    <row r="76" spans="1:87" x14ac:dyDescent="0.3">
      <c r="A76" s="32" t="s">
        <v>99</v>
      </c>
      <c r="B76" s="33" t="s">
        <v>105</v>
      </c>
      <c r="C76" s="53">
        <f>0</f>
        <v>0</v>
      </c>
      <c r="D76" s="53">
        <f>prev accnt_act*oper_cost</f>
        <v>100</v>
      </c>
      <c r="E76" s="53">
        <f>prev accnt_act*oper_cost</f>
        <v>96.46105891721767</v>
      </c>
      <c r="F76" s="53">
        <f>prev accnt_act*oper_cost</f>
        <v>94.258813589362177</v>
      </c>
      <c r="G76" s="53">
        <f>prev accnt_act*oper_cost</f>
        <v>92.082986542082438</v>
      </c>
      <c r="H76" s="53">
        <f>prev accnt_act*oper_cost</f>
        <v>87.486638783017625</v>
      </c>
      <c r="I76" s="53">
        <f>prev accnt_act*oper_cost</f>
        <v>84.896646225809519</v>
      </c>
      <c r="J76" s="53">
        <f>prev accnt_act*oper_cost</f>
        <v>82.286936673597367</v>
      </c>
      <c r="K76" s="53">
        <f>prev accnt_act*oper_cost</f>
        <v>79.665284757282848</v>
      </c>
      <c r="L76" s="53">
        <f>prev accnt_act*oper_cost</f>
        <v>77.039154737776315</v>
      </c>
      <c r="M76" s="53">
        <f>prev accnt_act*oper_cost</f>
        <v>74.415675381451081</v>
      </c>
      <c r="N76" s="53">
        <f>prev accnt_act*oper_cost</f>
        <v>71.801618579705149</v>
      </c>
      <c r="O76" s="53">
        <f>prev accnt_act*oper_cost</f>
        <v>69.20338166516386</v>
      </c>
      <c r="P76" s="53">
        <f>prev accnt_act*oper_cost</f>
        <v>66.626973343372882</v>
      </c>
      <c r="Q76" s="53">
        <f>prev accnt_act*oper_cost</f>
        <v>64.078003128439434</v>
      </c>
      <c r="R76" s="53">
        <f>prev accnt_act*oper_cost</f>
        <v>61.561674144128133</v>
      </c>
      <c r="S76" s="53">
        <f>prev accnt_act*oper_cost</f>
        <v>59.082779128497457</v>
      </c>
      <c r="T76" s="53">
        <f>prev accnt_act*oper_cost</f>
        <v>56.645699460305025</v>
      </c>
      <c r="U76" s="53">
        <f>prev accnt_act*oper_cost</f>
        <v>54.254407009089675</v>
      </c>
      <c r="V76" s="53">
        <f>prev accnt_act*oper_cost</f>
        <v>51.91246859798391</v>
      </c>
      <c r="W76" s="53">
        <f>prev accnt_act*oper_cost</f>
        <v>49.623052858807235</v>
      </c>
      <c r="X76" s="53">
        <f>prev accnt_act*oper_cost</f>
        <v>47.388939252681958</v>
      </c>
      <c r="Y76" s="53">
        <f>prev accnt_act*oper_cost</f>
        <v>45.212529026115732</v>
      </c>
      <c r="Z76" s="53">
        <f>prev accnt_act*oper_cost</f>
        <v>43.095857871994198</v>
      </c>
      <c r="AA76" s="53">
        <f>prev accnt_act*oper_cost</f>
        <v>41.040610066991604</v>
      </c>
    </row>
    <row r="77" spans="1:87" x14ac:dyDescent="0.3">
      <c r="A77" s="32" t="s">
        <v>100</v>
      </c>
      <c r="B77" s="33" t="s">
        <v>101</v>
      </c>
      <c r="C77" s="53">
        <v>0</v>
      </c>
      <c r="D77" s="53">
        <f>(prev accnt_dlq+prev accnt_b_def)*collection_cost</f>
        <v>0</v>
      </c>
      <c r="E77" s="53">
        <f>(prev accnt_dlq+prev accnt_b_def)*collection_cost</f>
        <v>38.25270828827103</v>
      </c>
      <c r="F77" s="53">
        <f>(prev accnt_dlq+prev accnt_b_def)*collection_cost</f>
        <v>43.372657558396376</v>
      </c>
      <c r="G77" s="53">
        <f>(prev accnt_dlq+prev accnt_b_def)*collection_cost</f>
        <v>47.416274975539395</v>
      </c>
      <c r="H77" s="53">
        <f>(prev accnt_dlq+prev accnt_b_def)*collection_cost</f>
        <v>51.746814168077293</v>
      </c>
      <c r="I77" s="53">
        <f>(prev accnt_dlq+prev accnt_b_def)*collection_cost</f>
        <v>43.70351315147704</v>
      </c>
      <c r="J77" s="53">
        <f>(prev accnt_dlq+prev accnt_b_def)*collection_cost</f>
        <v>45.200189556668526</v>
      </c>
      <c r="K77" s="53">
        <f>(prev accnt_dlq+prev accnt_b_def)*collection_cost</f>
        <v>46.324610320648944</v>
      </c>
      <c r="L77" s="53">
        <f>(prev accnt_dlq+prev accnt_b_def)*collection_cost</f>
        <v>47.09836299986474</v>
      </c>
      <c r="M77" s="53">
        <f>(prev accnt_dlq+prev accnt_b_def)*collection_cost</f>
        <v>47.543825183852356</v>
      </c>
      <c r="N77" s="53">
        <f>(prev accnt_dlq+prev accnt_b_def)*collection_cost</f>
        <v>47.683934100263464</v>
      </c>
      <c r="O77" s="53">
        <f>(prev accnt_dlq+prev accnt_b_def)*collection_cost</f>
        <v>47.541967351598281</v>
      </c>
      <c r="P77" s="53">
        <f>(prev accnt_dlq+prev accnt_b_def)*collection_cost</f>
        <v>47.141336325143854</v>
      </c>
      <c r="Q77" s="53">
        <f>(prev accnt_dlq+prev accnt_b_def)*collection_cost</f>
        <v>46.505393543353385</v>
      </c>
      <c r="R77" s="53">
        <f>(prev accnt_dlq+prev accnt_b_def)*collection_cost</f>
        <v>45.657254952192034</v>
      </c>
      <c r="S77" s="53">
        <f>(prev accnt_dlq+prev accnt_b_def)*collection_cost</f>
        <v>44.619637883617472</v>
      </c>
      <c r="T77" s="53">
        <f>(prev accnt_dlq+prev accnt_b_def)*collection_cost</f>
        <v>43.41471517861352</v>
      </c>
      <c r="U77" s="53">
        <f>(prev accnt_dlq+prev accnt_b_def)*collection_cost</f>
        <v>42.063985721865997</v>
      </c>
      <c r="V77" s="53">
        <f>(prev accnt_dlq+prev accnt_b_def)*collection_cost</f>
        <v>40.58816142055268</v>
      </c>
      <c r="W77" s="53">
        <f>(prev accnt_dlq+prev accnt_b_def)*collection_cost</f>
        <v>39.007070459645135</v>
      </c>
      <c r="X77" s="53">
        <f>(prev accnt_dlq+prev accnt_b_def)*collection_cost</f>
        <v>37.33957648589157</v>
      </c>
      <c r="Y77" s="53">
        <f>(prev accnt_dlq+prev accnt_b_def)*collection_cost</f>
        <v>35.603513213192734</v>
      </c>
      <c r="Z77" s="53">
        <f>(prev accnt_dlq+prev accnt_b_def)*collection_cost</f>
        <v>33.815633803806179</v>
      </c>
      <c r="AA77" s="53">
        <f>(prev accnt_dlq+prev accnt_b_def)*collection_cost</f>
        <v>31.991574262811934</v>
      </c>
    </row>
    <row r="78" spans="1:87" x14ac:dyDescent="0.3">
      <c r="A78" s="55"/>
      <c r="B78" s="56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87" ht="15.6" x14ac:dyDescent="0.3">
      <c r="A79" s="77" t="s">
        <v>47</v>
      </c>
      <c r="B79" s="27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58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87" x14ac:dyDescent="0.3">
      <c r="A80" s="59" t="s">
        <v>42</v>
      </c>
      <c r="B80" s="60" t="s">
        <v>48</v>
      </c>
      <c r="C80" s="51">
        <f>C68</f>
        <v>0</v>
      </c>
      <c r="D80" s="51">
        <f>(prev GB_act- GB_act)+(prev GB_DEF - GB_DEF)+Gross_profit</f>
        <v>45526.146997898992</v>
      </c>
      <c r="E80" s="51">
        <f>(prev GB_act- GB_act)+(prev GB_DEF - GB_DEF)+Gross_profit</f>
        <v>37873.090377862653</v>
      </c>
      <c r="F80" s="51">
        <f>(prev GB_act- GB_act)+(prev GB_DEF - GB_DEF)+Gross_profit</f>
        <v>36725.109457965635</v>
      </c>
      <c r="G80" s="51">
        <f>(prev GB_act- GB_act)+(prev GB_DEF - GB_DEF)+Gross_profit</f>
        <v>36224.393378510693</v>
      </c>
      <c r="H80" s="51">
        <f>(prev GB_act- GB_act)+(prev GB_DEF - GB_DEF)+Gross_profit</f>
        <v>33566.759633151916</v>
      </c>
      <c r="I80" s="51">
        <f>(prev GB_act- GB_act)+(prev GB_DEF - GB_DEF)+Gross_profit</f>
        <v>32264.208977521514</v>
      </c>
      <c r="J80" s="51">
        <f>(prev GB_act- GB_act)+(prev GB_DEF - GB_DEF)+Gross_profit</f>
        <v>30963.252722241188</v>
      </c>
      <c r="K80" s="51">
        <f>(prev GB_act- GB_act)+(prev GB_DEF - GB_DEF)+Gross_profit</f>
        <v>29665.604492818144</v>
      </c>
      <c r="L80" s="51">
        <f>(prev GB_act- GB_act)+(prev GB_DEF - GB_DEF)+Gross_profit</f>
        <v>28372.982970234349</v>
      </c>
      <c r="M80" s="51">
        <f>(prev GB_act- GB_act)+(prev GB_DEF - GB_DEF)+Gross_profit</f>
        <v>27087.110069769798</v>
      </c>
      <c r="N80" s="51">
        <f>(prev GB_act- GB_act)+(prev GB_DEF - GB_DEF)+Gross_profit</f>
        <v>25809.70798370444</v>
      </c>
      <c r="O80" s="51">
        <f>(prev GB_act- GB_act)+(prev GB_DEF - GB_DEF)+Gross_profit</f>
        <v>24542.495180134203</v>
      </c>
      <c r="P80" s="51">
        <f>(prev GB_act- GB_act)+(prev GB_DEF - GB_DEF)+Gross_profit</f>
        <v>23287.181467422859</v>
      </c>
      <c r="Q80" s="51">
        <f>(prev GB_act- GB_act)+(prev GB_DEF - GB_DEF)+Gross_profit</f>
        <v>22045.462247749994</v>
      </c>
      <c r="R80" s="51">
        <f>(prev GB_act- GB_act)+(prev GB_DEF - GB_DEF)+Gross_profit</f>
        <v>20819.012093749359</v>
      </c>
      <c r="S80" s="51">
        <f>(prev GB_act- GB_act)+(prev GB_DEF - GB_DEF)+Gross_profit</f>
        <v>19609.477789410059</v>
      </c>
      <c r="T80" s="51">
        <f>(prev GB_act- GB_act)+(prev GB_DEF - GB_DEF)+Gross_profit</f>
        <v>18418.470980343864</v>
      </c>
      <c r="U80" s="51">
        <f>(prev GB_act- GB_act)+(prev GB_DEF - GB_DEF)+Gross_profit</f>
        <v>17247.560579361852</v>
      </c>
      <c r="V80" s="51">
        <f>(prev GB_act- GB_act)+(prev GB_DEF - GB_DEF)+Gross_profit</f>
        <v>16098.265071275635</v>
      </c>
      <c r="W80" s="51">
        <f>(prev GB_act- GB_act)+(prev GB_DEF - GB_DEF)+Gross_profit</f>
        <v>14972.044856199829</v>
      </c>
      <c r="X80" s="51">
        <f>(prev GB_act- GB_act)+(prev GB_DEF - GB_DEF)+Gross_profit</f>
        <v>13870.294763662807</v>
      </c>
      <c r="Y80" s="51">
        <f>(prev GB_act- GB_act)+(prev GB_DEF - GB_DEF)+Gross_profit</f>
        <v>12794.336860859274</v>
      </c>
      <c r="Z80" s="51">
        <f>(prev GB_act- GB_act)+(prev GB_DEF - GB_DEF)+Gross_profit</f>
        <v>11745.413667715617</v>
      </c>
      <c r="AA80" s="51">
        <f>(prev GB_act- GB_act)+(prev GB_DEF - GB_DEF)+Gross_profit</f>
        <v>12223.566210338728</v>
      </c>
    </row>
    <row r="81" spans="1:87" x14ac:dyDescent="0.3">
      <c r="A81" s="29"/>
      <c r="B81" s="27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spans="1:87" ht="15.6" x14ac:dyDescent="0.3">
      <c r="A82" s="77" t="s">
        <v>41</v>
      </c>
      <c r="B82" s="27"/>
      <c r="C82" s="4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87" x14ac:dyDescent="0.3">
      <c r="A83" s="29" t="s">
        <v>17</v>
      </c>
      <c r="B83" s="27" t="s">
        <v>18</v>
      </c>
      <c r="C83" s="53">
        <f>Gross_profit-Loan_Loss</f>
        <v>0</v>
      </c>
      <c r="D83" s="53">
        <f t="shared" ref="D83:AA83" si="12">Gross_profit-Gross_Loss</f>
        <v>7702.083333333333</v>
      </c>
      <c r="E83" s="53">
        <f t="shared" si="12"/>
        <v>5750.8824008643578</v>
      </c>
      <c r="F83" s="53">
        <f t="shared" si="12"/>
        <v>5416.1358237050699</v>
      </c>
      <c r="G83" s="53">
        <f t="shared" si="12"/>
        <v>-5424.9198265759551</v>
      </c>
      <c r="H83" s="53">
        <f t="shared" si="12"/>
        <v>2499.8483713516616</v>
      </c>
      <c r="I83" s="53">
        <f t="shared" si="12"/>
        <v>2065.2333622147935</v>
      </c>
      <c r="J83" s="53">
        <f t="shared" si="12"/>
        <v>1679.3434823326388</v>
      </c>
      <c r="K83" s="53">
        <f t="shared" si="12"/>
        <v>1347.1399989892716</v>
      </c>
      <c r="L83" s="53">
        <f t="shared" si="12"/>
        <v>1063.6683354970883</v>
      </c>
      <c r="M83" s="53">
        <f t="shared" si="12"/>
        <v>824.03910451663523</v>
      </c>
      <c r="N83" s="53">
        <f t="shared" si="12"/>
        <v>623.47180304993799</v>
      </c>
      <c r="O83" s="53">
        <f t="shared" si="12"/>
        <v>457.33376718671025</v>
      </c>
      <c r="P83" s="53">
        <f t="shared" si="12"/>
        <v>321.17427465779383</v>
      </c>
      <c r="Q83" s="53">
        <f t="shared" si="12"/>
        <v>210.75375930946393</v>
      </c>
      <c r="R83" s="53">
        <f t="shared" si="12"/>
        <v>122.06817200441537</v>
      </c>
      <c r="S83" s="53">
        <f t="shared" si="12"/>
        <v>51.368586486210461</v>
      </c>
      <c r="T83" s="53">
        <f t="shared" si="12"/>
        <v>-4.8237941095640053</v>
      </c>
      <c r="U83" s="53">
        <f t="shared" si="12"/>
        <v>-49.707024497726707</v>
      </c>
      <c r="V83" s="53">
        <f t="shared" si="12"/>
        <v>-86.191950146238923</v>
      </c>
      <c r="W83" s="53">
        <f t="shared" si="12"/>
        <v>-116.89960270859046</v>
      </c>
      <c r="X83" s="53">
        <f t="shared" si="12"/>
        <v>-144.16214717821254</v>
      </c>
      <c r="Y83" s="53">
        <f t="shared" si="12"/>
        <v>-170.02704941748539</v>
      </c>
      <c r="Z83" s="53">
        <f t="shared" si="12"/>
        <v>-196.26411898533354</v>
      </c>
      <c r="AA83" s="53">
        <f t="shared" si="12"/>
        <v>-224.37507485293162</v>
      </c>
    </row>
    <row r="84" spans="1:87" x14ac:dyDescent="0.3">
      <c r="A84" s="29" t="s">
        <v>19</v>
      </c>
      <c r="B84" s="27" t="s">
        <v>19</v>
      </c>
      <c r="C84" s="53">
        <f t="shared" ref="C84:AA84" si="13">Net_Income_Bax*tax_rate</f>
        <v>0</v>
      </c>
      <c r="D84" s="53">
        <f>Net_Income_Bax*tax_rate</f>
        <v>1540.4166666666667</v>
      </c>
      <c r="E84" s="53">
        <f t="shared" si="13"/>
        <v>1150.1764801728716</v>
      </c>
      <c r="F84" s="53">
        <f>Net_Income_Bax*tax_rate</f>
        <v>1083.2271647410141</v>
      </c>
      <c r="G84" s="53">
        <f t="shared" si="13"/>
        <v>-1084.983965315191</v>
      </c>
      <c r="H84" s="53">
        <f t="shared" si="13"/>
        <v>499.96967427033235</v>
      </c>
      <c r="I84" s="53">
        <f>Net_Income_Bax*tax_rate</f>
        <v>413.04667244295871</v>
      </c>
      <c r="J84" s="53">
        <f t="shared" si="13"/>
        <v>335.86869646652781</v>
      </c>
      <c r="K84" s="53">
        <f t="shared" si="13"/>
        <v>269.42799979785434</v>
      </c>
      <c r="L84" s="53">
        <f t="shared" si="13"/>
        <v>212.73366709941766</v>
      </c>
      <c r="M84" s="53">
        <f t="shared" si="13"/>
        <v>164.80782090332707</v>
      </c>
      <c r="N84" s="53">
        <f t="shared" si="13"/>
        <v>124.6943606099876</v>
      </c>
      <c r="O84" s="53">
        <f t="shared" si="13"/>
        <v>91.466753437342049</v>
      </c>
      <c r="P84" s="53">
        <f t="shared" si="13"/>
        <v>64.234854931558772</v>
      </c>
      <c r="Q84" s="53">
        <f t="shared" si="13"/>
        <v>42.150751861892786</v>
      </c>
      <c r="R84" s="53">
        <f t="shared" si="13"/>
        <v>24.413634400883076</v>
      </c>
      <c r="S84" s="53">
        <f t="shared" si="13"/>
        <v>10.273717297242094</v>
      </c>
      <c r="T84" s="53">
        <f t="shared" si="13"/>
        <v>-0.96475882191280116</v>
      </c>
      <c r="U84" s="53">
        <f t="shared" si="13"/>
        <v>-9.9414048995453417</v>
      </c>
      <c r="V84" s="53">
        <f t="shared" si="13"/>
        <v>-17.238390029247785</v>
      </c>
      <c r="W84" s="53">
        <f t="shared" si="13"/>
        <v>-23.379920541718093</v>
      </c>
      <c r="X84" s="53">
        <f t="shared" si="13"/>
        <v>-28.83242943564251</v>
      </c>
      <c r="Y84" s="53">
        <f t="shared" si="13"/>
        <v>-34.00540988349708</v>
      </c>
      <c r="Z84" s="53">
        <f t="shared" si="13"/>
        <v>-39.252823797066711</v>
      </c>
      <c r="AA84" s="53">
        <f t="shared" si="13"/>
        <v>-44.875014970586328</v>
      </c>
    </row>
    <row r="85" spans="1:87" s="5" customFormat="1" x14ac:dyDescent="0.3">
      <c r="A85" s="61" t="s">
        <v>40</v>
      </c>
      <c r="B85" s="62" t="s">
        <v>20</v>
      </c>
      <c r="C85" s="63">
        <f t="shared" ref="C85:AA85" si="14">Net_Income_Bax-Tax</f>
        <v>0</v>
      </c>
      <c r="D85" s="63">
        <f t="shared" si="14"/>
        <v>6161.6666666666661</v>
      </c>
      <c r="E85" s="63">
        <f t="shared" si="14"/>
        <v>4600.7059206914864</v>
      </c>
      <c r="F85" s="63">
        <f t="shared" si="14"/>
        <v>4332.9086589640556</v>
      </c>
      <c r="G85" s="63">
        <f t="shared" si="14"/>
        <v>-4339.9358612607639</v>
      </c>
      <c r="H85" s="63">
        <f t="shared" si="14"/>
        <v>1999.8786970813294</v>
      </c>
      <c r="I85" s="63">
        <f t="shared" si="14"/>
        <v>1652.1866897718348</v>
      </c>
      <c r="J85" s="63">
        <f t="shared" si="14"/>
        <v>1343.474785866111</v>
      </c>
      <c r="K85" s="63">
        <f t="shared" si="14"/>
        <v>1077.7119991914174</v>
      </c>
      <c r="L85" s="63">
        <f t="shared" si="14"/>
        <v>850.93466839767063</v>
      </c>
      <c r="M85" s="63">
        <f t="shared" si="14"/>
        <v>659.23128361330816</v>
      </c>
      <c r="N85" s="63">
        <f t="shared" si="14"/>
        <v>498.77744243995039</v>
      </c>
      <c r="O85" s="63">
        <f t="shared" si="14"/>
        <v>365.8670137493682</v>
      </c>
      <c r="P85" s="63">
        <f t="shared" si="14"/>
        <v>256.93941972623509</v>
      </c>
      <c r="Q85" s="63">
        <f t="shared" si="14"/>
        <v>168.60300744757114</v>
      </c>
      <c r="R85" s="63">
        <f t="shared" si="14"/>
        <v>97.654537603532305</v>
      </c>
      <c r="S85" s="63">
        <f t="shared" si="14"/>
        <v>41.094869188968367</v>
      </c>
      <c r="T85" s="63">
        <f t="shared" si="14"/>
        <v>-3.8590352876512042</v>
      </c>
      <c r="U85" s="63">
        <f t="shared" si="14"/>
        <v>-39.765619598181367</v>
      </c>
      <c r="V85" s="63">
        <f t="shared" si="14"/>
        <v>-68.953560116991142</v>
      </c>
      <c r="W85" s="63">
        <f t="shared" si="14"/>
        <v>-93.519682166872371</v>
      </c>
      <c r="X85" s="63">
        <f t="shared" si="14"/>
        <v>-115.32971774257003</v>
      </c>
      <c r="Y85" s="63">
        <f t="shared" si="14"/>
        <v>-136.02163953398832</v>
      </c>
      <c r="Z85" s="63">
        <f t="shared" si="14"/>
        <v>-157.01129518826684</v>
      </c>
      <c r="AA85" s="63">
        <f t="shared" si="14"/>
        <v>-179.50005988234528</v>
      </c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</row>
    <row r="86" spans="1:87" x14ac:dyDescent="0.3">
      <c r="A86" s="29"/>
      <c r="B86" s="27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87" ht="15.6" x14ac:dyDescent="0.3">
      <c r="A87" s="77" t="s">
        <v>64</v>
      </c>
      <c r="B87" s="27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87" s="2" customFormat="1" x14ac:dyDescent="0.3">
      <c r="A88" s="45" t="s">
        <v>51</v>
      </c>
      <c r="B88" s="27" t="s">
        <v>52</v>
      </c>
      <c r="C88" s="53">
        <f t="shared" ref="C88:AA88" si="15">GB_act</f>
        <v>500000</v>
      </c>
      <c r="D88" s="53">
        <f t="shared" si="15"/>
        <v>468473.85300210101</v>
      </c>
      <c r="E88" s="53">
        <f t="shared" si="15"/>
        <v>442293.48259514675</v>
      </c>
      <c r="F88" s="53">
        <f t="shared" si="15"/>
        <v>416604.73672670295</v>
      </c>
      <c r="G88" s="53">
        <f t="shared" si="15"/>
        <v>380259.08566547534</v>
      </c>
      <c r="H88" s="53">
        <f t="shared" si="15"/>
        <v>354045.03610602114</v>
      </c>
      <c r="I88" s="53">
        <f t="shared" si="15"/>
        <v>328363.34391015593</v>
      </c>
      <c r="J88" s="53">
        <f t="shared" si="15"/>
        <v>303277.25908036396</v>
      </c>
      <c r="K88" s="53">
        <f t="shared" si="15"/>
        <v>278844.15883896337</v>
      </c>
      <c r="L88" s="53">
        <f t="shared" si="15"/>
        <v>255115.48744090507</v>
      </c>
      <c r="M88" s="53">
        <f t="shared" si="15"/>
        <v>232136.74503928676</v>
      </c>
      <c r="N88" s="53">
        <f t="shared" si="15"/>
        <v>209947.52281336172</v>
      </c>
      <c r="O88" s="53">
        <f t="shared" si="15"/>
        <v>188581.58125097162</v>
      </c>
      <c r="P88" s="53">
        <f t="shared" si="15"/>
        <v>168066.96821879857</v>
      </c>
      <c r="Q88" s="53">
        <f t="shared" si="15"/>
        <v>148426.1732539087</v>
      </c>
      <c r="R88" s="53">
        <f t="shared" si="15"/>
        <v>129676.31436721998</v>
      </c>
      <c r="S88" s="53">
        <f t="shared" si="15"/>
        <v>111829.35356148524</v>
      </c>
      <c r="T88" s="53">
        <f t="shared" si="15"/>
        <v>94892.337230193312</v>
      </c>
      <c r="U88" s="53">
        <f t="shared" si="15"/>
        <v>78867.657615980628</v>
      </c>
      <c r="V88" s="53">
        <f t="shared" si="15"/>
        <v>63753.331563775384</v>
      </c>
      <c r="W88" s="53">
        <f t="shared" si="15"/>
        <v>49543.292900694716</v>
      </c>
      <c r="X88" s="53">
        <f t="shared" si="15"/>
        <v>36227.694907173798</v>
      </c>
      <c r="Y88" s="53">
        <f t="shared" si="15"/>
        <v>23793.219507256523</v>
      </c>
      <c r="Z88" s="53">
        <f t="shared" si="15"/>
        <v>12223.389995706741</v>
      </c>
      <c r="AA88" s="53">
        <f t="shared" si="15"/>
        <v>0</v>
      </c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2" customFormat="1" x14ac:dyDescent="0.3">
      <c r="A89" s="45" t="s">
        <v>50</v>
      </c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2" customFormat="1" x14ac:dyDescent="0.3">
      <c r="A90" s="29" t="s">
        <v>55</v>
      </c>
      <c r="B90" s="27" t="s">
        <v>54</v>
      </c>
      <c r="C90" s="53">
        <f t="shared" ref="C90:AA90" si="16">GB_act*Equity_Req</f>
        <v>62500</v>
      </c>
      <c r="D90" s="53">
        <f t="shared" si="16"/>
        <v>58559.231625262626</v>
      </c>
      <c r="E90" s="53">
        <f t="shared" si="16"/>
        <v>55286.685324393344</v>
      </c>
      <c r="F90" s="53">
        <f t="shared" si="16"/>
        <v>52075.592090837868</v>
      </c>
      <c r="G90" s="53">
        <f t="shared" si="16"/>
        <v>47532.385708184418</v>
      </c>
      <c r="H90" s="53">
        <f t="shared" si="16"/>
        <v>44255.629513252643</v>
      </c>
      <c r="I90" s="53">
        <f t="shared" si="16"/>
        <v>41045.417988769492</v>
      </c>
      <c r="J90" s="53">
        <f t="shared" si="16"/>
        <v>37909.657385045495</v>
      </c>
      <c r="K90" s="53">
        <f t="shared" si="16"/>
        <v>34855.519854870421</v>
      </c>
      <c r="L90" s="53">
        <f t="shared" si="16"/>
        <v>31889.435930113134</v>
      </c>
      <c r="M90" s="53">
        <f t="shared" si="16"/>
        <v>29017.093129910845</v>
      </c>
      <c r="N90" s="53">
        <f t="shared" si="16"/>
        <v>26243.440351670215</v>
      </c>
      <c r="O90" s="53">
        <f t="shared" si="16"/>
        <v>23572.697656371452</v>
      </c>
      <c r="P90" s="53">
        <f t="shared" si="16"/>
        <v>21008.371027349822</v>
      </c>
      <c r="Q90" s="53">
        <f t="shared" si="16"/>
        <v>18553.271656738587</v>
      </c>
      <c r="R90" s="53">
        <f t="shared" si="16"/>
        <v>16209.539295902498</v>
      </c>
      <c r="S90" s="53">
        <f t="shared" si="16"/>
        <v>13978.669195185656</v>
      </c>
      <c r="T90" s="53">
        <f t="shared" si="16"/>
        <v>11861.542153774164</v>
      </c>
      <c r="U90" s="53">
        <f t="shared" si="16"/>
        <v>9858.4572019975785</v>
      </c>
      <c r="V90" s="53">
        <f t="shared" si="16"/>
        <v>7969.166445471923</v>
      </c>
      <c r="W90" s="53">
        <f t="shared" si="16"/>
        <v>6192.9116125868395</v>
      </c>
      <c r="X90" s="53">
        <f t="shared" si="16"/>
        <v>4528.4618633967248</v>
      </c>
      <c r="Y90" s="53">
        <f t="shared" si="16"/>
        <v>2974.1524384070653</v>
      </c>
      <c r="Z90" s="53">
        <f t="shared" si="16"/>
        <v>1527.9237494633426</v>
      </c>
      <c r="AA90" s="53">
        <f t="shared" si="16"/>
        <v>0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2" customFormat="1" x14ac:dyDescent="0.3">
      <c r="A91" s="29" t="s">
        <v>61</v>
      </c>
      <c r="B91" s="27" t="s">
        <v>56</v>
      </c>
      <c r="C91" s="53">
        <f t="shared" ref="C91:AA91" si="17">GB_act*(1-Equity_Req)</f>
        <v>437500</v>
      </c>
      <c r="D91" s="53">
        <f t="shared" si="17"/>
        <v>409914.62137683836</v>
      </c>
      <c r="E91" s="53">
        <f t="shared" si="17"/>
        <v>387006.79727075342</v>
      </c>
      <c r="F91" s="53">
        <f t="shared" si="17"/>
        <v>364529.14463586506</v>
      </c>
      <c r="G91" s="53">
        <f t="shared" si="17"/>
        <v>332726.6999572909</v>
      </c>
      <c r="H91" s="53">
        <f t="shared" si="17"/>
        <v>309789.4065927685</v>
      </c>
      <c r="I91" s="53">
        <f t="shared" si="17"/>
        <v>287317.92592138646</v>
      </c>
      <c r="J91" s="53">
        <f t="shared" si="17"/>
        <v>265367.60169531847</v>
      </c>
      <c r="K91" s="53">
        <f t="shared" si="17"/>
        <v>243988.63898409295</v>
      </c>
      <c r="L91" s="53">
        <f t="shared" si="17"/>
        <v>223226.05151079193</v>
      </c>
      <c r="M91" s="53">
        <f t="shared" si="17"/>
        <v>203119.65190937591</v>
      </c>
      <c r="N91" s="53">
        <f t="shared" si="17"/>
        <v>183704.08246169152</v>
      </c>
      <c r="O91" s="53">
        <f t="shared" si="17"/>
        <v>165008.88359460016</v>
      </c>
      <c r="P91" s="53">
        <f t="shared" si="17"/>
        <v>147058.59719144876</v>
      </c>
      <c r="Q91" s="53">
        <f t="shared" si="17"/>
        <v>129872.9015971701</v>
      </c>
      <c r="R91" s="53">
        <f t="shared" si="17"/>
        <v>113466.77507131748</v>
      </c>
      <c r="S91" s="53">
        <f t="shared" si="17"/>
        <v>97850.684366299596</v>
      </c>
      <c r="T91" s="53">
        <f t="shared" si="17"/>
        <v>83030.795076419148</v>
      </c>
      <c r="U91" s="53">
        <f t="shared" si="17"/>
        <v>69009.200413983053</v>
      </c>
      <c r="V91" s="53">
        <f t="shared" si="17"/>
        <v>55784.165118303463</v>
      </c>
      <c r="W91" s="53">
        <f t="shared" si="17"/>
        <v>43350.381288107877</v>
      </c>
      <c r="X91" s="53">
        <f t="shared" si="17"/>
        <v>31699.233043777072</v>
      </c>
      <c r="Y91" s="53">
        <f t="shared" si="17"/>
        <v>20819.067068849457</v>
      </c>
      <c r="Z91" s="53">
        <f t="shared" si="17"/>
        <v>10695.466246243399</v>
      </c>
      <c r="AA91" s="53">
        <f t="shared" si="17"/>
        <v>0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2" customFormat="1" x14ac:dyDescent="0.3">
      <c r="A92" s="29"/>
      <c r="B92" s="27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>
        <f t="shared" ref="X92:AA92" si="18">assets-Eq_req-AT1_req</f>
        <v>0</v>
      </c>
      <c r="Y92" s="29">
        <f t="shared" si="18"/>
        <v>0</v>
      </c>
      <c r="Z92" s="29">
        <f t="shared" si="18"/>
        <v>0</v>
      </c>
      <c r="AA92" s="29">
        <f t="shared" si="18"/>
        <v>0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2" customFormat="1" x14ac:dyDescent="0.3">
      <c r="A93" s="45" t="s">
        <v>53</v>
      </c>
      <c r="B93" s="27" t="s">
        <v>60</v>
      </c>
      <c r="C93" s="53">
        <v>500000</v>
      </c>
      <c r="D93" s="53">
        <f>assets-prev assets</f>
        <v>-31526.146997898992</v>
      </c>
      <c r="E93" s="53">
        <f>assets-prev assets</f>
        <v>-26180.370406954258</v>
      </c>
      <c r="F93" s="53">
        <f>assets-prev assets</f>
        <v>-25688.745868443802</v>
      </c>
      <c r="G93" s="53">
        <f>assets-prev assets</f>
        <v>-36345.651061227603</v>
      </c>
      <c r="H93" s="53">
        <f>assets-prev assets</f>
        <v>-26214.049559454201</v>
      </c>
      <c r="I93" s="53">
        <f>assets-prev assets</f>
        <v>-25681.692195865209</v>
      </c>
      <c r="J93" s="53">
        <f>assets-prev assets</f>
        <v>-25086.084829791973</v>
      </c>
      <c r="K93" s="53">
        <f>assets-prev assets</f>
        <v>-24433.100241400592</v>
      </c>
      <c r="L93" s="53">
        <f>assets-prev assets</f>
        <v>-23728.671398058301</v>
      </c>
      <c r="M93" s="53">
        <f>assets-prev assets</f>
        <v>-22978.742401618307</v>
      </c>
      <c r="N93" s="53">
        <f>assets-prev assets</f>
        <v>-22189.222225925041</v>
      </c>
      <c r="O93" s="53">
        <f>assets-prev assets</f>
        <v>-21365.9415623901</v>
      </c>
      <c r="P93" s="53">
        <f>assets-prev assets</f>
        <v>-20514.613032173045</v>
      </c>
      <c r="Q93" s="53">
        <f>assets-prev assets</f>
        <v>-19640.794964889879</v>
      </c>
      <c r="R93" s="53">
        <f>assets-prev assets</f>
        <v>-18749.858886688715</v>
      </c>
      <c r="S93" s="53">
        <f>assets-prev assets</f>
        <v>-17846.960805734736</v>
      </c>
      <c r="T93" s="53">
        <f>assets-prev assets</f>
        <v>-16937.016331291932</v>
      </c>
      <c r="U93" s="53">
        <f>assets-prev assets</f>
        <v>-16024.679614212684</v>
      </c>
      <c r="V93" s="53">
        <f>assets-prev assets</f>
        <v>-15114.326052205244</v>
      </c>
      <c r="W93" s="53">
        <f>assets-prev assets</f>
        <v>-14210.038663080668</v>
      </c>
      <c r="X93" s="53">
        <f>assets-prev assets</f>
        <v>-13315.597993520918</v>
      </c>
      <c r="Y93" s="53">
        <f>assets-prev assets</f>
        <v>-12434.475399917275</v>
      </c>
      <c r="Z93" s="53">
        <f>assets-prev assets</f>
        <v>-11569.829511549782</v>
      </c>
      <c r="AA93" s="53">
        <f>assets-prev assets</f>
        <v>-12223.389995706741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s="2" customFormat="1" x14ac:dyDescent="0.3">
      <c r="A94" s="45" t="s">
        <v>57</v>
      </c>
      <c r="B94" s="27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</row>
    <row r="95" spans="1:87" s="2" customFormat="1" x14ac:dyDescent="0.3">
      <c r="A95" s="29" t="s">
        <v>58</v>
      </c>
      <c r="B95" s="27" t="s">
        <v>59</v>
      </c>
      <c r="C95" s="53">
        <f>C90</f>
        <v>62500</v>
      </c>
      <c r="D95" s="53">
        <f>Eq_req-prev Eq_req</f>
        <v>-3940.768374737374</v>
      </c>
      <c r="E95" s="53">
        <f>Eq_req-prev Eq_req</f>
        <v>-3272.5463008692823</v>
      </c>
      <c r="F95" s="53">
        <f>Eq_req-prev Eq_req</f>
        <v>-3211.0932335554753</v>
      </c>
      <c r="G95" s="53">
        <f>Eq_req-prev Eq_req</f>
        <v>-4543.2063826534504</v>
      </c>
      <c r="H95" s="53">
        <f>Eq_req-prev Eq_req</f>
        <v>-3276.7561949317751</v>
      </c>
      <c r="I95" s="53">
        <f>Eq_req-prev Eq_req</f>
        <v>-3210.2115244831512</v>
      </c>
      <c r="J95" s="53">
        <f>Eq_req-prev Eq_req</f>
        <v>-3135.7606037239966</v>
      </c>
      <c r="K95" s="53">
        <f>Eq_req-prev Eq_req</f>
        <v>-3054.1375301750741</v>
      </c>
      <c r="L95" s="53">
        <f>Eq_req-prev Eq_req</f>
        <v>-2966.0839247572876</v>
      </c>
      <c r="M95" s="53">
        <f>Eq_req-prev Eq_req</f>
        <v>-2872.3428002022883</v>
      </c>
      <c r="N95" s="53">
        <f>Eq_req-prev Eq_req</f>
        <v>-2773.6527782406301</v>
      </c>
      <c r="O95" s="53">
        <f>Eq_req-prev Eq_req</f>
        <v>-2670.7426952987626</v>
      </c>
      <c r="P95" s="53">
        <f>Eq_req-prev Eq_req</f>
        <v>-2564.3266290216307</v>
      </c>
      <c r="Q95" s="53">
        <f>Eq_req-prev Eq_req</f>
        <v>-2455.0993706112349</v>
      </c>
      <c r="R95" s="53">
        <f>Eq_req-prev Eq_req</f>
        <v>-2343.7323608360894</v>
      </c>
      <c r="S95" s="53">
        <f>Eq_req-prev Eq_req</f>
        <v>-2230.870100716842</v>
      </c>
      <c r="T95" s="53">
        <f>Eq_req-prev Eq_req</f>
        <v>-2117.1270414114915</v>
      </c>
      <c r="U95" s="53">
        <f>Eq_req-prev Eq_req</f>
        <v>-2003.0849517765855</v>
      </c>
      <c r="V95" s="53">
        <f>Eq_req-prev Eq_req</f>
        <v>-1889.2907565256555</v>
      </c>
      <c r="W95" s="53">
        <f>Eq_req-prev Eq_req</f>
        <v>-1776.2548328850835</v>
      </c>
      <c r="X95" s="53">
        <f>Eq_req-prev Eq_req</f>
        <v>-1664.4497491901147</v>
      </c>
      <c r="Y95" s="53">
        <f>Eq_req-prev Eq_req</f>
        <v>-1554.3094249896594</v>
      </c>
      <c r="Z95" s="53">
        <f>Eq_req-prev Eq_req</f>
        <v>-1446.2286889437228</v>
      </c>
      <c r="AA95" s="53">
        <f>Eq_req-prev Eq_req</f>
        <v>-1527.9237494633426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</row>
    <row r="96" spans="1:87" s="2" customFormat="1" x14ac:dyDescent="0.3">
      <c r="A96" s="29" t="s">
        <v>62</v>
      </c>
      <c r="B96" s="27" t="s">
        <v>63</v>
      </c>
      <c r="C96" s="53">
        <f>C91</f>
        <v>437500</v>
      </c>
      <c r="D96" s="53">
        <f>Fund_req-prev Fund_req</f>
        <v>-27585.37862316164</v>
      </c>
      <c r="E96" s="53">
        <f>Fund_req-prev Fund_req</f>
        <v>-22907.82410608494</v>
      </c>
      <c r="F96" s="53">
        <f>Fund_req-prev Fund_req</f>
        <v>-22477.652634888364</v>
      </c>
      <c r="G96" s="53">
        <f>Fund_req-prev Fund_req</f>
        <v>-31802.44467857416</v>
      </c>
      <c r="H96" s="53">
        <f>Fund_req-prev Fund_req</f>
        <v>-22937.293364522397</v>
      </c>
      <c r="I96" s="53">
        <f>Fund_req-prev Fund_req</f>
        <v>-22471.480671382044</v>
      </c>
      <c r="J96" s="53">
        <f>Fund_req-prev Fund_req</f>
        <v>-21950.324226067984</v>
      </c>
      <c r="K96" s="53">
        <f>Fund_req-prev Fund_req</f>
        <v>-21378.962711225526</v>
      </c>
      <c r="L96" s="53">
        <f>Fund_req-prev Fund_req</f>
        <v>-20762.587473301013</v>
      </c>
      <c r="M96" s="53">
        <f>Fund_req-prev Fund_req</f>
        <v>-20106.399601416022</v>
      </c>
      <c r="N96" s="53">
        <f>Fund_req-prev Fund_req</f>
        <v>-19415.569447684393</v>
      </c>
      <c r="O96" s="53">
        <f>Fund_req-prev Fund_req</f>
        <v>-18695.198867091356</v>
      </c>
      <c r="P96" s="53">
        <f>Fund_req-prev Fund_req</f>
        <v>-17950.286403151404</v>
      </c>
      <c r="Q96" s="53">
        <f>Fund_req-prev Fund_req</f>
        <v>-17185.695594278659</v>
      </c>
      <c r="R96" s="53">
        <f>Fund_req-prev Fund_req</f>
        <v>-16406.126525852625</v>
      </c>
      <c r="S96" s="53">
        <f>Fund_req-prev Fund_req</f>
        <v>-15616.090705017879</v>
      </c>
      <c r="T96" s="53">
        <f>Fund_req-prev Fund_req</f>
        <v>-14819.889289880448</v>
      </c>
      <c r="U96" s="53">
        <f>Fund_req-prev Fund_req</f>
        <v>-14021.594662436095</v>
      </c>
      <c r="V96" s="53">
        <f>Fund_req-prev Fund_req</f>
        <v>-13225.03529567959</v>
      </c>
      <c r="W96" s="53">
        <f>Fund_req-prev Fund_req</f>
        <v>-12433.783830195585</v>
      </c>
      <c r="X96" s="53">
        <f>Fund_req-prev Fund_req</f>
        <v>-11651.148244330805</v>
      </c>
      <c r="Y96" s="53">
        <f>Fund_req-prev Fund_req</f>
        <v>-10880.165974927615</v>
      </c>
      <c r="Z96" s="53">
        <f>Fund_req-prev Fund_req</f>
        <v>-10123.600822606059</v>
      </c>
      <c r="AA96" s="53">
        <f>Fund_req-prev Fund_req</f>
        <v>-10695.466246243399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</row>
    <row r="97" spans="1:87" x14ac:dyDescent="0.3">
      <c r="A97" s="29"/>
      <c r="B97" s="27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87" ht="15.6" x14ac:dyDescent="0.3">
      <c r="A98" s="77" t="s">
        <v>21</v>
      </c>
      <c r="B98" s="27"/>
      <c r="C98" s="10"/>
      <c r="E98" s="58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87" x14ac:dyDescent="0.3">
      <c r="A99" s="9" t="s">
        <v>22</v>
      </c>
      <c r="B99" s="64" t="s">
        <v>23</v>
      </c>
      <c r="C99" s="65">
        <f>1/(1+discount_rate_month)^(statement_no)</f>
        <v>1</v>
      </c>
      <c r="D99" s="65">
        <f>1/(1+discount_rate_month)^(statement_no)</f>
        <v>0.97837358933250107</v>
      </c>
      <c r="E99" s="65">
        <f t="shared" ref="E99:AA99" si="19">1/(1+discount_rate_month)^(statement_no)</f>
        <v>0.95721488030336144</v>
      </c>
      <c r="F99" s="65">
        <f t="shared" si="19"/>
        <v>0.93651375820488014</v>
      </c>
      <c r="G99" s="65">
        <f t="shared" si="19"/>
        <v>0.91626032707417848</v>
      </c>
      <c r="H99" s="65">
        <f t="shared" si="19"/>
        <v>0.89644490496253548</v>
      </c>
      <c r="I99" s="65">
        <f t="shared" si="19"/>
        <v>0.87705801930702865</v>
      </c>
      <c r="J99" s="65">
        <f t="shared" si="19"/>
        <v>0.85809040240227163</v>
      </c>
      <c r="K99" s="65">
        <f t="shared" si="19"/>
        <v>0.83953298697008061</v>
      </c>
      <c r="L99" s="65">
        <f t="shared" si="19"/>
        <v>0.8213769018249536</v>
      </c>
      <c r="M99" s="65">
        <f t="shared" si="19"/>
        <v>0.80361346763328922</v>
      </c>
      <c r="N99" s="65">
        <f t="shared" si="19"/>
        <v>0.78623419276431894</v>
      </c>
      <c r="O99" s="65">
        <f t="shared" si="19"/>
        <v>0.76923076923076805</v>
      </c>
      <c r="P99" s="65">
        <f t="shared" si="19"/>
        <v>0.75259506871730741</v>
      </c>
      <c r="Q99" s="65">
        <f t="shared" si="19"/>
        <v>0.73631913869489241</v>
      </c>
      <c r="R99" s="65">
        <f t="shared" si="19"/>
        <v>0.72039519861913748</v>
      </c>
      <c r="S99" s="65">
        <f t="shared" si="19"/>
        <v>0.70481563621090548</v>
      </c>
      <c r="T99" s="65">
        <f t="shared" si="19"/>
        <v>0.68957300381733388</v>
      </c>
      <c r="U99" s="65">
        <f t="shared" si="19"/>
        <v>0.67466001485155946</v>
      </c>
      <c r="V99" s="65">
        <f t="shared" si="19"/>
        <v>0.66006954030943865</v>
      </c>
      <c r="W99" s="65">
        <f t="shared" si="19"/>
        <v>0.64579460536159949</v>
      </c>
      <c r="X99" s="65">
        <f t="shared" si="19"/>
        <v>0.63182838601919411</v>
      </c>
      <c r="Y99" s="65">
        <f t="shared" si="19"/>
        <v>0.61816420587176002</v>
      </c>
      <c r="Z99" s="65">
        <f t="shared" si="19"/>
        <v>0.60479553289562893</v>
      </c>
      <c r="AA99" s="65">
        <f t="shared" si="19"/>
        <v>0.59171597633135908</v>
      </c>
    </row>
    <row r="100" spans="1:87" x14ac:dyDescent="0.3">
      <c r="B100" s="66">
        <f>((1+discount_rate)^(1/12)-1)</f>
        <v>2.2104450593615876E-2</v>
      </c>
      <c r="C100" s="10"/>
      <c r="D100" s="9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87" x14ac:dyDescent="0.3">
      <c r="A101" s="9" t="s">
        <v>107</v>
      </c>
      <c r="B101" s="68">
        <f>SUMPRODUCT(Cash_flow_to_Client,coeff_discount)</f>
        <v>19296.178740945619</v>
      </c>
      <c r="C101" s="69">
        <f>initial_amount-repayment</f>
        <v>500000</v>
      </c>
      <c r="D101" s="67">
        <f>-repayment</f>
        <v>-45526.146997898992</v>
      </c>
      <c r="E101" s="67">
        <f>-repayment</f>
        <v>-37873.090377862653</v>
      </c>
      <c r="F101" s="67">
        <f>-repayment</f>
        <v>-36725.109457965635</v>
      </c>
      <c r="G101" s="67">
        <f t="shared" ref="G101:AA101" si="20">-repayment</f>
        <v>-36224.393378510693</v>
      </c>
      <c r="H101" s="67">
        <f t="shared" si="20"/>
        <v>-33566.759633151916</v>
      </c>
      <c r="I101" s="67">
        <f t="shared" si="20"/>
        <v>-32264.208977521514</v>
      </c>
      <c r="J101" s="67">
        <f t="shared" si="20"/>
        <v>-30963.252722241188</v>
      </c>
      <c r="K101" s="67">
        <f t="shared" si="20"/>
        <v>-29665.604492818144</v>
      </c>
      <c r="L101" s="67">
        <f t="shared" si="20"/>
        <v>-28372.982970234349</v>
      </c>
      <c r="M101" s="67">
        <f t="shared" si="20"/>
        <v>-27087.110069769798</v>
      </c>
      <c r="N101" s="67">
        <f t="shared" si="20"/>
        <v>-25809.70798370444</v>
      </c>
      <c r="O101" s="67">
        <f t="shared" si="20"/>
        <v>-24542.495180134203</v>
      </c>
      <c r="P101" s="67">
        <f t="shared" si="20"/>
        <v>-23287.181467422859</v>
      </c>
      <c r="Q101" s="67">
        <f t="shared" si="20"/>
        <v>-22045.462247749994</v>
      </c>
      <c r="R101" s="67">
        <f t="shared" si="20"/>
        <v>-20819.012093749359</v>
      </c>
      <c r="S101" s="67">
        <f t="shared" si="20"/>
        <v>-19609.477789410059</v>
      </c>
      <c r="T101" s="67">
        <f t="shared" si="20"/>
        <v>-18418.470980343864</v>
      </c>
      <c r="U101" s="67">
        <f t="shared" si="20"/>
        <v>-17247.560579361852</v>
      </c>
      <c r="V101" s="67">
        <f t="shared" si="20"/>
        <v>-16098.265071275635</v>
      </c>
      <c r="W101" s="67">
        <f t="shared" si="20"/>
        <v>-14972.044856199829</v>
      </c>
      <c r="X101" s="67">
        <f t="shared" si="20"/>
        <v>-13870.294763662807</v>
      </c>
      <c r="Y101" s="67">
        <f t="shared" si="20"/>
        <v>-12794.336860859274</v>
      </c>
      <c r="Z101" s="67">
        <f t="shared" si="20"/>
        <v>-11745.413667715617</v>
      </c>
      <c r="AA101" s="67">
        <f t="shared" si="20"/>
        <v>-12223.566210338728</v>
      </c>
    </row>
    <row r="102" spans="1:87" x14ac:dyDescent="0.3">
      <c r="A102" s="9" t="s">
        <v>108</v>
      </c>
      <c r="B102" s="68">
        <f>SUMPRODUCT(to_bondholders,coeff_discount)</f>
        <v>-31067.995095514936</v>
      </c>
      <c r="C102" s="69">
        <f>Cost_of_Funds-Fund_req_chng</f>
        <v>-437500</v>
      </c>
      <c r="D102" s="69">
        <f t="shared" ref="D102:AA102" si="21">Cost_of_Funds-Fund_req_chng</f>
        <v>33783.295289828304</v>
      </c>
      <c r="E102" s="69">
        <f t="shared" si="21"/>
        <v>28714.947908923485</v>
      </c>
      <c r="F102" s="69">
        <f t="shared" si="21"/>
        <v>27960.248929557372</v>
      </c>
      <c r="G102" s="69">
        <f t="shared" si="21"/>
        <v>36966.607560915581</v>
      </c>
      <c r="H102" s="69">
        <f t="shared" si="21"/>
        <v>27650.921613917351</v>
      </c>
      <c r="I102" s="69">
        <f t="shared" si="21"/>
        <v>26860.163931446266</v>
      </c>
      <c r="J102" s="69">
        <f t="shared" si="21"/>
        <v>26020.661509954291</v>
      </c>
      <c r="K102" s="69">
        <f t="shared" si="21"/>
        <v>25138.337068575871</v>
      </c>
      <c r="L102" s="69">
        <f t="shared" si="21"/>
        <v>24219.09319224233</v>
      </c>
      <c r="M102" s="69">
        <f t="shared" si="21"/>
        <v>23268.768664485575</v>
      </c>
      <c r="N102" s="69">
        <f t="shared" si="21"/>
        <v>22293.097849733884</v>
      </c>
      <c r="O102" s="69">
        <f t="shared" si="21"/>
        <v>21297.673368631986</v>
      </c>
      <c r="P102" s="69">
        <f t="shared" si="21"/>
        <v>20287.912254074905</v>
      </c>
      <c r="Q102" s="69">
        <f t="shared" si="21"/>
        <v>19269.025721157515</v>
      </c>
      <c r="R102" s="69">
        <f t="shared" si="21"/>
        <v>18245.992631812536</v>
      </c>
      <c r="S102" s="69">
        <f t="shared" si="21"/>
        <v>17223.536685194878</v>
      </c>
      <c r="T102" s="69">
        <f t="shared" si="21"/>
        <v>16206.107318403025</v>
      </c>
      <c r="U102" s="69">
        <f t="shared" si="21"/>
        <v>15197.864259352033</v>
      </c>
      <c r="V102" s="69">
        <f t="shared" si="21"/>
        <v>14202.665634877683</v>
      </c>
      <c r="W102" s="69">
        <f t="shared" si="21"/>
        <v>13224.059502704884</v>
      </c>
      <c r="X102" s="69">
        <f t="shared" si="21"/>
        <v>12265.278645912333</v>
      </c>
      <c r="Y102" s="69">
        <f t="shared" si="21"/>
        <v>11329.23844304779</v>
      </c>
      <c r="Z102" s="69">
        <f t="shared" si="21"/>
        <v>10418.537606081425</v>
      </c>
      <c r="AA102" s="69">
        <f t="shared" si="21"/>
        <v>10846.985351398514</v>
      </c>
    </row>
    <row r="103" spans="1:87" x14ac:dyDescent="0.3">
      <c r="A103" s="9" t="s">
        <v>109</v>
      </c>
      <c r="B103" s="68">
        <f>SUMPRODUCT(cost_tax,coeff_discount)</f>
        <v>6492.5254426437878</v>
      </c>
      <c r="C103" s="69">
        <f t="shared" ref="C103:AA103" si="22">Operation_cost+collect_cost+Tax</f>
        <v>0</v>
      </c>
      <c r="D103" s="69">
        <f t="shared" si="22"/>
        <v>1640.4166666666667</v>
      </c>
      <c r="E103" s="69">
        <f t="shared" si="22"/>
        <v>1284.8902473783603</v>
      </c>
      <c r="F103" s="69">
        <f t="shared" si="22"/>
        <v>1220.8586358887726</v>
      </c>
      <c r="G103" s="69">
        <f t="shared" si="22"/>
        <v>-945.48470379756918</v>
      </c>
      <c r="H103" s="69">
        <f t="shared" si="22"/>
        <v>639.20312722142728</v>
      </c>
      <c r="I103" s="69">
        <f t="shared" si="22"/>
        <v>541.64683182024532</v>
      </c>
      <c r="J103" s="69">
        <f t="shared" si="22"/>
        <v>463.35582269679367</v>
      </c>
      <c r="K103" s="69">
        <f t="shared" si="22"/>
        <v>395.41789487578615</v>
      </c>
      <c r="L103" s="69">
        <f t="shared" si="22"/>
        <v>336.87118483705871</v>
      </c>
      <c r="M103" s="69">
        <f t="shared" si="22"/>
        <v>286.76732146863048</v>
      </c>
      <c r="N103" s="69">
        <f t="shared" si="22"/>
        <v>244.1799132899562</v>
      </c>
      <c r="O103" s="69">
        <f t="shared" si="22"/>
        <v>208.21210245410418</v>
      </c>
      <c r="P103" s="69">
        <f t="shared" si="22"/>
        <v>178.00316460007551</v>
      </c>
      <c r="Q103" s="69">
        <f t="shared" si="22"/>
        <v>152.73414853368561</v>
      </c>
      <c r="R103" s="69">
        <f t="shared" si="22"/>
        <v>131.63256349720325</v>
      </c>
      <c r="S103" s="69">
        <f t="shared" si="22"/>
        <v>113.97613430935701</v>
      </c>
      <c r="T103" s="69">
        <f t="shared" si="22"/>
        <v>99.095655817005749</v>
      </c>
      <c r="U103" s="69">
        <f t="shared" si="22"/>
        <v>86.376987831410332</v>
      </c>
      <c r="V103" s="69">
        <f t="shared" si="22"/>
        <v>75.262239989288801</v>
      </c>
      <c r="W103" s="69">
        <f t="shared" si="22"/>
        <v>65.250202776734284</v>
      </c>
      <c r="X103" s="69">
        <f t="shared" si="22"/>
        <v>55.89608630293101</v>
      </c>
      <c r="Y103" s="69">
        <f t="shared" si="22"/>
        <v>46.810632355811393</v>
      </c>
      <c r="Z103" s="69">
        <f t="shared" si="22"/>
        <v>37.658667878733667</v>
      </c>
      <c r="AA103" s="69">
        <f t="shared" si="22"/>
        <v>28.157169359217214</v>
      </c>
    </row>
    <row r="104" spans="1:87" s="7" customFormat="1" x14ac:dyDescent="0.3">
      <c r="A104" s="70" t="s">
        <v>110</v>
      </c>
      <c r="B104" s="71">
        <f>SUMPRODUCT(shareholders,coeff_discount)</f>
        <v>5279.29091192533</v>
      </c>
      <c r="C104" s="72">
        <f t="shared" ref="C104:AA104" si="23">Net_Income_Atax-Eq_req_chng</f>
        <v>-62500</v>
      </c>
      <c r="D104" s="72">
        <f t="shared" si="23"/>
        <v>10102.43504140404</v>
      </c>
      <c r="E104" s="72">
        <f t="shared" si="23"/>
        <v>7873.2522215607687</v>
      </c>
      <c r="F104" s="72">
        <f t="shared" si="23"/>
        <v>7544.0018925195309</v>
      </c>
      <c r="G104" s="72">
        <f t="shared" si="23"/>
        <v>203.27052139268653</v>
      </c>
      <c r="H104" s="72">
        <f t="shared" si="23"/>
        <v>5276.634892013104</v>
      </c>
      <c r="I104" s="72">
        <f t="shared" si="23"/>
        <v>4862.3982142549858</v>
      </c>
      <c r="J104" s="72">
        <f t="shared" si="23"/>
        <v>4479.2353895901078</v>
      </c>
      <c r="K104" s="72">
        <f t="shared" si="23"/>
        <v>4131.849529366491</v>
      </c>
      <c r="L104" s="72">
        <f t="shared" si="23"/>
        <v>3817.0185931549581</v>
      </c>
      <c r="M104" s="72">
        <f t="shared" si="23"/>
        <v>3531.5740838155966</v>
      </c>
      <c r="N104" s="72">
        <f t="shared" si="23"/>
        <v>3272.4302206805805</v>
      </c>
      <c r="O104" s="72">
        <f t="shared" si="23"/>
        <v>3036.6097090481308</v>
      </c>
      <c r="P104" s="72">
        <f t="shared" si="23"/>
        <v>2821.2660487478656</v>
      </c>
      <c r="Q104" s="72">
        <f t="shared" si="23"/>
        <v>2623.7023780588061</v>
      </c>
      <c r="R104" s="72">
        <f t="shared" si="23"/>
        <v>2441.3868984396217</v>
      </c>
      <c r="S104" s="72">
        <f t="shared" si="23"/>
        <v>2271.9649699058104</v>
      </c>
      <c r="T104" s="72">
        <f t="shared" si="23"/>
        <v>2113.2680061238402</v>
      </c>
      <c r="U104" s="72">
        <f t="shared" si="23"/>
        <v>1963.3193321784042</v>
      </c>
      <c r="V104" s="72">
        <f t="shared" si="23"/>
        <v>1820.3371964086643</v>
      </c>
      <c r="W104" s="72">
        <f t="shared" si="23"/>
        <v>1682.7351507182111</v>
      </c>
      <c r="X104" s="72">
        <f t="shared" si="23"/>
        <v>1549.1200314475448</v>
      </c>
      <c r="Y104" s="72">
        <f t="shared" si="23"/>
        <v>1418.2877854556712</v>
      </c>
      <c r="Z104" s="72">
        <f t="shared" si="23"/>
        <v>1289.217393755456</v>
      </c>
      <c r="AA104" s="72">
        <f t="shared" si="23"/>
        <v>1348.4236895809972</v>
      </c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</row>
    <row r="105" spans="1:87" x14ac:dyDescent="0.3">
      <c r="A105" s="73"/>
      <c r="C105" s="74">
        <v>-62499.841999999997</v>
      </c>
      <c r="D105" s="74">
        <v>7013.8196294079262</v>
      </c>
      <c r="E105" s="74">
        <v>5791.9432377544508</v>
      </c>
      <c r="F105" s="74">
        <v>5689.4548950202461</v>
      </c>
      <c r="G105" s="74">
        <v>-5229.1033213884366</v>
      </c>
      <c r="H105" s="74">
        <v>2796.0011834785464</v>
      </c>
      <c r="I105" s="74">
        <v>2506.3731006017915</v>
      </c>
      <c r="J105" s="74">
        <v>2246.329156959358</v>
      </c>
      <c r="K105" s="74">
        <v>2023.4347139357185</v>
      </c>
      <c r="L105" s="74">
        <v>1834.9851537589602</v>
      </c>
      <c r="M105" s="74">
        <v>1677.726406278432</v>
      </c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87" x14ac:dyDescent="0.3">
      <c r="C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87" x14ac:dyDescent="0.3">
      <c r="A107" s="9" t="s">
        <v>45</v>
      </c>
      <c r="B107" s="75" t="s">
        <v>46</v>
      </c>
      <c r="C107" s="58">
        <f>CFtS*coeff_discount</f>
        <v>-62500</v>
      </c>
      <c r="D107" s="58">
        <f>prev C107 + CFtS*coeff_discount</f>
        <v>-52616.044367543094</v>
      </c>
      <c r="E107" s="58">
        <f>prev D107 + CFtS*coeff_discount</f>
        <v>-45079.650184683625</v>
      </c>
      <c r="F107" s="58">
        <f>prev E107 + CFtS*coeff_discount</f>
        <v>-38014.58862041543</v>
      </c>
      <c r="G107" s="58">
        <f>prev F107 + CFtS*coeff_discount</f>
        <v>-37828.33990599963</v>
      </c>
      <c r="H107" s="58">
        <f>prev G107 + CFtS*coeff_discount</f>
        <v>-33098.127441706944</v>
      </c>
      <c r="I107" s="58">
        <f>prev H107 + CFtS*coeff_discount</f>
        <v>-28833.522094830434</v>
      </c>
      <c r="J107" s="58">
        <f>prev I107 + CFtS*coeff_discount</f>
        <v>-24989.93319692256</v>
      </c>
      <c r="K107" s="58">
        <f>prev J107 + CFtS*coeff_discount</f>
        <v>-21521.109219822589</v>
      </c>
      <c r="L107" s="58">
        <f>prev K107 + CFtS*coeff_discount</f>
        <v>-18385.898313568727</v>
      </c>
      <c r="M107" s="58">
        <f>prev L107 + CFtS*coeff_discount</f>
        <v>-15547.877817869819</v>
      </c>
      <c r="N107" s="58">
        <f>prev M107 + CFtS*coeff_discount</f>
        <v>-12974.98128493546</v>
      </c>
      <c r="O107" s="58">
        <f>prev N107 + CFtS*coeff_discount</f>
        <v>-10639.127662590749</v>
      </c>
      <c r="P107" s="58">
        <f>prev O107 + CFtS*coeff_discount</f>
        <v>-8515.8567467635421</v>
      </c>
      <c r="Q107" s="58">
        <f>prev P107 + CFtS*coeff_discount</f>
        <v>-6583.9744715595407</v>
      </c>
      <c r="R107" s="58">
        <f>prev Q107 + CFtS*coeff_discount</f>
        <v>-4825.2110719519696</v>
      </c>
      <c r="S107" s="58">
        <f>prev R107 + CFtS*coeff_discount</f>
        <v>-3223.8946362389152</v>
      </c>
      <c r="T107" s="58">
        <f>prev S107 + CFtS*coeff_discount</f>
        <v>-1766.6420693850307</v>
      </c>
      <c r="U107" s="58">
        <f>prev T107 + CFtS*coeff_discount</f>
        <v>-442.06901957919467</v>
      </c>
      <c r="V107" s="58">
        <f>prev U107 + CFtS*coeff_discount</f>
        <v>759.48011686244467</v>
      </c>
      <c r="W107" s="58">
        <f>prev V107 + CFtS*coeff_discount</f>
        <v>1846.1813994486035</v>
      </c>
      <c r="X107" s="58">
        <f>prev W107 + CFtS*coeff_discount</f>
        <v>2824.9594086681091</v>
      </c>
      <c r="Y107" s="58">
        <f>prev X107 + CFtS*coeff_discount</f>
        <v>3701.6941512619314</v>
      </c>
      <c r="Z107" s="58">
        <f>prev Y107 + CFtS*coeff_discount</f>
        <v>4481.4070719365764</v>
      </c>
      <c r="AA107" s="58">
        <f>prev Z107 + CFtS*coeff_discount</f>
        <v>5279.29091192533</v>
      </c>
    </row>
    <row r="108" spans="1:87" x14ac:dyDescent="0.3"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spans="1:87" x14ac:dyDescent="0.3">
      <c r="D109" s="46"/>
      <c r="E109" s="76"/>
      <c r="F109" s="40"/>
      <c r="G109" s="40"/>
      <c r="H109" s="40"/>
      <c r="I109" s="41"/>
      <c r="J109" s="41"/>
      <c r="K109" s="28"/>
    </row>
    <row r="110" spans="1:87" x14ac:dyDescent="0.3">
      <c r="D110" s="46"/>
      <c r="E110" s="76"/>
      <c r="F110" s="40"/>
      <c r="G110" s="40"/>
      <c r="H110" s="40"/>
      <c r="I110" s="41"/>
      <c r="J110" s="41"/>
      <c r="K110" s="28"/>
    </row>
    <row r="111" spans="1:87" x14ac:dyDescent="0.3">
      <c r="D111" s="46"/>
      <c r="E111" s="76"/>
      <c r="F111" s="40"/>
      <c r="G111" s="40"/>
      <c r="H111" s="40"/>
      <c r="I111" s="41"/>
      <c r="J111" s="41"/>
      <c r="K111" s="28"/>
    </row>
    <row r="112" spans="1:87" x14ac:dyDescent="0.3">
      <c r="D112" s="46"/>
      <c r="E112" s="76"/>
      <c r="F112" s="41"/>
      <c r="G112" s="41"/>
      <c r="H112" s="41"/>
      <c r="I112" s="41"/>
      <c r="J112" s="41"/>
      <c r="K112" s="28"/>
    </row>
    <row r="113" spans="4:11" x14ac:dyDescent="0.3">
      <c r="D113" s="46"/>
      <c r="E113" s="76"/>
      <c r="F113" s="41"/>
      <c r="G113" s="41"/>
      <c r="H113" s="41"/>
      <c r="I113" s="41"/>
      <c r="J113" s="41"/>
      <c r="K113" s="28"/>
    </row>
    <row r="114" spans="4:11" x14ac:dyDescent="0.3">
      <c r="D114" s="46"/>
      <c r="E114" s="76"/>
      <c r="F114" s="41"/>
      <c r="G114" s="41"/>
      <c r="H114" s="41"/>
      <c r="I114" s="41"/>
      <c r="J114" s="41"/>
      <c r="K114" s="28"/>
    </row>
    <row r="115" spans="4:11" x14ac:dyDescent="0.3">
      <c r="D115" s="46"/>
      <c r="E115" s="76"/>
      <c r="F115" s="41"/>
      <c r="G115" s="41"/>
      <c r="H115" s="41"/>
      <c r="I115" s="41"/>
      <c r="J115" s="41"/>
      <c r="K115" s="28"/>
    </row>
    <row r="116" spans="4:11" x14ac:dyDescent="0.3">
      <c r="D116" s="58"/>
      <c r="E116" s="76"/>
      <c r="F116" s="28"/>
      <c r="G116" s="28"/>
      <c r="H116" s="28"/>
      <c r="I116" s="28"/>
      <c r="J116" s="41"/>
      <c r="K116" s="28"/>
    </row>
    <row r="117" spans="4:11" x14ac:dyDescent="0.3">
      <c r="D117" s="58"/>
      <c r="E117" s="76"/>
      <c r="F117" s="28"/>
      <c r="G117" s="28"/>
      <c r="H117" s="28"/>
      <c r="I117" s="28"/>
      <c r="J117" s="28"/>
      <c r="K117" s="28"/>
    </row>
    <row r="118" spans="4:11" x14ac:dyDescent="0.3">
      <c r="D118" s="58"/>
      <c r="E118" s="76"/>
      <c r="F118" s="28"/>
      <c r="G118" s="28"/>
      <c r="H118" s="28"/>
      <c r="I118" s="28"/>
      <c r="J118" s="28"/>
      <c r="K118" s="28"/>
    </row>
    <row r="119" spans="4:11" x14ac:dyDescent="0.3">
      <c r="E119" s="76"/>
    </row>
    <row r="120" spans="4:11" x14ac:dyDescent="0.3">
      <c r="E120" s="76"/>
    </row>
    <row r="121" spans="4:11" x14ac:dyDescent="0.3">
      <c r="E121" s="67"/>
    </row>
    <row r="122" spans="4:11" x14ac:dyDescent="0.3">
      <c r="E122" s="67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486</vt:i4>
      </vt:variant>
    </vt:vector>
  </HeadingPairs>
  <TitlesOfParts>
    <vt:vector size="494" baseType="lpstr">
      <vt:lpstr>Calculation</vt:lpstr>
      <vt:lpstr>ДЗ</vt:lpstr>
      <vt:lpstr>Calculation_hw_full</vt:lpstr>
      <vt:lpstr>Лист1</vt:lpstr>
      <vt:lpstr>Calculation_hw_xsore16</vt:lpstr>
      <vt:lpstr>Calculation_hw_xsore14</vt:lpstr>
      <vt:lpstr>Calculation_hw_pd4</vt:lpstr>
      <vt:lpstr>Calculation_hw_pd6</vt:lpstr>
      <vt:lpstr>Calculation_hw_full!accnt_act</vt:lpstr>
      <vt:lpstr>Calculation_hw_pd4!accnt_act</vt:lpstr>
      <vt:lpstr>Calculation_hw_pd6!accnt_act</vt:lpstr>
      <vt:lpstr>Calculation_hw_xsore14!accnt_act</vt:lpstr>
      <vt:lpstr>Calculation_hw_xsore16!accnt_act</vt:lpstr>
      <vt:lpstr>accnt_act</vt:lpstr>
      <vt:lpstr>Calculation_hw_full!accnt_b_def</vt:lpstr>
      <vt:lpstr>Calculation_hw_pd4!accnt_b_def</vt:lpstr>
      <vt:lpstr>Calculation_hw_pd6!accnt_b_def</vt:lpstr>
      <vt:lpstr>Calculation_hw_xsore14!accnt_b_def</vt:lpstr>
      <vt:lpstr>Calculation_hw_xsore16!accnt_b_def</vt:lpstr>
      <vt:lpstr>accnt_b_def</vt:lpstr>
      <vt:lpstr>Calculation_hw_full!accnt_b_res</vt:lpstr>
      <vt:lpstr>Calculation_hw_pd4!accnt_b_res</vt:lpstr>
      <vt:lpstr>Calculation_hw_pd6!accnt_b_res</vt:lpstr>
      <vt:lpstr>Calculation_hw_xsore14!accnt_b_res</vt:lpstr>
      <vt:lpstr>Calculation_hw_xsore16!accnt_b_res</vt:lpstr>
      <vt:lpstr>accnt_b_res</vt:lpstr>
      <vt:lpstr>Calculation_hw_full!accnt_clo</vt:lpstr>
      <vt:lpstr>Calculation_hw_pd4!accnt_clo</vt:lpstr>
      <vt:lpstr>Calculation_hw_pd6!accnt_clo</vt:lpstr>
      <vt:lpstr>Calculation_hw_xsore14!accnt_clo</vt:lpstr>
      <vt:lpstr>Calculation_hw_xsore16!accnt_clo</vt:lpstr>
      <vt:lpstr>accnt_clo</vt:lpstr>
      <vt:lpstr>Calculation_hw_full!accnt_cur</vt:lpstr>
      <vt:lpstr>Calculation_hw_pd4!accnt_cur</vt:lpstr>
      <vt:lpstr>Calculation_hw_pd6!accnt_cur</vt:lpstr>
      <vt:lpstr>Calculation_hw_xsore14!accnt_cur</vt:lpstr>
      <vt:lpstr>Calculation_hw_xsore16!accnt_cur</vt:lpstr>
      <vt:lpstr>accnt_cur</vt:lpstr>
      <vt:lpstr>Calculation_hw_full!accnt_DEF</vt:lpstr>
      <vt:lpstr>Calculation_hw_pd4!accnt_DEF</vt:lpstr>
      <vt:lpstr>Calculation_hw_pd6!accnt_DEF</vt:lpstr>
      <vt:lpstr>Calculation_hw_xsore14!accnt_DEF</vt:lpstr>
      <vt:lpstr>Calculation_hw_xsore16!accnt_DEF</vt:lpstr>
      <vt:lpstr>accnt_DEF</vt:lpstr>
      <vt:lpstr>Calculation_hw_full!accnt_dlq</vt:lpstr>
      <vt:lpstr>Calculation_hw_pd4!accnt_dlq</vt:lpstr>
      <vt:lpstr>Calculation_hw_pd6!accnt_dlq</vt:lpstr>
      <vt:lpstr>Calculation_hw_xsore14!accnt_dlq</vt:lpstr>
      <vt:lpstr>Calculation_hw_xsore16!accnt_dlq</vt:lpstr>
      <vt:lpstr>accnt_dlq</vt:lpstr>
      <vt:lpstr>Calculation_hw_full!accnt_wro</vt:lpstr>
      <vt:lpstr>Calculation_hw_pd4!accnt_wro</vt:lpstr>
      <vt:lpstr>Calculation_hw_pd6!accnt_wro</vt:lpstr>
      <vt:lpstr>Calculation_hw_xsore14!accnt_wro</vt:lpstr>
      <vt:lpstr>Calculation_hw_xsore16!accnt_wro</vt:lpstr>
      <vt:lpstr>accnt_wro</vt:lpstr>
      <vt:lpstr>Calculation_hw_full!assets</vt:lpstr>
      <vt:lpstr>Calculation_hw_pd4!assets</vt:lpstr>
      <vt:lpstr>Calculation_hw_pd6!assets</vt:lpstr>
      <vt:lpstr>Calculation_hw_xsore14!assets</vt:lpstr>
      <vt:lpstr>Calculation_hw_xsore16!assets</vt:lpstr>
      <vt:lpstr>assets</vt:lpstr>
      <vt:lpstr>Calculation_hw_full!AT1_req</vt:lpstr>
      <vt:lpstr>Calculation_hw_pd4!AT1_req</vt:lpstr>
      <vt:lpstr>Calculation_hw_pd6!AT1_req</vt:lpstr>
      <vt:lpstr>Calculation_hw_xsore14!AT1_req</vt:lpstr>
      <vt:lpstr>Calculation_hw_xsore16!AT1_req</vt:lpstr>
      <vt:lpstr>AT1_req</vt:lpstr>
      <vt:lpstr>Calculation_hw_full!Cash_flow_to_Client</vt:lpstr>
      <vt:lpstr>Calculation_hw_pd4!Cash_flow_to_Client</vt:lpstr>
      <vt:lpstr>Calculation_hw_pd6!Cash_flow_to_Client</vt:lpstr>
      <vt:lpstr>Calculation_hw_xsore14!Cash_flow_to_Client</vt:lpstr>
      <vt:lpstr>Calculation_hw_xsore16!Cash_flow_to_Client</vt:lpstr>
      <vt:lpstr>Cash_flow_to_Client</vt:lpstr>
      <vt:lpstr>Calculation_hw_full!CFtB</vt:lpstr>
      <vt:lpstr>Calculation_hw_pd4!CFtB</vt:lpstr>
      <vt:lpstr>Calculation_hw_pd6!CFtB</vt:lpstr>
      <vt:lpstr>Calculation_hw_xsore14!CFtB</vt:lpstr>
      <vt:lpstr>Calculation_hw_xsore16!CFtB</vt:lpstr>
      <vt:lpstr>CFtB</vt:lpstr>
      <vt:lpstr>Calculation_hw_full!CFtC</vt:lpstr>
      <vt:lpstr>Calculation_hw_pd4!CFtC</vt:lpstr>
      <vt:lpstr>Calculation_hw_pd6!CFtC</vt:lpstr>
      <vt:lpstr>Calculation_hw_xsore14!CFtC</vt:lpstr>
      <vt:lpstr>Calculation_hw_xsore16!CFtC</vt:lpstr>
      <vt:lpstr>CFtC</vt:lpstr>
      <vt:lpstr>Calculation_hw_full!CFtCT</vt:lpstr>
      <vt:lpstr>Calculation_hw_pd4!CFtCT</vt:lpstr>
      <vt:lpstr>Calculation_hw_pd6!CFtCT</vt:lpstr>
      <vt:lpstr>Calculation_hw_xsore14!CFtCT</vt:lpstr>
      <vt:lpstr>Calculation_hw_xsore16!CFtCT</vt:lpstr>
      <vt:lpstr>CFtCT</vt:lpstr>
      <vt:lpstr>Calculation_hw_full!CFtS</vt:lpstr>
      <vt:lpstr>Calculation_hw_pd4!CFtS</vt:lpstr>
      <vt:lpstr>Calculation_hw_pd6!CFtS</vt:lpstr>
      <vt:lpstr>Calculation_hw_xsore14!CFtS</vt:lpstr>
      <vt:lpstr>Calculation_hw_xsore16!CFtS</vt:lpstr>
      <vt:lpstr>CFtS</vt:lpstr>
      <vt:lpstr>Calculation_hw_full!CLO_Rate</vt:lpstr>
      <vt:lpstr>Calculation_hw_pd4!CLO_Rate</vt:lpstr>
      <vt:lpstr>Calculation_hw_pd6!CLO_Rate</vt:lpstr>
      <vt:lpstr>Calculation_hw_xsore14!CLO_Rate</vt:lpstr>
      <vt:lpstr>Calculation_hw_xsore16!CLO_Rate</vt:lpstr>
      <vt:lpstr>CLO_Rate</vt:lpstr>
      <vt:lpstr>Calculation_hw_full!coeff_discount</vt:lpstr>
      <vt:lpstr>Calculation_hw_pd4!coeff_discount</vt:lpstr>
      <vt:lpstr>Calculation_hw_pd6!coeff_discount</vt:lpstr>
      <vt:lpstr>Calculation_hw_xsore14!coeff_discount</vt:lpstr>
      <vt:lpstr>Calculation_hw_xsore16!coeff_discount</vt:lpstr>
      <vt:lpstr>coeff_discount</vt:lpstr>
      <vt:lpstr>Calculation_hw_full!CoF</vt:lpstr>
      <vt:lpstr>Calculation_hw_pd4!CoF</vt:lpstr>
      <vt:lpstr>Calculation_hw_pd6!CoF</vt:lpstr>
      <vt:lpstr>Calculation_hw_xsore14!CoF</vt:lpstr>
      <vt:lpstr>Calculation_hw_xsore16!CoF</vt:lpstr>
      <vt:lpstr>CoF</vt:lpstr>
      <vt:lpstr>Calculation_hw_full!collect_cost</vt:lpstr>
      <vt:lpstr>Calculation_hw_pd4!collect_cost</vt:lpstr>
      <vt:lpstr>Calculation_hw_pd6!collect_cost</vt:lpstr>
      <vt:lpstr>Calculation_hw_xsore14!collect_cost</vt:lpstr>
      <vt:lpstr>Calculation_hw_xsore16!collect_cost</vt:lpstr>
      <vt:lpstr>collect_cost</vt:lpstr>
      <vt:lpstr>Calculation_hw_full!collection_cost</vt:lpstr>
      <vt:lpstr>Calculation_hw_pd4!collection_cost</vt:lpstr>
      <vt:lpstr>Calculation_hw_pd6!collection_cost</vt:lpstr>
      <vt:lpstr>Calculation_hw_xsore14!collection_cost</vt:lpstr>
      <vt:lpstr>Calculation_hw_xsore16!collection_cost</vt:lpstr>
      <vt:lpstr>collection_cost</vt:lpstr>
      <vt:lpstr>Calculation_hw_full!Cost_of_AT1</vt:lpstr>
      <vt:lpstr>Calculation_hw_pd4!Cost_of_AT1</vt:lpstr>
      <vt:lpstr>Calculation_hw_pd6!Cost_of_AT1</vt:lpstr>
      <vt:lpstr>Calculation_hw_xsore14!Cost_of_AT1</vt:lpstr>
      <vt:lpstr>Calculation_hw_xsore16!Cost_of_AT1</vt:lpstr>
      <vt:lpstr>Cost_of_AT1</vt:lpstr>
      <vt:lpstr>Calculation_hw_full!Cost_of_Funds</vt:lpstr>
      <vt:lpstr>Calculation_hw_pd4!Cost_of_Funds</vt:lpstr>
      <vt:lpstr>Calculation_hw_pd6!Cost_of_Funds</vt:lpstr>
      <vt:lpstr>Calculation_hw_xsore14!Cost_of_Funds</vt:lpstr>
      <vt:lpstr>Calculation_hw_xsore16!Cost_of_Funds</vt:lpstr>
      <vt:lpstr>Cost_of_Funds</vt:lpstr>
      <vt:lpstr>Calculation_hw_full!cost_tax</vt:lpstr>
      <vt:lpstr>Calculation_hw_pd4!cost_tax</vt:lpstr>
      <vt:lpstr>Calculation_hw_pd6!cost_tax</vt:lpstr>
      <vt:lpstr>Calculation_hw_xsore14!cost_tax</vt:lpstr>
      <vt:lpstr>Calculation_hw_xsore16!cost_tax</vt:lpstr>
      <vt:lpstr>cost_tax</vt:lpstr>
      <vt:lpstr>Calculation_hw_full!Cumulative_PV</vt:lpstr>
      <vt:lpstr>Calculation_hw_pd4!Cumulative_PV</vt:lpstr>
      <vt:lpstr>Calculation_hw_pd6!Cumulative_PV</vt:lpstr>
      <vt:lpstr>Calculation_hw_xsore14!Cumulative_PV</vt:lpstr>
      <vt:lpstr>Calculation_hw_xsore16!Cumulative_PV</vt:lpstr>
      <vt:lpstr>Cumulative_PV</vt:lpstr>
      <vt:lpstr>Calculation_hw_full!DEF_Rate</vt:lpstr>
      <vt:lpstr>Calculation_hw_pd4!DEF_Rate</vt:lpstr>
      <vt:lpstr>Calculation_hw_pd6!DEF_Rate</vt:lpstr>
      <vt:lpstr>Calculation_hw_xsore14!DEF_Rate</vt:lpstr>
      <vt:lpstr>Calculation_hw_xsore16!DEF_Rate</vt:lpstr>
      <vt:lpstr>DEF_Rate</vt:lpstr>
      <vt:lpstr>Calculation_hw_full!discount_rate</vt:lpstr>
      <vt:lpstr>Calculation_hw_pd4!discount_rate</vt:lpstr>
      <vt:lpstr>Calculation_hw_pd6!discount_rate</vt:lpstr>
      <vt:lpstr>Calculation_hw_xsore14!discount_rate</vt:lpstr>
      <vt:lpstr>Calculation_hw_xsore16!discount_rate</vt:lpstr>
      <vt:lpstr>discount_rate</vt:lpstr>
      <vt:lpstr>Calculation_hw_full!discount_rate_month</vt:lpstr>
      <vt:lpstr>Calculation_hw_pd4!discount_rate_month</vt:lpstr>
      <vt:lpstr>Calculation_hw_pd6!discount_rate_month</vt:lpstr>
      <vt:lpstr>Calculation_hw_xsore14!discount_rate_month</vt:lpstr>
      <vt:lpstr>Calculation_hw_xsore16!discount_rate_month</vt:lpstr>
      <vt:lpstr>discount_rate_month</vt:lpstr>
      <vt:lpstr>Calculation_hw_full!DLNQ_Rate</vt:lpstr>
      <vt:lpstr>Calculation_hw_pd4!DLNQ_Rate</vt:lpstr>
      <vt:lpstr>Calculation_hw_pd6!DLNQ_Rate</vt:lpstr>
      <vt:lpstr>Calculation_hw_xsore14!DLNQ_Rate</vt:lpstr>
      <vt:lpstr>Calculation_hw_xsore16!DLNQ_Rate</vt:lpstr>
      <vt:lpstr>DLNQ_Rate</vt:lpstr>
      <vt:lpstr>Calculation_hw_full!DLNQ_Ratio</vt:lpstr>
      <vt:lpstr>Calculation_hw_pd4!DLNQ_Ratio</vt:lpstr>
      <vt:lpstr>Calculation_hw_pd6!DLNQ_Ratio</vt:lpstr>
      <vt:lpstr>Calculation_hw_xsore14!DLNQ_Ratio</vt:lpstr>
      <vt:lpstr>Calculation_hw_xsore16!DLNQ_Ratio</vt:lpstr>
      <vt:lpstr>DLNQ_Ratio</vt:lpstr>
      <vt:lpstr>Calculation_hw_full!Eq_req</vt:lpstr>
      <vt:lpstr>Calculation_hw_pd4!Eq_req</vt:lpstr>
      <vt:lpstr>Calculation_hw_pd6!Eq_req</vt:lpstr>
      <vt:lpstr>Calculation_hw_xsore14!Eq_req</vt:lpstr>
      <vt:lpstr>Calculation_hw_xsore16!Eq_req</vt:lpstr>
      <vt:lpstr>Eq_req</vt:lpstr>
      <vt:lpstr>Calculation_hw_full!Eq_req_chng</vt:lpstr>
      <vt:lpstr>Calculation_hw_pd4!Eq_req_chng</vt:lpstr>
      <vt:lpstr>Calculation_hw_pd6!Eq_req_chng</vt:lpstr>
      <vt:lpstr>Calculation_hw_xsore14!Eq_req_chng</vt:lpstr>
      <vt:lpstr>Calculation_hw_xsore16!Eq_req_chng</vt:lpstr>
      <vt:lpstr>Eq_req_chng</vt:lpstr>
      <vt:lpstr>Calculation_hw_full!Equity_Req</vt:lpstr>
      <vt:lpstr>Calculation_hw_pd4!Equity_Req</vt:lpstr>
      <vt:lpstr>Calculation_hw_pd6!Equity_Req</vt:lpstr>
      <vt:lpstr>Calculation_hw_xsore14!Equity_Req</vt:lpstr>
      <vt:lpstr>Calculation_hw_xsore16!Equity_Req</vt:lpstr>
      <vt:lpstr>Equity_Req</vt:lpstr>
      <vt:lpstr>Calculation_hw_full!flow_to_sharehold</vt:lpstr>
      <vt:lpstr>Calculation_hw_pd4!flow_to_sharehold</vt:lpstr>
      <vt:lpstr>Calculation_hw_pd6!flow_to_sharehold</vt:lpstr>
      <vt:lpstr>Calculation_hw_xsore14!flow_to_sharehold</vt:lpstr>
      <vt:lpstr>Calculation_hw_xsore16!flow_to_sharehold</vt:lpstr>
      <vt:lpstr>flow_to_sharehold</vt:lpstr>
      <vt:lpstr>Calculation_hw_full!Fund_req</vt:lpstr>
      <vt:lpstr>Calculation_hw_pd4!Fund_req</vt:lpstr>
      <vt:lpstr>Calculation_hw_pd6!Fund_req</vt:lpstr>
      <vt:lpstr>Calculation_hw_xsore14!Fund_req</vt:lpstr>
      <vt:lpstr>Calculation_hw_xsore16!Fund_req</vt:lpstr>
      <vt:lpstr>Fund_req</vt:lpstr>
      <vt:lpstr>Calculation_hw_full!Fund_req_chng</vt:lpstr>
      <vt:lpstr>Calculation_hw_pd4!Fund_req_chng</vt:lpstr>
      <vt:lpstr>Calculation_hw_pd6!Fund_req_chng</vt:lpstr>
      <vt:lpstr>Calculation_hw_xsore14!Fund_req_chng</vt:lpstr>
      <vt:lpstr>Calculation_hw_xsore16!Fund_req_chng</vt:lpstr>
      <vt:lpstr>Fund_req_chng</vt:lpstr>
      <vt:lpstr>Calculation_hw_full!GB_act</vt:lpstr>
      <vt:lpstr>Calculation_hw_pd4!GB_act</vt:lpstr>
      <vt:lpstr>Calculation_hw_pd6!GB_act</vt:lpstr>
      <vt:lpstr>Calculation_hw_xsore14!GB_act</vt:lpstr>
      <vt:lpstr>Calculation_hw_xsore16!GB_act</vt:lpstr>
      <vt:lpstr>GB_act</vt:lpstr>
      <vt:lpstr>Calculation_hw_full!GB_cur</vt:lpstr>
      <vt:lpstr>Calculation_hw_pd4!GB_cur</vt:lpstr>
      <vt:lpstr>Calculation_hw_pd6!GB_cur</vt:lpstr>
      <vt:lpstr>Calculation_hw_xsore14!GB_cur</vt:lpstr>
      <vt:lpstr>Calculation_hw_xsore16!GB_cur</vt:lpstr>
      <vt:lpstr>GB_cur</vt:lpstr>
      <vt:lpstr>Calculation_hw_full!GB_DEF</vt:lpstr>
      <vt:lpstr>Calculation_hw_pd4!GB_DEF</vt:lpstr>
      <vt:lpstr>Calculation_hw_pd6!GB_DEF</vt:lpstr>
      <vt:lpstr>Calculation_hw_xsore14!GB_DEF</vt:lpstr>
      <vt:lpstr>Calculation_hw_xsore16!GB_DEF</vt:lpstr>
      <vt:lpstr>GB_DEF</vt:lpstr>
      <vt:lpstr>Calculation_hw_full!GB_dlq</vt:lpstr>
      <vt:lpstr>Calculation_hw_pd4!GB_dlq</vt:lpstr>
      <vt:lpstr>Calculation_hw_pd6!GB_dlq</vt:lpstr>
      <vt:lpstr>Calculation_hw_xsore14!GB_dlq</vt:lpstr>
      <vt:lpstr>Calculation_hw_xsore16!GB_dlq</vt:lpstr>
      <vt:lpstr>GB_dlq</vt:lpstr>
      <vt:lpstr>Calculation_hw_full!Gross_Expenses</vt:lpstr>
      <vt:lpstr>Calculation_hw_pd4!Gross_Expenses</vt:lpstr>
      <vt:lpstr>Calculation_hw_pd6!Gross_Expenses</vt:lpstr>
      <vt:lpstr>Calculation_hw_xsore14!Gross_Expenses</vt:lpstr>
      <vt:lpstr>Calculation_hw_xsore16!Gross_Expenses</vt:lpstr>
      <vt:lpstr>Gross_Expenses</vt:lpstr>
      <vt:lpstr>Calculation_hw_full!Gross_Loss</vt:lpstr>
      <vt:lpstr>Calculation_hw_pd4!Gross_Loss</vt:lpstr>
      <vt:lpstr>Calculation_hw_pd6!Gross_Loss</vt:lpstr>
      <vt:lpstr>Calculation_hw_xsore14!Gross_Loss</vt:lpstr>
      <vt:lpstr>Calculation_hw_xsore16!Gross_Loss</vt:lpstr>
      <vt:lpstr>Gross_Loss</vt:lpstr>
      <vt:lpstr>Calculation_hw_full!Gross_profit</vt:lpstr>
      <vt:lpstr>Calculation_hw_pd4!Gross_profit</vt:lpstr>
      <vt:lpstr>Calculation_hw_pd6!Gross_profit</vt:lpstr>
      <vt:lpstr>Calculation_hw_xsore14!Gross_profit</vt:lpstr>
      <vt:lpstr>Calculation_hw_xsore16!Gross_profit</vt:lpstr>
      <vt:lpstr>Gross_profit</vt:lpstr>
      <vt:lpstr>Calculation_hw_full!Gross_Revenue</vt:lpstr>
      <vt:lpstr>Calculation_hw_pd4!Gross_Revenue</vt:lpstr>
      <vt:lpstr>Calculation_hw_pd6!Gross_Revenue</vt:lpstr>
      <vt:lpstr>Calculation_hw_xsore14!Gross_Revenue</vt:lpstr>
      <vt:lpstr>Calculation_hw_xsore16!Gross_Revenue</vt:lpstr>
      <vt:lpstr>Gross_Revenue</vt:lpstr>
      <vt:lpstr>Calculation_hw_full!initial_amount</vt:lpstr>
      <vt:lpstr>Calculation_hw_pd4!initial_amount</vt:lpstr>
      <vt:lpstr>Calculation_hw_pd6!initial_amount</vt:lpstr>
      <vt:lpstr>Calculation_hw_xsore14!initial_amount</vt:lpstr>
      <vt:lpstr>Calculation_hw_xsore16!initial_amount</vt:lpstr>
      <vt:lpstr>initial_amount</vt:lpstr>
      <vt:lpstr>Calculation_hw_full!initial_term</vt:lpstr>
      <vt:lpstr>Calculation_hw_pd4!initial_term</vt:lpstr>
      <vt:lpstr>Calculation_hw_pd6!initial_term</vt:lpstr>
      <vt:lpstr>Calculation_hw_xsore14!initial_term</vt:lpstr>
      <vt:lpstr>Calculation_hw_xsore16!initial_term</vt:lpstr>
      <vt:lpstr>initial_term</vt:lpstr>
      <vt:lpstr>Calculation_hw_full!ins</vt:lpstr>
      <vt:lpstr>Calculation_hw_pd4!ins</vt:lpstr>
      <vt:lpstr>Calculation_hw_pd6!ins</vt:lpstr>
      <vt:lpstr>Calculation_hw_xsore14!ins</vt:lpstr>
      <vt:lpstr>Calculation_hw_xsore16!ins</vt:lpstr>
      <vt:lpstr>ins</vt:lpstr>
      <vt:lpstr>Calculation!insurance</vt:lpstr>
      <vt:lpstr>Calculation_hw_full!insurance</vt:lpstr>
      <vt:lpstr>Calculation_hw_pd4!insurance</vt:lpstr>
      <vt:lpstr>Calculation_hw_pd6!insurance</vt:lpstr>
      <vt:lpstr>Calculation_hw_xsore14!insurance</vt:lpstr>
      <vt:lpstr>Calculation_hw_xsore16!insurance</vt:lpstr>
      <vt:lpstr>Calculation_hw_full!int_model</vt:lpstr>
      <vt:lpstr>Calculation_hw_pd4!int_model</vt:lpstr>
      <vt:lpstr>Calculation_hw_pd6!int_model</vt:lpstr>
      <vt:lpstr>Calculation_hw_xsore14!int_model</vt:lpstr>
      <vt:lpstr>Calculation_hw_xsore16!int_model</vt:lpstr>
      <vt:lpstr>int_model</vt:lpstr>
      <vt:lpstr>Calculation_hw_full!interest</vt:lpstr>
      <vt:lpstr>Calculation_hw_pd4!interest</vt:lpstr>
      <vt:lpstr>Calculation_hw_pd6!interest</vt:lpstr>
      <vt:lpstr>Calculation_hw_xsore14!interest</vt:lpstr>
      <vt:lpstr>Calculation_hw_xsore16!interest</vt:lpstr>
      <vt:lpstr>interest</vt:lpstr>
      <vt:lpstr>Calculation_hw_full!interest_rate</vt:lpstr>
      <vt:lpstr>Calculation_hw_pd4!interest_rate</vt:lpstr>
      <vt:lpstr>Calculation_hw_pd6!interest_rate</vt:lpstr>
      <vt:lpstr>Calculation_hw_xsore14!interest_rate</vt:lpstr>
      <vt:lpstr>Calculation_hw_xsore16!interest_rate</vt:lpstr>
      <vt:lpstr>interest_rate</vt:lpstr>
      <vt:lpstr>Calculation_hw_full!Loan_Loss</vt:lpstr>
      <vt:lpstr>Calculation_hw_pd4!Loan_Loss</vt:lpstr>
      <vt:lpstr>Calculation_hw_pd6!Loan_Loss</vt:lpstr>
      <vt:lpstr>Calculation_hw_xsore14!Loan_Loss</vt:lpstr>
      <vt:lpstr>Calculation_hw_xsore16!Loan_Loss</vt:lpstr>
      <vt:lpstr>Loan_Loss</vt:lpstr>
      <vt:lpstr>Calculation_hw_full!Net_Income_Atax</vt:lpstr>
      <vt:lpstr>Calculation_hw_pd4!Net_Income_Atax</vt:lpstr>
      <vt:lpstr>Calculation_hw_pd6!Net_Income_Atax</vt:lpstr>
      <vt:lpstr>Calculation_hw_xsore14!Net_Income_Atax</vt:lpstr>
      <vt:lpstr>Calculation_hw_xsore16!Net_Income_Atax</vt:lpstr>
      <vt:lpstr>Net_Income_Atax</vt:lpstr>
      <vt:lpstr>Calculation_hw_full!Net_Income_Bax</vt:lpstr>
      <vt:lpstr>Calculation_hw_pd4!Net_Income_Bax</vt:lpstr>
      <vt:lpstr>Calculation_hw_pd6!Net_Income_Bax</vt:lpstr>
      <vt:lpstr>Calculation_hw_xsore14!Net_Income_Bax</vt:lpstr>
      <vt:lpstr>Calculation_hw_xsore16!Net_Income_Bax</vt:lpstr>
      <vt:lpstr>Net_Income_Bax</vt:lpstr>
      <vt:lpstr>Calculation!next</vt:lpstr>
      <vt:lpstr>Calculation_hw_full!next</vt:lpstr>
      <vt:lpstr>Calculation_hw_pd4!next</vt:lpstr>
      <vt:lpstr>Calculation_hw_pd6!next</vt:lpstr>
      <vt:lpstr>Calculation_hw_xsore14!next</vt:lpstr>
      <vt:lpstr>Calculation_hw_xsore16!next</vt:lpstr>
      <vt:lpstr>Calculation_hw_full!oper_cost</vt:lpstr>
      <vt:lpstr>Calculation_hw_pd4!oper_cost</vt:lpstr>
      <vt:lpstr>Calculation_hw_pd6!oper_cost</vt:lpstr>
      <vt:lpstr>Calculation_hw_xsore14!oper_cost</vt:lpstr>
      <vt:lpstr>Calculation_hw_xsore16!oper_cost</vt:lpstr>
      <vt:lpstr>oper_cost</vt:lpstr>
      <vt:lpstr>Calculation_hw_full!Operation_cost</vt:lpstr>
      <vt:lpstr>Calculation_hw_pd4!Operation_cost</vt:lpstr>
      <vt:lpstr>Calculation_hw_pd6!Operation_cost</vt:lpstr>
      <vt:lpstr>Calculation_hw_xsore14!Operation_cost</vt:lpstr>
      <vt:lpstr>Calculation_hw_xsore16!Operation_cost</vt:lpstr>
      <vt:lpstr>Operation_cost</vt:lpstr>
      <vt:lpstr>Calculation_hw_full!operational_cost</vt:lpstr>
      <vt:lpstr>Calculation_hw_pd4!operational_cost</vt:lpstr>
      <vt:lpstr>Calculation_hw_pd6!operational_cost</vt:lpstr>
      <vt:lpstr>Calculation_hw_xsore14!operational_cost</vt:lpstr>
      <vt:lpstr>Calculation_hw_xsore16!operational_cost</vt:lpstr>
      <vt:lpstr>operational_cost</vt:lpstr>
      <vt:lpstr>Calculation_hw_full!overdue_fee</vt:lpstr>
      <vt:lpstr>Calculation_hw_pd4!overdue_fee</vt:lpstr>
      <vt:lpstr>Calculation_hw_pd6!overdue_fee</vt:lpstr>
      <vt:lpstr>Calculation_hw_xsore14!overdue_fee</vt:lpstr>
      <vt:lpstr>Calculation_hw_xsore16!overdue_fee</vt:lpstr>
      <vt:lpstr>overdue_fee</vt:lpstr>
      <vt:lpstr>Calculation_hw_full!PB</vt:lpstr>
      <vt:lpstr>Calculation_hw_pd4!PB</vt:lpstr>
      <vt:lpstr>Calculation_hw_pd6!PB</vt:lpstr>
      <vt:lpstr>Calculation_hw_xsore14!PB</vt:lpstr>
      <vt:lpstr>Calculation_hw_xsore16!PB</vt:lpstr>
      <vt:lpstr>PB</vt:lpstr>
      <vt:lpstr>Calculation_hw_full!PB_act</vt:lpstr>
      <vt:lpstr>Calculation_hw_pd4!PB_act</vt:lpstr>
      <vt:lpstr>Calculation_hw_pd6!PB_act</vt:lpstr>
      <vt:lpstr>Calculation_hw_xsore14!PB_act</vt:lpstr>
      <vt:lpstr>Calculation_hw_xsore16!PB_act</vt:lpstr>
      <vt:lpstr>PB_act</vt:lpstr>
      <vt:lpstr>Calculation_hw_full!PB_cur</vt:lpstr>
      <vt:lpstr>Calculation_hw_pd4!PB_cur</vt:lpstr>
      <vt:lpstr>Calculation_hw_pd6!PB_cur</vt:lpstr>
      <vt:lpstr>Calculation_hw_xsore14!PB_cur</vt:lpstr>
      <vt:lpstr>Calculation_hw_xsore16!PB_cur</vt:lpstr>
      <vt:lpstr>PB_cur</vt:lpstr>
      <vt:lpstr>Calculation_hw_full!PB_def</vt:lpstr>
      <vt:lpstr>Calculation_hw_pd4!PB_def</vt:lpstr>
      <vt:lpstr>Calculation_hw_pd6!PB_def</vt:lpstr>
      <vt:lpstr>Calculation_hw_xsore14!PB_def</vt:lpstr>
      <vt:lpstr>Calculation_hw_xsore16!PB_def</vt:lpstr>
      <vt:lpstr>PB_def</vt:lpstr>
      <vt:lpstr>Calculation_hw_full!PB_dlq</vt:lpstr>
      <vt:lpstr>Calculation_hw_pd4!PB_dlq</vt:lpstr>
      <vt:lpstr>Calculation_hw_pd6!PB_dlq</vt:lpstr>
      <vt:lpstr>Calculation_hw_xsore14!PB_dlq</vt:lpstr>
      <vt:lpstr>Calculation_hw_xsore16!PB_dlq</vt:lpstr>
      <vt:lpstr>PB_dlq</vt:lpstr>
      <vt:lpstr>Calculation_hw_full!PB_model</vt:lpstr>
      <vt:lpstr>Calculation_hw_pd4!PB_model</vt:lpstr>
      <vt:lpstr>Calculation_hw_pd6!PB_model</vt:lpstr>
      <vt:lpstr>Calculation_hw_xsore14!PB_model</vt:lpstr>
      <vt:lpstr>Calculation_hw_xsore16!PB_model</vt:lpstr>
      <vt:lpstr>PB_model</vt:lpstr>
      <vt:lpstr>Calculation_hw_full!pclo</vt:lpstr>
      <vt:lpstr>Calculation_hw_pd4!pclo</vt:lpstr>
      <vt:lpstr>Calculation_hw_pd6!pclo</vt:lpstr>
      <vt:lpstr>Calculation_hw_xsore14!pclo</vt:lpstr>
      <vt:lpstr>Calculation_hw_xsore16!pclo</vt:lpstr>
      <vt:lpstr>pclo</vt:lpstr>
      <vt:lpstr>Calculation_hw_full!pd</vt:lpstr>
      <vt:lpstr>Calculation_hw_pd4!pd</vt:lpstr>
      <vt:lpstr>Calculation_hw_pd6!pd</vt:lpstr>
      <vt:lpstr>Calculation_hw_xsore14!pd</vt:lpstr>
      <vt:lpstr>Calculation_hw_xsore16!pd</vt:lpstr>
      <vt:lpstr>pd</vt:lpstr>
      <vt:lpstr>Calculation_hw_full!Perp_Serv</vt:lpstr>
      <vt:lpstr>Calculation_hw_pd4!Perp_Serv</vt:lpstr>
      <vt:lpstr>Calculation_hw_pd6!Perp_Serv</vt:lpstr>
      <vt:lpstr>Calculation_hw_xsore14!Perp_Serv</vt:lpstr>
      <vt:lpstr>Calculation_hw_xsore16!Perp_Serv</vt:lpstr>
      <vt:lpstr>Perp_Serv</vt:lpstr>
      <vt:lpstr>Calculation_hw_full!prev</vt:lpstr>
      <vt:lpstr>Calculation_hw_pd4!prev</vt:lpstr>
      <vt:lpstr>Calculation_hw_pd6!prev</vt:lpstr>
      <vt:lpstr>Calculation_hw_xsore14!prev</vt:lpstr>
      <vt:lpstr>Calculation_hw_xsore16!prev</vt:lpstr>
      <vt:lpstr>prev</vt:lpstr>
      <vt:lpstr>Calculation_hw_full!prev_</vt:lpstr>
      <vt:lpstr>Calculation_hw_pd4!prev_</vt:lpstr>
      <vt:lpstr>Calculation_hw_pd6!prev_</vt:lpstr>
      <vt:lpstr>Calculation_hw_xsore14!prev_</vt:lpstr>
      <vt:lpstr>Calculation_hw_xsore16!prev_</vt:lpstr>
      <vt:lpstr>prev_</vt:lpstr>
      <vt:lpstr>Calculation_hw_full!PV</vt:lpstr>
      <vt:lpstr>Calculation_hw_pd4!PV</vt:lpstr>
      <vt:lpstr>Calculation_hw_pd6!PV</vt:lpstr>
      <vt:lpstr>Calculation_hw_xsore14!PV</vt:lpstr>
      <vt:lpstr>Calculation_hw_xsore16!PV</vt:lpstr>
      <vt:lpstr>PV</vt:lpstr>
      <vt:lpstr>Calculation_hw_full!px</vt:lpstr>
      <vt:lpstr>Calculation_hw_pd4!px</vt:lpstr>
      <vt:lpstr>Calculation_hw_pd6!px</vt:lpstr>
      <vt:lpstr>Calculation_hw_xsore14!px</vt:lpstr>
      <vt:lpstr>Calculation_hw_xsore16!px</vt:lpstr>
      <vt:lpstr>px</vt:lpstr>
      <vt:lpstr>Calculation_hw_full!recov</vt:lpstr>
      <vt:lpstr>Calculation_hw_pd4!recov</vt:lpstr>
      <vt:lpstr>Calculation_hw_pd6!recov</vt:lpstr>
      <vt:lpstr>Calculation_hw_xsore14!recov</vt:lpstr>
      <vt:lpstr>Calculation_hw_xsore16!recov</vt:lpstr>
      <vt:lpstr>recov</vt:lpstr>
      <vt:lpstr>Calculation_hw_full!recovery</vt:lpstr>
      <vt:lpstr>Calculation_hw_pd4!recovery</vt:lpstr>
      <vt:lpstr>Calculation_hw_pd6!recovery</vt:lpstr>
      <vt:lpstr>Calculation_hw_xsore14!recovery</vt:lpstr>
      <vt:lpstr>Calculation_hw_xsore16!recovery</vt:lpstr>
      <vt:lpstr>recovery</vt:lpstr>
      <vt:lpstr>Calculation!recovery_st</vt:lpstr>
      <vt:lpstr>Calculation_hw_full!recovery_st</vt:lpstr>
      <vt:lpstr>Calculation_hw_pd4!recovery_st</vt:lpstr>
      <vt:lpstr>Calculation_hw_pd6!recovery_st</vt:lpstr>
      <vt:lpstr>Calculation_hw_xsore14!recovery_st</vt:lpstr>
      <vt:lpstr>Calculation_hw_xsore16!recovery_st</vt:lpstr>
      <vt:lpstr>Calculation_hw_full!regular_payment</vt:lpstr>
      <vt:lpstr>Calculation_hw_pd4!regular_payment</vt:lpstr>
      <vt:lpstr>Calculation_hw_pd6!regular_payment</vt:lpstr>
      <vt:lpstr>Calculation_hw_xsore14!regular_payment</vt:lpstr>
      <vt:lpstr>Calculation_hw_xsore16!regular_payment</vt:lpstr>
      <vt:lpstr>regular_payment</vt:lpstr>
      <vt:lpstr>Calculation_hw_full!repayment</vt:lpstr>
      <vt:lpstr>Calculation_hw_pd4!repayment</vt:lpstr>
      <vt:lpstr>Calculation_hw_pd6!repayment</vt:lpstr>
      <vt:lpstr>Calculation_hw_xsore14!repayment</vt:lpstr>
      <vt:lpstr>Calculation_hw_xsore16!repayment</vt:lpstr>
      <vt:lpstr>repayment</vt:lpstr>
      <vt:lpstr>Calculation_hw_full!shareholders</vt:lpstr>
      <vt:lpstr>Calculation_hw_pd4!shareholders</vt:lpstr>
      <vt:lpstr>Calculation_hw_pd6!shareholders</vt:lpstr>
      <vt:lpstr>Calculation_hw_xsore14!shareholders</vt:lpstr>
      <vt:lpstr>Calculation_hw_xsore16!shareholders</vt:lpstr>
      <vt:lpstr>shareholders</vt:lpstr>
      <vt:lpstr>Calculation_hw_full!statement_no</vt:lpstr>
      <vt:lpstr>Calculation_hw_pd4!statement_no</vt:lpstr>
      <vt:lpstr>Calculation_hw_pd6!statement_no</vt:lpstr>
      <vt:lpstr>Calculation_hw_xsore14!statement_no</vt:lpstr>
      <vt:lpstr>Calculation_hw_xsore16!statement_no</vt:lpstr>
      <vt:lpstr>statement_no</vt:lpstr>
      <vt:lpstr>Calculation_hw_full!Tax</vt:lpstr>
      <vt:lpstr>Calculation_hw_pd4!Tax</vt:lpstr>
      <vt:lpstr>Calculation_hw_pd6!Tax</vt:lpstr>
      <vt:lpstr>Calculation_hw_xsore14!Tax</vt:lpstr>
      <vt:lpstr>Calculation_hw_xsore16!Tax</vt:lpstr>
      <vt:lpstr>Tax</vt:lpstr>
      <vt:lpstr>Calculation_hw_full!tax_rate</vt:lpstr>
      <vt:lpstr>Calculation_hw_pd4!tax_rate</vt:lpstr>
      <vt:lpstr>Calculation_hw_pd6!tax_rate</vt:lpstr>
      <vt:lpstr>Calculation_hw_xsore14!tax_rate</vt:lpstr>
      <vt:lpstr>Calculation_hw_xsore16!tax_rate</vt:lpstr>
      <vt:lpstr>tax_rate</vt:lpstr>
      <vt:lpstr>Calculation_hw_full!to_bondholders</vt:lpstr>
      <vt:lpstr>Calculation_hw_pd4!to_bondholders</vt:lpstr>
      <vt:lpstr>Calculation_hw_pd6!to_bondholders</vt:lpstr>
      <vt:lpstr>Calculation_hw_xsore14!to_bondholders</vt:lpstr>
      <vt:lpstr>Calculation_hw_xsore16!to_bondholders</vt:lpstr>
      <vt:lpstr>to_bondholders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2022-04-29T15:58:32Z</dcterms:modified>
</cp:coreProperties>
</file>