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 codeName="ЭтаКнига" defaultThemeVersion="124226"/>
  <xr:revisionPtr revIDLastSave="0" documentId="13_ncr:1_{0979674C-84AD-DA42-A7B0-C7B3D6DCCFDB}" xr6:coauthVersionLast="47" xr6:coauthVersionMax="47" xr10:uidLastSave="{00000000-0000-0000-0000-000000000000}"/>
  <bookViews>
    <workbookView xWindow="0" yWindow="500" windowWidth="35840" windowHeight="20320" tabRatio="621" activeTab="1" xr2:uid="{00000000-000D-0000-FFFF-FFFF00000000}"/>
  </bookViews>
  <sheets>
    <sheet name="Calculation" sheetId="2" r:id="rId1"/>
    <sheet name="ДЗ" sheetId="11" r:id="rId2"/>
    <sheet name="Лист1" sheetId="10" state="hidden" r:id="rId3"/>
  </sheets>
  <definedNames>
    <definedName name="ВПОДК">#REF!</definedName>
    <definedName name="accnt_act">Calculation!$C$43:$AA$43</definedName>
    <definedName name="accnt_b_def">Calculation!$C$49:$AA$49</definedName>
    <definedName name="accnt_b_res">Calculation!$C$49:$AA$49</definedName>
    <definedName name="accnt_clo">Calculation!$C$46:$XFD$46</definedName>
    <definedName name="accnt_cur">Calculation!$C$44:$XFD$44</definedName>
    <definedName name="accnt_DEF">Calculation!$C$47:$AA$47</definedName>
    <definedName name="accnt_dlq">Calculation!$C$45:$XFD$45</definedName>
    <definedName name="accnt_wro">Calculation!$C$47:$XFD$47</definedName>
    <definedName name="assets">Calculation!$C$88:$AA$88</definedName>
    <definedName name="AT1_all_curve">#REF!</definedName>
    <definedName name="AT1_curve">#REF!</definedName>
    <definedName name="At1_int_rate">#REF!</definedName>
    <definedName name="AT1_req">Calculation!$C$91:$AA$91</definedName>
    <definedName name="AT1_req_chng">Calculation!#REF!</definedName>
    <definedName name="Cap_Curve">#REF!</definedName>
    <definedName name="Cap_Curve_H1.0">#REF!</definedName>
    <definedName name="capital_bal">Calculation!#REF!</definedName>
    <definedName name="Capital_balance">Calculation!#REF!</definedName>
    <definedName name="Capital_req">Calculation!#REF!</definedName>
    <definedName name="CapR_curve">#REF!</definedName>
    <definedName name="CapR_fix_H1.0">#REF!</definedName>
    <definedName name="Cash_flow_to_Client">Calculation!$C$101:$AA$101</definedName>
    <definedName name="CFtB">Calculation!$C$102:$AA$102</definedName>
    <definedName name="CFtC">Calculation!$C$101:$AA$101</definedName>
    <definedName name="CFtCT">Calculation!$C$103:$AA$103</definedName>
    <definedName name="CFtP">Calculation!#REF!</definedName>
    <definedName name="CFtS">Calculation!$C$104:$AA$104</definedName>
    <definedName name="CLO_Rate">Calculation!$C$37:$AA$37</definedName>
    <definedName name="clo_rate_curve">#REF!</definedName>
    <definedName name="coeff_discount">Calculation!$C$99:$AA$99</definedName>
    <definedName name="coeff_lim">#REF!</definedName>
    <definedName name="CoF">Calculation!$C$19</definedName>
    <definedName name="COF_rate">#REF!</definedName>
    <definedName name="collect_cost">Calculation!$C$77:$AA$77</definedName>
    <definedName name="collection_cost">Calculation!$C$26</definedName>
    <definedName name="comission_rate">#REF!</definedName>
    <definedName name="Cost_of_AT1">Calculation!$C$75:$AA$75</definedName>
    <definedName name="Cost_of_Funds">Calculation!$C$75:$AA$75</definedName>
    <definedName name="cost_tax">Calculation!$C$103:$AA$103</definedName>
    <definedName name="cred_fee">#REF!</definedName>
    <definedName name="Credit_Fee">Calculation!#REF!</definedName>
    <definedName name="Cumulative_PV">Calculation!$C$107:$AA$107</definedName>
    <definedName name="DEF_Rate">Calculation!$C$35:$AA$35</definedName>
    <definedName name="disc_loss">Calculation!#REF!</definedName>
    <definedName name="discount_rate">Calculation!$C$21</definedName>
    <definedName name="discount_rate_month">Calculation!$B$100</definedName>
    <definedName name="dlnq_collection_cost">#REF!</definedName>
    <definedName name="DLNQ_Rate">Calculation!$C$36:$AA$36</definedName>
    <definedName name="DLNQ_Ratio">Calculation!$C$36:$AA$36</definedName>
    <definedName name="dlq_ratio_curve">#REF!</definedName>
    <definedName name="dlq_to_notdlq_curve">#REF!</definedName>
    <definedName name="Eq_req">Calculation!$C$90:$AA$90</definedName>
    <definedName name="Eq_req_chng">Calculation!$C$95:$AA$95</definedName>
    <definedName name="EqR_curve">#REF!</definedName>
    <definedName name="EqR_curve_H1.0">#REF!</definedName>
    <definedName name="EqR_fix_H1.1">#REF!</definedName>
    <definedName name="EqR_total_H1.0">#REF!</definedName>
    <definedName name="EqR_total_H1.1">#REF!</definedName>
    <definedName name="Equity_Req">Calculation!$C$22</definedName>
    <definedName name="erv">#REF!</definedName>
    <definedName name="erw">#REF!</definedName>
    <definedName name="flow_to_sharehold">Calculation!$C$104:$AA$104</definedName>
    <definedName name="Fund_req">Calculation!$C$91:$AA$91</definedName>
    <definedName name="Fund_req_chng">Calculation!$C$96:$AA$96</definedName>
    <definedName name="GB_act">Calculation!$C$62:$XFD$62</definedName>
    <definedName name="GB_cur">Calculation!$C$63:$XFD$63</definedName>
    <definedName name="GB_DEF">Calculation!$C$65:$AA$65</definedName>
    <definedName name="GB_dlq">Calculation!$C$64:$XFD$64</definedName>
    <definedName name="Gross_Expenses">Calculation!$C$72:$AA$72</definedName>
    <definedName name="Gross_Loss">Calculation!$C$73:$AA$73</definedName>
    <definedName name="Gross_profit">Calculation!$C$68:$AA$68</definedName>
    <definedName name="Gross_Revenue">Calculation!$C$68:$AA$68</definedName>
    <definedName name="Income">Calculation!#REF!</definedName>
    <definedName name="Income_comulative">Calculation!#REF!</definedName>
    <definedName name="Income_total">Calculation!#REF!</definedName>
    <definedName name="initial_amount">Calculation!$C$10</definedName>
    <definedName name="initial_term">Calculation!$C$11</definedName>
    <definedName name="ins">Calculation!$C$16</definedName>
    <definedName name="int_model">Calculation!$C$53:$AA$53</definedName>
    <definedName name="int_rate">#REF!</definedName>
    <definedName name="interest">Calculation!$C$69:$AA$69</definedName>
    <definedName name="interest_rate">Calculation!$C$15</definedName>
    <definedName name="Loan_Loss">Calculation!$C$74:$AA$74</definedName>
    <definedName name="logit">#REF!</definedName>
    <definedName name="manual_CLO_rate">#REF!</definedName>
    <definedName name="manual_DLQ_ratio">#REF!</definedName>
    <definedName name="manual_insurance_ratio">#REF!</definedName>
    <definedName name="manual_miss_rep_cnt">#REF!</definedName>
    <definedName name="manual_ovd_fee_cnt">#REF!</definedName>
    <definedName name="manual_WRO_rate">#REF!</definedName>
    <definedName name="mean_pd_bucket">#REF!</definedName>
    <definedName name="miss_rep_cnt_dlq_curve">#REF!</definedName>
    <definedName name="Net_Income_Atax">Calculation!$C$85:$AA$85</definedName>
    <definedName name="Net_Income_Bax">Calculation!$C$83:$AA$83</definedName>
    <definedName name="next" localSheetId="0">Calculation!B:B</definedName>
    <definedName name="next_">#REF!</definedName>
    <definedName name="NPV">#REF!</definedName>
    <definedName name="Oper_Cash_Flow">Calculation!#REF!</definedName>
    <definedName name="oper_cost">Calculation!$C$25</definedName>
    <definedName name="Oper_Risk_Bal">Calculation!#REF!</definedName>
    <definedName name="oper_risk_loss">Calculation!#REF!</definedName>
    <definedName name="Operation_cost">Calculation!$C$76:$AA$76</definedName>
    <definedName name="operational_cost">Calculation!$C$76:$AA$76</definedName>
    <definedName name="OperRisk_Disc_loss">Calculation!#REF!</definedName>
    <definedName name="ovd_fee_cnt_curve">#REF!</definedName>
    <definedName name="overdue_fee">Calculation!$C$70:$AA$70</definedName>
    <definedName name="payment_channel_cost">#REF!</definedName>
    <definedName name="PB">Calculation!$C$52:$AA$52</definedName>
    <definedName name="PB_act">Calculation!$C$56:$AA$56</definedName>
    <definedName name="PB_cur">Calculation!$C$57:$AA$57</definedName>
    <definedName name="PB_def">Calculation!$C$59:$AA$59</definedName>
    <definedName name="PB_dlq">Calculation!$C$58:$AA$58</definedName>
    <definedName name="PB_model">Calculation!$C$52:$AA$52</definedName>
    <definedName name="pclo">Calculation!$C$9</definedName>
    <definedName name="pd">Calculation!$C$8</definedName>
    <definedName name="pd_bucket_max">#REF!</definedName>
    <definedName name="pd_clbr">#REF!</definedName>
    <definedName name="perp_int_rate">#REF!</definedName>
    <definedName name="Perp_Serv">Calculation!$C$75:$AA$75</definedName>
    <definedName name="pmnt_fee">Calculation!#REF!</definedName>
    <definedName name="prev">Calculation!XFD:XFD</definedName>
    <definedName name="prev_">Calculation!XFA:XFA</definedName>
    <definedName name="prrr">#REF!</definedName>
    <definedName name="PV">Calculation!$B$104</definedName>
    <definedName name="px">Calculation!$C$9</definedName>
    <definedName name="recov">Calculation!$C$70:$AA$70</definedName>
    <definedName name="recovery">Calculation!$C$27</definedName>
    <definedName name="Recovery_disc">#REF!</definedName>
    <definedName name="regaular_repayment">#REF!</definedName>
    <definedName name="regular_payment">Calculation!$C$12</definedName>
    <definedName name="repayment">Calculation!$C$80:$AA$80</definedName>
    <definedName name="rv">#REF!</definedName>
    <definedName name="rw">#REF!</definedName>
    <definedName name="shareholders">Calculation!$C$104:$AA$104</definedName>
    <definedName name="statement_no">Calculation!$C$42:$AA$42</definedName>
    <definedName name="sum">#REF!</definedName>
    <definedName name="Tax">Calculation!$C$84:$AA$84</definedName>
    <definedName name="tax_rate">Calculation!$C$20</definedName>
    <definedName name="term">#REF!</definedName>
    <definedName name="to_bondholders">Calculation!$C$102:$AA$102</definedName>
    <definedName name="wro_rate_curve">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0" l="1"/>
  <c r="F13" i="10"/>
  <c r="F12" i="10"/>
  <c r="E12" i="10"/>
  <c r="E74" i="2" l="1"/>
  <c r="F74" i="2"/>
  <c r="D74" i="2"/>
  <c r="C64" i="2" l="1"/>
  <c r="C69" i="2"/>
  <c r="C68" i="2" s="1"/>
  <c r="C58" i="2"/>
  <c r="D77" i="2"/>
  <c r="C76" i="2"/>
  <c r="E70" i="2"/>
  <c r="F70" i="2"/>
  <c r="D70" i="2"/>
  <c r="C12" i="2"/>
  <c r="C52" i="2"/>
  <c r="D53" i="2" l="1"/>
  <c r="D52" i="2" s="1"/>
  <c r="C63" i="2"/>
  <c r="C62" i="2" s="1"/>
  <c r="D75" i="2" s="1"/>
  <c r="C57" i="2"/>
  <c r="C56" i="2" s="1"/>
  <c r="D69" i="2" l="1"/>
  <c r="D68" i="2" s="1"/>
  <c r="E53" i="2"/>
  <c r="C88" i="2"/>
  <c r="C90" i="2"/>
  <c r="C95" i="2" s="1"/>
  <c r="C91" i="2"/>
  <c r="C96" i="2" s="1"/>
  <c r="B100" i="2" l="1"/>
  <c r="C75" i="2" l="1"/>
  <c r="C102" i="2" l="1"/>
  <c r="C74" i="2"/>
  <c r="C73" i="2" s="1"/>
  <c r="C53" i="2"/>
  <c r="C99" i="2" l="1"/>
  <c r="S99" i="2" l="1"/>
  <c r="AA99" i="2"/>
  <c r="Q99" i="2"/>
  <c r="Z99" i="2"/>
  <c r="T99" i="2"/>
  <c r="V99" i="2"/>
  <c r="U99" i="2"/>
  <c r="Y99" i="2"/>
  <c r="R99" i="2"/>
  <c r="W99" i="2"/>
  <c r="P99" i="2"/>
  <c r="X99" i="2"/>
  <c r="D99" i="2"/>
  <c r="O99" i="2"/>
  <c r="J99" i="2"/>
  <c r="K99" i="2"/>
  <c r="L99" i="2"/>
  <c r="M99" i="2"/>
  <c r="N99" i="2"/>
  <c r="C43" i="2" l="1"/>
  <c r="D47" i="2" l="1"/>
  <c r="D76" i="2"/>
  <c r="D73" i="2" s="1"/>
  <c r="D46" i="2"/>
  <c r="C80" i="2"/>
  <c r="C101" i="2" s="1"/>
  <c r="I99" i="2"/>
  <c r="G99" i="2"/>
  <c r="E99" i="2"/>
  <c r="H99" i="2"/>
  <c r="F99" i="2"/>
  <c r="D43" i="2" l="1"/>
  <c r="D45" i="2" s="1"/>
  <c r="D64" i="2" s="1"/>
  <c r="D49" i="2"/>
  <c r="C83" i="2"/>
  <c r="C84" i="2" s="1"/>
  <c r="E47" i="2" l="1"/>
  <c r="E49" i="2" s="1"/>
  <c r="D58" i="2"/>
  <c r="C85" i="2"/>
  <c r="C104" i="2" s="1"/>
  <c r="C107" i="2" s="1"/>
  <c r="C103" i="2"/>
  <c r="E76" i="2"/>
  <c r="E46" i="2"/>
  <c r="E77" i="2" l="1"/>
  <c r="D44" i="2"/>
  <c r="D63" i="2" l="1"/>
  <c r="D57" i="2"/>
  <c r="D56" i="2" s="1"/>
  <c r="E69" i="2" s="1"/>
  <c r="E68" i="2" s="1"/>
  <c r="E43" i="2"/>
  <c r="F76" i="2" l="1"/>
  <c r="F47" i="2"/>
  <c r="F49" i="2" s="1"/>
  <c r="E45" i="2"/>
  <c r="F46" i="2"/>
  <c r="E58" i="2" l="1"/>
  <c r="F77" i="2"/>
  <c r="E44" i="2"/>
  <c r="F43" i="2" l="1"/>
  <c r="G76" i="2" l="1"/>
  <c r="G47" i="2"/>
  <c r="G49" i="2" s="1"/>
  <c r="G59" i="2" s="1"/>
  <c r="F45" i="2"/>
  <c r="G46" i="2"/>
  <c r="G77" i="2" l="1"/>
  <c r="F44" i="2"/>
  <c r="G43" i="2" l="1"/>
  <c r="H76" i="2" l="1"/>
  <c r="H47" i="2"/>
  <c r="G45" i="2"/>
  <c r="H46" i="2"/>
  <c r="H77" i="2" l="1"/>
  <c r="H49" i="2"/>
  <c r="G44" i="2"/>
  <c r="H43" i="2"/>
  <c r="I76" i="2" l="1"/>
  <c r="I47" i="2"/>
  <c r="I49" i="2" s="1"/>
  <c r="H59" i="2"/>
  <c r="H45" i="2"/>
  <c r="I46" i="2"/>
  <c r="I77" i="2" l="1"/>
  <c r="H44" i="2"/>
  <c r="I43" i="2" l="1"/>
  <c r="J76" i="2" l="1"/>
  <c r="J47" i="2"/>
  <c r="J49" i="2" s="1"/>
  <c r="I45" i="2"/>
  <c r="J46" i="2"/>
  <c r="J77" i="2" l="1"/>
  <c r="I44" i="2"/>
  <c r="J43" i="2"/>
  <c r="K76" i="2" l="1"/>
  <c r="K47" i="2"/>
  <c r="K49" i="2" s="1"/>
  <c r="J45" i="2"/>
  <c r="K46" i="2"/>
  <c r="K77" i="2" l="1"/>
  <c r="J44" i="2"/>
  <c r="K43" i="2"/>
  <c r="L76" i="2" l="1"/>
  <c r="L47" i="2"/>
  <c r="L49" i="2" s="1"/>
  <c r="K45" i="2"/>
  <c r="L46" i="2"/>
  <c r="L77" i="2" l="1"/>
  <c r="K44" i="2"/>
  <c r="L43" i="2"/>
  <c r="M76" i="2" l="1"/>
  <c r="M47" i="2"/>
  <c r="M49" i="2" s="1"/>
  <c r="L45" i="2"/>
  <c r="M46" i="2"/>
  <c r="M77" i="2" l="1"/>
  <c r="L44" i="2"/>
  <c r="M43" i="2"/>
  <c r="N76" i="2" l="1"/>
  <c r="N47" i="2"/>
  <c r="N49" i="2" s="1"/>
  <c r="M45" i="2"/>
  <c r="N46" i="2"/>
  <c r="N77" i="2" l="1"/>
  <c r="M44" i="2"/>
  <c r="N43" i="2"/>
  <c r="O47" i="2" s="1"/>
  <c r="O76" i="2" l="1"/>
  <c r="O49" i="2"/>
  <c r="N45" i="2"/>
  <c r="O46" i="2"/>
  <c r="O77" i="2" l="1"/>
  <c r="N44" i="2"/>
  <c r="O43" i="2" l="1"/>
  <c r="P76" i="2" l="1"/>
  <c r="P47" i="2"/>
  <c r="P49" i="2" s="1"/>
  <c r="O45" i="2"/>
  <c r="P46" i="2"/>
  <c r="P77" i="2" l="1"/>
  <c r="O44" i="2"/>
  <c r="P43" i="2"/>
  <c r="Q47" i="2" s="1"/>
  <c r="Q76" i="2" l="1"/>
  <c r="P45" i="2"/>
  <c r="Q46" i="2"/>
  <c r="Q49" i="2"/>
  <c r="Q77" i="2" l="1"/>
  <c r="P44" i="2"/>
  <c r="Q43" i="2"/>
  <c r="R47" i="2" s="1"/>
  <c r="R76" i="2" l="1"/>
  <c r="R46" i="2"/>
  <c r="R49" i="2"/>
  <c r="Q45" i="2"/>
  <c r="R77" i="2" l="1"/>
  <c r="Q44" i="2"/>
  <c r="R43" i="2"/>
  <c r="S47" i="2" s="1"/>
  <c r="R45" i="2" l="1"/>
  <c r="S76" i="2"/>
  <c r="S46" i="2"/>
  <c r="S49" i="2"/>
  <c r="S77" i="2" l="1"/>
  <c r="R44" i="2"/>
  <c r="S43" i="2"/>
  <c r="T47" i="2" s="1"/>
  <c r="S45" i="2" l="1"/>
  <c r="T76" i="2"/>
  <c r="T49" i="2"/>
  <c r="T46" i="2"/>
  <c r="T77" i="2" l="1"/>
  <c r="S44" i="2"/>
  <c r="T43" i="2"/>
  <c r="U47" i="2" s="1"/>
  <c r="U49" i="2" l="1"/>
  <c r="U76" i="2"/>
  <c r="T45" i="2"/>
  <c r="U46" i="2"/>
  <c r="U77" i="2" l="1"/>
  <c r="U43" i="2"/>
  <c r="T44" i="2"/>
  <c r="V46" i="2" l="1"/>
  <c r="V47" i="2"/>
  <c r="V49" i="2" s="1"/>
  <c r="U45" i="2"/>
  <c r="V76" i="2"/>
  <c r="V77" i="2" l="1"/>
  <c r="U44" i="2"/>
  <c r="V43" i="2"/>
  <c r="V45" i="2" l="1"/>
  <c r="W47" i="2"/>
  <c r="W49" i="2" s="1"/>
  <c r="W46" i="2"/>
  <c r="W76" i="2"/>
  <c r="W77" i="2" l="1"/>
  <c r="V44" i="2"/>
  <c r="W43" i="2"/>
  <c r="W45" i="2" l="1"/>
  <c r="X47" i="2"/>
  <c r="X49" i="2" s="1"/>
  <c r="X76" i="2"/>
  <c r="X46" i="2"/>
  <c r="W44" i="2" l="1"/>
  <c r="X77" i="2"/>
  <c r="X43" i="2"/>
  <c r="Y76" i="2" l="1"/>
  <c r="Y47" i="2"/>
  <c r="Y49" i="2" s="1"/>
  <c r="Y46" i="2"/>
  <c r="X45" i="2"/>
  <c r="X44" i="2" l="1"/>
  <c r="Y77" i="2"/>
  <c r="Y43" i="2"/>
  <c r="Y45" i="2" l="1"/>
  <c r="Z47" i="2"/>
  <c r="Z49" i="2" s="1"/>
  <c r="Z46" i="2"/>
  <c r="Z76" i="2"/>
  <c r="Z77" i="2" l="1"/>
  <c r="Y44" i="2"/>
  <c r="Z43" i="2"/>
  <c r="Z45" i="2" l="1"/>
  <c r="AA47" i="2"/>
  <c r="AA49" i="2" s="1"/>
  <c r="AA76" i="2"/>
  <c r="Z44" i="2" l="1"/>
  <c r="AA77" i="2"/>
  <c r="AA46" i="2"/>
  <c r="AA43" i="2" s="1"/>
  <c r="AA45" i="2" s="1"/>
  <c r="AA44" i="2" l="1"/>
  <c r="E52" i="2" l="1"/>
  <c r="F53" i="2" l="1"/>
  <c r="F52" i="2" s="1"/>
  <c r="F64" i="2" s="1"/>
  <c r="E64" i="2"/>
  <c r="I59" i="2"/>
  <c r="F58" i="2"/>
  <c r="E63" i="2"/>
  <c r="E57" i="2"/>
  <c r="E56" i="2" s="1"/>
  <c r="F69" i="2" s="1"/>
  <c r="F68" i="2" s="1"/>
  <c r="D83" i="2"/>
  <c r="D84" i="2" s="1"/>
  <c r="E62" i="2" l="1"/>
  <c r="F75" i="2" s="1"/>
  <c r="F63" i="2"/>
  <c r="G58" i="2"/>
  <c r="J59" i="2"/>
  <c r="F57" i="2"/>
  <c r="G53" i="2"/>
  <c r="E91" i="2" l="1"/>
  <c r="F73" i="2"/>
  <c r="E88" i="2"/>
  <c r="E90" i="2"/>
  <c r="F56" i="2"/>
  <c r="G69" i="2" s="1"/>
  <c r="G68" i="2" s="1"/>
  <c r="F62" i="2"/>
  <c r="G75" i="2" s="1"/>
  <c r="D103" i="2"/>
  <c r="G52" i="2"/>
  <c r="G65" i="2" l="1"/>
  <c r="G74" i="2" s="1"/>
  <c r="G64" i="2"/>
  <c r="F91" i="2"/>
  <c r="F96" i="2" s="1"/>
  <c r="D85" i="2"/>
  <c r="F88" i="2"/>
  <c r="F93" i="2" s="1"/>
  <c r="F90" i="2"/>
  <c r="F95" i="2" s="1"/>
  <c r="G63" i="2"/>
  <c r="H58" i="2"/>
  <c r="K59" i="2"/>
  <c r="G57" i="2"/>
  <c r="H53" i="2"/>
  <c r="G73" i="2" l="1"/>
  <c r="G70" i="2"/>
  <c r="F80" i="2"/>
  <c r="F101" i="2" s="1"/>
  <c r="F83" i="2"/>
  <c r="F84" i="2" s="1"/>
  <c r="G56" i="2"/>
  <c r="H69" i="2" s="1"/>
  <c r="H68" i="2" s="1"/>
  <c r="G62" i="2"/>
  <c r="H75" i="2" s="1"/>
  <c r="H52" i="2"/>
  <c r="H65" i="2" s="1"/>
  <c r="H74" i="2" l="1"/>
  <c r="H73" i="2" s="1"/>
  <c r="H64" i="2"/>
  <c r="G90" i="2"/>
  <c r="G95" i="2" s="1"/>
  <c r="G91" i="2"/>
  <c r="G96" i="2" s="1"/>
  <c r="G88" i="2"/>
  <c r="G93" i="2" s="1"/>
  <c r="H63" i="2"/>
  <c r="I58" i="2"/>
  <c r="L59" i="2"/>
  <c r="H57" i="2"/>
  <c r="F103" i="2"/>
  <c r="I53" i="2"/>
  <c r="H70" i="2" l="1"/>
  <c r="G80" i="2"/>
  <c r="G101" i="2" s="1"/>
  <c r="G83" i="2"/>
  <c r="F85" i="2"/>
  <c r="F104" i="2" s="1"/>
  <c r="H56" i="2"/>
  <c r="I69" i="2" s="1"/>
  <c r="I68" i="2" s="1"/>
  <c r="H62" i="2"/>
  <c r="I75" i="2" s="1"/>
  <c r="I52" i="2"/>
  <c r="I65" i="2" s="1"/>
  <c r="F102" i="2"/>
  <c r="I74" i="2" l="1"/>
  <c r="I64" i="2"/>
  <c r="H91" i="2"/>
  <c r="H96" i="2" s="1"/>
  <c r="H88" i="2"/>
  <c r="H93" i="2" s="1"/>
  <c r="H90" i="2"/>
  <c r="H95" i="2" s="1"/>
  <c r="I63" i="2"/>
  <c r="J58" i="2"/>
  <c r="M59" i="2"/>
  <c r="I57" i="2"/>
  <c r="G84" i="2"/>
  <c r="G103" i="2" s="1"/>
  <c r="G102" i="2"/>
  <c r="J53" i="2"/>
  <c r="I70" i="2" l="1"/>
  <c r="I73" i="2"/>
  <c r="H80" i="2"/>
  <c r="H101" i="2" s="1"/>
  <c r="H83" i="2"/>
  <c r="G85" i="2"/>
  <c r="G104" i="2" s="1"/>
  <c r="J52" i="2"/>
  <c r="J65" i="2" s="1"/>
  <c r="I56" i="2"/>
  <c r="J69" i="2" s="1"/>
  <c r="J68" i="2" s="1"/>
  <c r="I62" i="2"/>
  <c r="J75" i="2" s="1"/>
  <c r="J74" i="2" l="1"/>
  <c r="J64" i="2"/>
  <c r="I91" i="2"/>
  <c r="I96" i="2" s="1"/>
  <c r="I88" i="2"/>
  <c r="I93" i="2" s="1"/>
  <c r="I90" i="2"/>
  <c r="I95" i="2" s="1"/>
  <c r="J57" i="2"/>
  <c r="J56" i="2" s="1"/>
  <c r="K69" i="2" s="1"/>
  <c r="K68" i="2" s="1"/>
  <c r="N59" i="2"/>
  <c r="K58" i="2"/>
  <c r="J63" i="2"/>
  <c r="K53" i="2"/>
  <c r="K52" i="2" s="1"/>
  <c r="K65" i="2" s="1"/>
  <c r="H84" i="2"/>
  <c r="H103" i="2" s="1"/>
  <c r="J70" i="2" l="1"/>
  <c r="J73" i="2"/>
  <c r="K74" i="2"/>
  <c r="K64" i="2"/>
  <c r="I80" i="2"/>
  <c r="I101" i="2" s="1"/>
  <c r="I83" i="2"/>
  <c r="I84" i="2" s="1"/>
  <c r="H85" i="2"/>
  <c r="H104" i="2" s="1"/>
  <c r="J62" i="2"/>
  <c r="K75" i="2" s="1"/>
  <c r="K63" i="2"/>
  <c r="L58" i="2"/>
  <c r="O59" i="2"/>
  <c r="K57" i="2"/>
  <c r="H102" i="2"/>
  <c r="L53" i="2"/>
  <c r="J83" i="2" l="1"/>
  <c r="J84" i="2" s="1"/>
  <c r="J103" i="2" s="1"/>
  <c r="K70" i="2"/>
  <c r="J91" i="2"/>
  <c r="J96" i="2" s="1"/>
  <c r="K73" i="2"/>
  <c r="J88" i="2"/>
  <c r="J93" i="2" s="1"/>
  <c r="J90" i="2"/>
  <c r="J95" i="2" s="1"/>
  <c r="J80" i="2"/>
  <c r="J101" i="2" s="1"/>
  <c r="K56" i="2"/>
  <c r="L69" i="2" s="1"/>
  <c r="L68" i="2" s="1"/>
  <c r="K62" i="2"/>
  <c r="L75" i="2" s="1"/>
  <c r="I103" i="2"/>
  <c r="I102" i="2"/>
  <c r="L52" i="2"/>
  <c r="L65" i="2" s="1"/>
  <c r="L74" i="2" l="1"/>
  <c r="L64" i="2"/>
  <c r="K91" i="2"/>
  <c r="K96" i="2" s="1"/>
  <c r="J85" i="2"/>
  <c r="J104" i="2" s="1"/>
  <c r="I85" i="2"/>
  <c r="I104" i="2" s="1"/>
  <c r="K88" i="2"/>
  <c r="K93" i="2" s="1"/>
  <c r="K90" i="2"/>
  <c r="K95" i="2" s="1"/>
  <c r="L63" i="2"/>
  <c r="M58" i="2"/>
  <c r="P59" i="2"/>
  <c r="L57" i="2"/>
  <c r="J102" i="2"/>
  <c r="M53" i="2"/>
  <c r="L70" i="2" l="1"/>
  <c r="L73" i="2"/>
  <c r="K80" i="2"/>
  <c r="K101" i="2" s="1"/>
  <c r="K83" i="2"/>
  <c r="L56" i="2"/>
  <c r="M69" i="2" s="1"/>
  <c r="M68" i="2" s="1"/>
  <c r="L62" i="2"/>
  <c r="M75" i="2" s="1"/>
  <c r="M52" i="2"/>
  <c r="M65" i="2" s="1"/>
  <c r="M74" i="2" l="1"/>
  <c r="M64" i="2"/>
  <c r="L91" i="2"/>
  <c r="L96" i="2" s="1"/>
  <c r="L88" i="2"/>
  <c r="L93" i="2" s="1"/>
  <c r="L90" i="2"/>
  <c r="L95" i="2" s="1"/>
  <c r="M63" i="2"/>
  <c r="N58" i="2"/>
  <c r="Q59" i="2"/>
  <c r="M57" i="2"/>
  <c r="K84" i="2"/>
  <c r="K103" i="2" s="1"/>
  <c r="K102" i="2"/>
  <c r="N53" i="2"/>
  <c r="M70" i="2" l="1"/>
  <c r="M73" i="2"/>
  <c r="L80" i="2"/>
  <c r="L101" i="2" s="1"/>
  <c r="L83" i="2"/>
  <c r="K85" i="2"/>
  <c r="K104" i="2" s="1"/>
  <c r="M56" i="2"/>
  <c r="N69" i="2" s="1"/>
  <c r="N68" i="2" s="1"/>
  <c r="M62" i="2"/>
  <c r="N75" i="2" s="1"/>
  <c r="N52" i="2"/>
  <c r="N65" i="2" s="1"/>
  <c r="N74" i="2" l="1"/>
  <c r="N64" i="2"/>
  <c r="M91" i="2"/>
  <c r="M96" i="2" s="1"/>
  <c r="M88" i="2"/>
  <c r="M93" i="2" s="1"/>
  <c r="M90" i="2"/>
  <c r="M95" i="2" s="1"/>
  <c r="N63" i="2"/>
  <c r="O58" i="2"/>
  <c r="R59" i="2"/>
  <c r="N57" i="2"/>
  <c r="L84" i="2"/>
  <c r="L103" i="2" s="1"/>
  <c r="O53" i="2"/>
  <c r="N70" i="2" l="1"/>
  <c r="N73" i="2"/>
  <c r="M80" i="2"/>
  <c r="M101" i="2" s="1"/>
  <c r="M83" i="2"/>
  <c r="L85" i="2"/>
  <c r="L104" i="2" s="1"/>
  <c r="N56" i="2"/>
  <c r="O69" i="2" s="1"/>
  <c r="O68" i="2" s="1"/>
  <c r="L102" i="2"/>
  <c r="N62" i="2"/>
  <c r="O75" i="2" s="1"/>
  <c r="O52" i="2"/>
  <c r="O65" i="2" s="1"/>
  <c r="O74" i="2" l="1"/>
  <c r="O64" i="2"/>
  <c r="N91" i="2"/>
  <c r="N96" i="2" s="1"/>
  <c r="N88" i="2"/>
  <c r="N93" i="2" s="1"/>
  <c r="N90" i="2"/>
  <c r="N95" i="2" s="1"/>
  <c r="O63" i="2"/>
  <c r="P58" i="2"/>
  <c r="S59" i="2"/>
  <c r="O57" i="2"/>
  <c r="M84" i="2"/>
  <c r="M103" i="2" s="1"/>
  <c r="P53" i="2"/>
  <c r="O70" i="2" l="1"/>
  <c r="O73" i="2"/>
  <c r="N80" i="2"/>
  <c r="N101" i="2" s="1"/>
  <c r="N83" i="2"/>
  <c r="P52" i="2"/>
  <c r="P65" i="2" s="1"/>
  <c r="O56" i="2"/>
  <c r="P69" i="2" s="1"/>
  <c r="P68" i="2" s="1"/>
  <c r="M85" i="2"/>
  <c r="M104" i="2" s="1"/>
  <c r="M102" i="2"/>
  <c r="N102" i="2"/>
  <c r="O62" i="2"/>
  <c r="P75" i="2" s="1"/>
  <c r="P74" i="2" l="1"/>
  <c r="P64" i="2"/>
  <c r="O91" i="2"/>
  <c r="O96" i="2" s="1"/>
  <c r="O88" i="2"/>
  <c r="O93" i="2" s="1"/>
  <c r="O90" i="2"/>
  <c r="O95" i="2" s="1"/>
  <c r="Q53" i="2"/>
  <c r="Q52" i="2" s="1"/>
  <c r="Q65" i="2" s="1"/>
  <c r="T59" i="2"/>
  <c r="P63" i="2"/>
  <c r="P57" i="2"/>
  <c r="P56" i="2" s="1"/>
  <c r="Q69" i="2" s="1"/>
  <c r="Q68" i="2" s="1"/>
  <c r="Q58" i="2"/>
  <c r="N84" i="2"/>
  <c r="N103" i="2" s="1"/>
  <c r="P70" i="2" l="1"/>
  <c r="P73" i="2"/>
  <c r="Q74" i="2"/>
  <c r="Q64" i="2"/>
  <c r="O80" i="2"/>
  <c r="O101" i="2" s="1"/>
  <c r="O83" i="2"/>
  <c r="P62" i="2"/>
  <c r="Q75" i="2" s="1"/>
  <c r="Q63" i="2"/>
  <c r="R58" i="2"/>
  <c r="U59" i="2"/>
  <c r="Q57" i="2"/>
  <c r="N85" i="2"/>
  <c r="R53" i="2"/>
  <c r="P83" i="2" l="1"/>
  <c r="Q70" i="2"/>
  <c r="P91" i="2"/>
  <c r="P96" i="2" s="1"/>
  <c r="Q73" i="2"/>
  <c r="N104" i="2"/>
  <c r="P88" i="2"/>
  <c r="P93" i="2" s="1"/>
  <c r="P90" i="2"/>
  <c r="P95" i="2" s="1"/>
  <c r="P80" i="2"/>
  <c r="P101" i="2" s="1"/>
  <c r="Q56" i="2"/>
  <c r="R69" i="2" s="1"/>
  <c r="R68" i="2" s="1"/>
  <c r="O84" i="2"/>
  <c r="O103" i="2" s="1"/>
  <c r="O102" i="2"/>
  <c r="R52" i="2"/>
  <c r="R65" i="2" s="1"/>
  <c r="Q62" i="2"/>
  <c r="R75" i="2" s="1"/>
  <c r="R74" i="2" l="1"/>
  <c r="R64" i="2"/>
  <c r="Q91" i="2"/>
  <c r="Q96" i="2" s="1"/>
  <c r="O85" i="2"/>
  <c r="O104" i="2" s="1"/>
  <c r="Q88" i="2"/>
  <c r="Q93" i="2" s="1"/>
  <c r="Q90" i="2"/>
  <c r="Q95" i="2" s="1"/>
  <c r="R63" i="2"/>
  <c r="S58" i="2"/>
  <c r="V59" i="2"/>
  <c r="R57" i="2"/>
  <c r="P84" i="2"/>
  <c r="P103" i="2" s="1"/>
  <c r="S53" i="2"/>
  <c r="R70" i="2" l="1"/>
  <c r="R73" i="2"/>
  <c r="Q80" i="2"/>
  <c r="Q101" i="2" s="1"/>
  <c r="Q83" i="2"/>
  <c r="P85" i="2"/>
  <c r="P104" i="2" s="1"/>
  <c r="R56" i="2"/>
  <c r="S69" i="2" s="1"/>
  <c r="S68" i="2" s="1"/>
  <c r="P102" i="2"/>
  <c r="R62" i="2"/>
  <c r="S75" i="2" s="1"/>
  <c r="S52" i="2"/>
  <c r="S65" i="2" s="1"/>
  <c r="S74" i="2" l="1"/>
  <c r="S64" i="2"/>
  <c r="R91" i="2"/>
  <c r="R96" i="2" s="1"/>
  <c r="R88" i="2"/>
  <c r="R93" i="2" s="1"/>
  <c r="R90" i="2"/>
  <c r="R95" i="2" s="1"/>
  <c r="S63" i="2"/>
  <c r="T58" i="2"/>
  <c r="W59" i="2"/>
  <c r="S57" i="2"/>
  <c r="Q84" i="2"/>
  <c r="Q103" i="2" s="1"/>
  <c r="T53" i="2"/>
  <c r="S70" i="2" l="1"/>
  <c r="S73" i="2"/>
  <c r="R80" i="2"/>
  <c r="R101" i="2" s="1"/>
  <c r="R83" i="2"/>
  <c r="Q85" i="2"/>
  <c r="Q104" i="2" s="1"/>
  <c r="T52" i="2"/>
  <c r="T65" i="2" s="1"/>
  <c r="S56" i="2"/>
  <c r="T69" i="2" s="1"/>
  <c r="T68" i="2" s="1"/>
  <c r="Q102" i="2"/>
  <c r="S62" i="2"/>
  <c r="T75" i="2" s="1"/>
  <c r="T74" i="2" l="1"/>
  <c r="T64" i="2"/>
  <c r="S91" i="2"/>
  <c r="S96" i="2" s="1"/>
  <c r="S88" i="2"/>
  <c r="S93" i="2" s="1"/>
  <c r="S90" i="2"/>
  <c r="S95" i="2" s="1"/>
  <c r="T57" i="2"/>
  <c r="T56" i="2" s="1"/>
  <c r="U69" i="2" s="1"/>
  <c r="U68" i="2" s="1"/>
  <c r="X59" i="2"/>
  <c r="U53" i="2"/>
  <c r="U52" i="2" s="1"/>
  <c r="U65" i="2" s="1"/>
  <c r="U58" i="2"/>
  <c r="T63" i="2"/>
  <c r="R84" i="2"/>
  <c r="R103" i="2" s="1"/>
  <c r="T70" i="2" l="1"/>
  <c r="T73" i="2"/>
  <c r="U74" i="2"/>
  <c r="U64" i="2"/>
  <c r="S80" i="2"/>
  <c r="S101" i="2" s="1"/>
  <c r="S83" i="2"/>
  <c r="R85" i="2"/>
  <c r="R104" i="2" s="1"/>
  <c r="T62" i="2"/>
  <c r="U75" i="2" s="1"/>
  <c r="U63" i="2"/>
  <c r="V58" i="2"/>
  <c r="Y59" i="2"/>
  <c r="U57" i="2"/>
  <c r="R102" i="2"/>
  <c r="V53" i="2"/>
  <c r="T83" i="2" l="1"/>
  <c r="U70" i="2"/>
  <c r="T91" i="2"/>
  <c r="T96" i="2" s="1"/>
  <c r="U73" i="2"/>
  <c r="T88" i="2"/>
  <c r="T93" i="2" s="1"/>
  <c r="T90" i="2"/>
  <c r="T95" i="2" s="1"/>
  <c r="T80" i="2"/>
  <c r="T101" i="2" s="1"/>
  <c r="U56" i="2"/>
  <c r="V69" i="2" s="1"/>
  <c r="V68" i="2" s="1"/>
  <c r="U62" i="2"/>
  <c r="V75" i="2" s="1"/>
  <c r="S84" i="2"/>
  <c r="S103" i="2" s="1"/>
  <c r="V52" i="2"/>
  <c r="V65" i="2" s="1"/>
  <c r="V74" i="2" l="1"/>
  <c r="V64" i="2"/>
  <c r="U91" i="2"/>
  <c r="U96" i="2" s="1"/>
  <c r="S85" i="2"/>
  <c r="S104" i="2" s="1"/>
  <c r="U88" i="2"/>
  <c r="U93" i="2" s="1"/>
  <c r="U90" i="2"/>
  <c r="U95" i="2" s="1"/>
  <c r="V63" i="2"/>
  <c r="W58" i="2"/>
  <c r="Z59" i="2"/>
  <c r="V57" i="2"/>
  <c r="T84" i="2"/>
  <c r="T103" i="2" s="1"/>
  <c r="S102" i="2"/>
  <c r="W53" i="2"/>
  <c r="V70" i="2" l="1"/>
  <c r="V73" i="2"/>
  <c r="U80" i="2"/>
  <c r="U101" i="2" s="1"/>
  <c r="U83" i="2"/>
  <c r="T85" i="2"/>
  <c r="T104" i="2" s="1"/>
  <c r="V56" i="2"/>
  <c r="W69" i="2" s="1"/>
  <c r="W68" i="2" s="1"/>
  <c r="T102" i="2"/>
  <c r="V62" i="2"/>
  <c r="W75" i="2" s="1"/>
  <c r="W52" i="2"/>
  <c r="W65" i="2" s="1"/>
  <c r="W74" i="2" l="1"/>
  <c r="W64" i="2"/>
  <c r="V91" i="2"/>
  <c r="V96" i="2" s="1"/>
  <c r="V88" i="2"/>
  <c r="V93" i="2" s="1"/>
  <c r="V90" i="2"/>
  <c r="V95" i="2" s="1"/>
  <c r="W63" i="2"/>
  <c r="X58" i="2"/>
  <c r="AA59" i="2"/>
  <c r="W57" i="2"/>
  <c r="U84" i="2"/>
  <c r="U103" i="2" s="1"/>
  <c r="V83" i="2"/>
  <c r="X53" i="2"/>
  <c r="W70" i="2" l="1"/>
  <c r="W73" i="2"/>
  <c r="U85" i="2"/>
  <c r="U104" i="2" s="1"/>
  <c r="V80" i="2"/>
  <c r="V101" i="2" s="1"/>
  <c r="W56" i="2"/>
  <c r="X69" i="2" s="1"/>
  <c r="X68" i="2" s="1"/>
  <c r="V84" i="2"/>
  <c r="V103" i="2" s="1"/>
  <c r="U102" i="2"/>
  <c r="W62" i="2"/>
  <c r="X75" i="2" s="1"/>
  <c r="X52" i="2"/>
  <c r="X64" i="2" l="1"/>
  <c r="X65" i="2"/>
  <c r="X74" i="2" s="1"/>
  <c r="W91" i="2"/>
  <c r="W96" i="2" s="1"/>
  <c r="V85" i="2"/>
  <c r="V104" i="2" s="1"/>
  <c r="W88" i="2"/>
  <c r="W93" i="2" s="1"/>
  <c r="W90" i="2"/>
  <c r="W95" i="2" s="1"/>
  <c r="Y58" i="2"/>
  <c r="X63" i="2"/>
  <c r="X57" i="2"/>
  <c r="Y53" i="2"/>
  <c r="X73" i="2" l="1"/>
  <c r="W80" i="2"/>
  <c r="W101" i="2" s="1"/>
  <c r="W83" i="2"/>
  <c r="X70" i="2"/>
  <c r="X56" i="2"/>
  <c r="Y69" i="2" s="1"/>
  <c r="Y68" i="2" s="1"/>
  <c r="V102" i="2"/>
  <c r="Y52" i="2"/>
  <c r="X62" i="2"/>
  <c r="Y75" i="2" s="1"/>
  <c r="Y64" i="2" l="1"/>
  <c r="Y65" i="2"/>
  <c r="Y74" i="2" s="1"/>
  <c r="X91" i="2"/>
  <c r="X96" i="2" s="1"/>
  <c r="X88" i="2"/>
  <c r="X93" i="2" s="1"/>
  <c r="X90" i="2"/>
  <c r="X95" i="2" s="1"/>
  <c r="Z58" i="2"/>
  <c r="Y63" i="2"/>
  <c r="Y57" i="2"/>
  <c r="W84" i="2"/>
  <c r="W103" i="2" s="1"/>
  <c r="Z53" i="2"/>
  <c r="Y73" i="2" l="1"/>
  <c r="X80" i="2"/>
  <c r="X101" i="2" s="1"/>
  <c r="X83" i="2"/>
  <c r="Y70" i="2"/>
  <c r="W85" i="2"/>
  <c r="W104" i="2" s="1"/>
  <c r="Y56" i="2"/>
  <c r="Z69" i="2" s="1"/>
  <c r="Z68" i="2" s="1"/>
  <c r="W102" i="2"/>
  <c r="Y62" i="2"/>
  <c r="Z75" i="2" s="1"/>
  <c r="Z52" i="2"/>
  <c r="Z64" i="2" l="1"/>
  <c r="Z65" i="2"/>
  <c r="Z74" i="2" s="1"/>
  <c r="Y91" i="2"/>
  <c r="Y96" i="2" s="1"/>
  <c r="Y88" i="2"/>
  <c r="Y93" i="2" s="1"/>
  <c r="Y90" i="2"/>
  <c r="Y95" i="2" s="1"/>
  <c r="AA58" i="2"/>
  <c r="Z63" i="2"/>
  <c r="Z57" i="2"/>
  <c r="X84" i="2"/>
  <c r="X103" i="2" s="1"/>
  <c r="AA53" i="2"/>
  <c r="X92" i="2"/>
  <c r="Z73" i="2" l="1"/>
  <c r="Y80" i="2"/>
  <c r="Y101" i="2" s="1"/>
  <c r="Y83" i="2"/>
  <c r="Z70" i="2"/>
  <c r="X85" i="2"/>
  <c r="X104" i="2" s="1"/>
  <c r="AA52" i="2"/>
  <c r="AA65" i="2" s="1"/>
  <c r="Z56" i="2"/>
  <c r="AA69" i="2" s="1"/>
  <c r="AA68" i="2" s="1"/>
  <c r="Z62" i="2"/>
  <c r="AA75" i="2" s="1"/>
  <c r="Y92" i="2"/>
  <c r="X102" i="2"/>
  <c r="AA74" i="2" l="1"/>
  <c r="AA64" i="2"/>
  <c r="Z91" i="2"/>
  <c r="Z96" i="2" s="1"/>
  <c r="Z88" i="2"/>
  <c r="Z90" i="2"/>
  <c r="Z95" i="2" s="1"/>
  <c r="AA57" i="2"/>
  <c r="AA56" i="2" s="1"/>
  <c r="AA63" i="2"/>
  <c r="Y84" i="2"/>
  <c r="Y103" i="2" s="1"/>
  <c r="Y102" i="2"/>
  <c r="AA70" i="2" l="1"/>
  <c r="AA73" i="2"/>
  <c r="Z80" i="2"/>
  <c r="Z101" i="2" s="1"/>
  <c r="Z83" i="2"/>
  <c r="Y85" i="2"/>
  <c r="Y104" i="2" s="1"/>
  <c r="Z93" i="2"/>
  <c r="AA62" i="2"/>
  <c r="AA91" i="2" s="1"/>
  <c r="AA96" i="2" s="1"/>
  <c r="AA88" i="2" l="1"/>
  <c r="AA93" i="2" s="1"/>
  <c r="AA90" i="2"/>
  <c r="AA95" i="2" s="1"/>
  <c r="Z84" i="2"/>
  <c r="Z103" i="2" s="1"/>
  <c r="Z92" i="2"/>
  <c r="AA80" i="2" l="1"/>
  <c r="AA101" i="2" s="1"/>
  <c r="AA83" i="2"/>
  <c r="AA84" i="2" s="1"/>
  <c r="AA103" i="2" s="1"/>
  <c r="Z85" i="2"/>
  <c r="Z104" i="2" s="1"/>
  <c r="Z102" i="2"/>
  <c r="AA85" i="2" l="1"/>
  <c r="AA104" i="2" s="1"/>
  <c r="AA92" i="2"/>
  <c r="AA102" i="2" s="1"/>
  <c r="D62" i="2" l="1"/>
  <c r="E75" i="2" s="1"/>
  <c r="D91" i="2" l="1"/>
  <c r="D96" i="2" s="1"/>
  <c r="E73" i="2"/>
  <c r="E83" i="2" s="1"/>
  <c r="D88" i="2"/>
  <c r="D93" i="2" s="1"/>
  <c r="D90" i="2"/>
  <c r="D80" i="2"/>
  <c r="D101" i="2" s="1"/>
  <c r="E80" i="2"/>
  <c r="E101" i="2" s="1"/>
  <c r="D95" i="2" l="1"/>
  <c r="D104" i="2" s="1"/>
  <c r="D107" i="2" s="1"/>
  <c r="E95" i="2"/>
  <c r="B101" i="2"/>
  <c r="E96" i="2"/>
  <c r="E93" i="2"/>
  <c r="E84" i="2" l="1"/>
  <c r="E103" i="2" s="1"/>
  <c r="B103" i="2" s="1"/>
  <c r="D102" i="2"/>
  <c r="E85" i="2" l="1"/>
  <c r="E104" i="2" s="1"/>
  <c r="E102" i="2"/>
  <c r="B102" i="2" s="1"/>
  <c r="E107" i="2" l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B104" i="2"/>
</calcChain>
</file>

<file path=xl/sharedStrings.xml><?xml version="1.0" encoding="utf-8"?>
<sst xmlns="http://schemas.openxmlformats.org/spreadsheetml/2006/main" count="140" uniqueCount="122">
  <si>
    <t>General Assumptions</t>
  </si>
  <si>
    <t>PD</t>
  </si>
  <si>
    <t>Tariff Assumptions</t>
  </si>
  <si>
    <t>Operational cost</t>
  </si>
  <si>
    <t>Collection cost</t>
  </si>
  <si>
    <t>Monthly repayment</t>
  </si>
  <si>
    <t>Interest rate</t>
  </si>
  <si>
    <t>Tax Rate</t>
  </si>
  <si>
    <t>Cost Assumptions</t>
  </si>
  <si>
    <t>Current Accounts</t>
  </si>
  <si>
    <t>Delinquent Accounts</t>
  </si>
  <si>
    <t>GB_ACT</t>
  </si>
  <si>
    <t>GB_CUR</t>
  </si>
  <si>
    <t>Gross Balance of Delinquent Account</t>
  </si>
  <si>
    <t>GB_DLQ</t>
  </si>
  <si>
    <t>Cost of Funds</t>
  </si>
  <si>
    <t>Loan Loss</t>
  </si>
  <si>
    <t>Net Income before Tax</t>
  </si>
  <si>
    <t>Net_Income_Btax</t>
  </si>
  <si>
    <t>Tax</t>
  </si>
  <si>
    <t>Net_Income_Atax</t>
  </si>
  <si>
    <t>CASH FLOWS &amp; PV</t>
  </si>
  <si>
    <t>Coefficient Discount</t>
  </si>
  <si>
    <t>Coeff_discount</t>
  </si>
  <si>
    <t>Number Accounts</t>
  </si>
  <si>
    <t>pd</t>
  </si>
  <si>
    <t>tax_rate</t>
  </si>
  <si>
    <t>discount_rate</t>
  </si>
  <si>
    <t>operational_cost</t>
  </si>
  <si>
    <t>collection_cost</t>
  </si>
  <si>
    <t>Discounting Rate</t>
  </si>
  <si>
    <t>Financial Assumptions</t>
  </si>
  <si>
    <t>accnt_CUR</t>
  </si>
  <si>
    <t>accnt_DLQ</t>
  </si>
  <si>
    <t>Interest</t>
  </si>
  <si>
    <t>Planned Principal Balance</t>
  </si>
  <si>
    <t>Active Accounts</t>
  </si>
  <si>
    <t>accnt_ACT</t>
  </si>
  <si>
    <t>Closed Accounts</t>
  </si>
  <si>
    <t>accnt_CLO</t>
  </si>
  <si>
    <t>Net Income After Tax</t>
  </si>
  <si>
    <t>Net Income &amp; Net Balance</t>
  </si>
  <si>
    <t>Repayment</t>
  </si>
  <si>
    <t>PB_DLQ</t>
  </si>
  <si>
    <t>PB_CUR</t>
  </si>
  <si>
    <t>Cumulative Discounted Cash Flow to Shareholders</t>
  </si>
  <si>
    <t>Cumulative_PV</t>
  </si>
  <si>
    <t>Repayments</t>
  </si>
  <si>
    <t>repayment</t>
  </si>
  <si>
    <t>CoF</t>
  </si>
  <si>
    <t>Liabilities</t>
  </si>
  <si>
    <t>Assets</t>
  </si>
  <si>
    <t>assets</t>
  </si>
  <si>
    <t>Assets Change</t>
  </si>
  <si>
    <t>Eq_req</t>
  </si>
  <si>
    <t>Equity Requirement</t>
  </si>
  <si>
    <t>Fund_req</t>
  </si>
  <si>
    <t>Liabilities Cahnge</t>
  </si>
  <si>
    <t>Equity Requirement change</t>
  </si>
  <si>
    <t>Eq_req_chng</t>
  </si>
  <si>
    <t>assets_chng</t>
  </si>
  <si>
    <t>Funding Requirement</t>
  </si>
  <si>
    <t>Funding Requirement Change</t>
  </si>
  <si>
    <t>Fund_req_chng</t>
  </si>
  <si>
    <t>Assets &amp; Liabilities</t>
  </si>
  <si>
    <t xml:space="preserve">Gross Balance </t>
  </si>
  <si>
    <t>Recovery</t>
  </si>
  <si>
    <t>X_score</t>
  </si>
  <si>
    <t>Initial amount</t>
  </si>
  <si>
    <t>initial_term</t>
  </si>
  <si>
    <t>initial_amount</t>
  </si>
  <si>
    <t>regular_payment</t>
  </si>
  <si>
    <t>interest_rate</t>
  </si>
  <si>
    <t>Equity</t>
  </si>
  <si>
    <t>recovery</t>
  </si>
  <si>
    <t>DEF_Rate</t>
  </si>
  <si>
    <t>CLO_Rate</t>
  </si>
  <si>
    <t>Statement num</t>
  </si>
  <si>
    <t>DLNQ_Ratio</t>
  </si>
  <si>
    <t>Model Balance</t>
  </si>
  <si>
    <t>Interest model</t>
  </si>
  <si>
    <t>int_model</t>
  </si>
  <si>
    <t>PB_model</t>
  </si>
  <si>
    <t>Balances &amp; Repayments</t>
  </si>
  <si>
    <t>Principal Balance ACT</t>
  </si>
  <si>
    <t>PB_ACT</t>
  </si>
  <si>
    <t>Principal Balance CUR</t>
  </si>
  <si>
    <t>Principal balance DLQ</t>
  </si>
  <si>
    <t>Principal balance DEF</t>
  </si>
  <si>
    <t>PB_DEF</t>
  </si>
  <si>
    <t>Default accounts (90+)</t>
  </si>
  <si>
    <t>accnt_DEF</t>
  </si>
  <si>
    <t>Gross balance DEF</t>
  </si>
  <si>
    <t>GB_DEF</t>
  </si>
  <si>
    <t>Gross Profit</t>
  </si>
  <si>
    <t>Gross Loss</t>
  </si>
  <si>
    <t xml:space="preserve">Profit &amp; Loss </t>
  </si>
  <si>
    <t>Gross_profit</t>
  </si>
  <si>
    <t>cost_of_funds</t>
  </si>
  <si>
    <t>Operational costs</t>
  </si>
  <si>
    <t>Collection costs</t>
  </si>
  <si>
    <t>collect_cost</t>
  </si>
  <si>
    <t>Loan_loss</t>
  </si>
  <si>
    <t>Accounts Becoming Default</t>
  </si>
  <si>
    <t>accnt_b_def</t>
  </si>
  <si>
    <t>operation_cost</t>
  </si>
  <si>
    <t>Recov</t>
  </si>
  <si>
    <t>Cash Flow to client</t>
  </si>
  <si>
    <t>Cash Flow to bondholders</t>
  </si>
  <si>
    <t>Cash Flow to cost&amp;tax</t>
  </si>
  <si>
    <t>Cash Flow to shareholders</t>
  </si>
  <si>
    <t>Gross Balance  of Active Account</t>
  </si>
  <si>
    <t>Gross_loss</t>
  </si>
  <si>
    <t>pclo</t>
  </si>
  <si>
    <t>Insurance</t>
  </si>
  <si>
    <t>Gross Balance of Current Account</t>
  </si>
  <si>
    <t xml:space="preserve">int_rate </t>
  </si>
  <si>
    <t>+100руб</t>
  </si>
  <si>
    <t>-100руб</t>
  </si>
  <si>
    <t>1. Построить диаграмму распределения статусов, используя ваши кривые DLNQ ratio, CLO Rate, DEF Rate ( чтобы построить кривые для конкретного pd/x_score используйте метод линейной аппроксимации для каждого стейтмента)</t>
  </si>
  <si>
    <t>3. Нарисовать диаграмму изменения PV при измненеиях PD и X-score на 1%, аналогично диаграмме ниже</t>
  </si>
  <si>
    <r>
      <t xml:space="preserve">2. Добавить в нпв учет страховки - 1% прибыли от баланса </t>
    </r>
    <r>
      <rPr>
        <b/>
        <sz val="11"/>
        <color theme="1"/>
        <rFont val="Calibri"/>
        <family val="2"/>
        <scheme val="minor"/>
      </rPr>
      <t xml:space="preserve">основого долга </t>
    </r>
    <r>
      <rPr>
        <sz val="11"/>
        <color theme="1"/>
        <rFont val="Calibri"/>
        <family val="2"/>
        <scheme val="minor"/>
      </rPr>
      <t>за предыдущий месяц. На первый стейтмент доля клиентов, имеющих страховку - 80%, последующие стейтменты - 50%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</si>
</sst>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0.0%"/>
    <numFmt numFmtId="166" formatCode="0.00000%"/>
    <numFmt numFmtId="167" formatCode="_-* #,##0_р_._-;\-* #,##0_р_._-;_-* &quot;-&quot;??_р_.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FFFFFF"/>
      <name val="Calibri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3333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499984740745262"/>
      </bottom>
      <diagonal/>
    </border>
    <border>
      <left/>
      <right style="thin">
        <color theme="0" tint="-0.249977111117893"/>
      </right>
      <top/>
      <bottom style="thin">
        <color theme="1" tint="0.499984740745262"/>
      </bottom>
      <diagonal/>
    </border>
  </borders>
  <cellStyleXfs count="11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/>
    <xf numFmtId="1" fontId="0" fillId="2" borderId="2" xfId="0" applyNumberFormat="1" applyFill="1" applyBorder="1"/>
    <xf numFmtId="0" fontId="0" fillId="2" borderId="3" xfId="0" applyFill="1" applyBorder="1"/>
    <xf numFmtId="2" fontId="0" fillId="2" borderId="0" xfId="1" applyNumberFormat="1" applyFont="1" applyFill="1" applyBorder="1"/>
    <xf numFmtId="0" fontId="0" fillId="2" borderId="7" xfId="0" applyFill="1" applyBorder="1"/>
    <xf numFmtId="9" fontId="0" fillId="0" borderId="0" xfId="0" applyNumberFormat="1"/>
    <xf numFmtId="0" fontId="0" fillId="3" borderId="0" xfId="0" applyFill="1"/>
    <xf numFmtId="0" fontId="10" fillId="3" borderId="0" xfId="0" applyFont="1" applyFill="1"/>
    <xf numFmtId="0" fontId="17" fillId="3" borderId="0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9" fontId="15" fillId="3" borderId="1" xfId="2" applyFont="1" applyFill="1" applyBorder="1" applyAlignment="1">
      <alignment horizontal="right" wrapText="1"/>
    </xf>
    <xf numFmtId="0" fontId="15" fillId="3" borderId="6" xfId="0" applyFont="1" applyFill="1" applyBorder="1" applyAlignment="1">
      <alignment wrapText="1"/>
    </xf>
    <xf numFmtId="0" fontId="15" fillId="3" borderId="1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wrapText="1"/>
    </xf>
    <xf numFmtId="1" fontId="15" fillId="3" borderId="1" xfId="0" applyNumberFormat="1" applyFont="1" applyFill="1" applyBorder="1" applyAlignment="1">
      <alignment horizontal="right" wrapText="1"/>
    </xf>
    <xf numFmtId="0" fontId="15" fillId="3" borderId="0" xfId="0" applyFont="1" applyFill="1" applyBorder="1" applyAlignment="1">
      <alignment wrapText="1"/>
    </xf>
    <xf numFmtId="9" fontId="15" fillId="3" borderId="1" xfId="0" applyNumberFormat="1" applyFont="1" applyFill="1" applyBorder="1" applyAlignment="1">
      <alignment horizontal="right" wrapText="1"/>
    </xf>
    <xf numFmtId="0" fontId="18" fillId="3" borderId="4" xfId="0" applyFont="1" applyFill="1" applyBorder="1" applyAlignment="1">
      <alignment wrapText="1"/>
    </xf>
    <xf numFmtId="165" fontId="15" fillId="3" borderId="1" xfId="0" applyNumberFormat="1" applyFont="1" applyFill="1" applyBorder="1" applyAlignment="1">
      <alignment horizontal="right" wrapText="1"/>
    </xf>
    <xf numFmtId="0" fontId="18" fillId="3" borderId="0" xfId="0" applyFont="1" applyFill="1" applyBorder="1" applyAlignment="1">
      <alignment wrapText="1"/>
    </xf>
    <xf numFmtId="2" fontId="0" fillId="3" borderId="0" xfId="1" applyNumberFormat="1" applyFont="1" applyFill="1" applyBorder="1"/>
    <xf numFmtId="2" fontId="11" fillId="3" borderId="0" xfId="1" applyNumberFormat="1" applyFont="1" applyFill="1" applyBorder="1"/>
    <xf numFmtId="165" fontId="0" fillId="3" borderId="0" xfId="2" applyNumberFormat="1" applyFont="1" applyFill="1" applyBorder="1"/>
    <xf numFmtId="0" fontId="0" fillId="3" borderId="10" xfId="0" applyFill="1" applyBorder="1"/>
    <xf numFmtId="2" fontId="0" fillId="3" borderId="0" xfId="0" applyNumberFormat="1" applyFill="1"/>
    <xf numFmtId="0" fontId="0" fillId="3" borderId="0" xfId="0" applyFill="1" applyBorder="1"/>
    <xf numFmtId="9" fontId="7" fillId="3" borderId="0" xfId="2" applyNumberFormat="1" applyFont="1" applyFill="1" applyBorder="1"/>
    <xf numFmtId="165" fontId="7" fillId="3" borderId="0" xfId="2" applyNumberFormat="1" applyFont="1" applyFill="1" applyBorder="1"/>
    <xf numFmtId="0" fontId="19" fillId="3" borderId="0" xfId="0" applyFont="1" applyFill="1" applyBorder="1" applyAlignment="1">
      <alignment horizontal="left" indent="1"/>
    </xf>
    <xf numFmtId="0" fontId="19" fillId="3" borderId="10" xfId="0" applyFont="1" applyFill="1" applyBorder="1" applyAlignment="1">
      <alignment horizontal="left" indent="1"/>
    </xf>
    <xf numFmtId="9" fontId="7" fillId="3" borderId="11" xfId="2" applyNumberFormat="1" applyFont="1" applyFill="1" applyBorder="1"/>
    <xf numFmtId="9" fontId="7" fillId="3" borderId="2" xfId="2" applyNumberFormat="1" applyFont="1" applyFill="1" applyBorder="1"/>
    <xf numFmtId="165" fontId="7" fillId="3" borderId="2" xfId="2" applyNumberFormat="1" applyFont="1" applyFill="1" applyBorder="1"/>
    <xf numFmtId="2" fontId="0" fillId="3" borderId="10" xfId="0" applyNumberFormat="1" applyFill="1" applyBorder="1"/>
    <xf numFmtId="2" fontId="7" fillId="3" borderId="0" xfId="1" applyNumberFormat="1" applyFont="1" applyFill="1" applyBorder="1"/>
    <xf numFmtId="9" fontId="0" fillId="3" borderId="0" xfId="2" applyNumberFormat="1" applyFont="1" applyFill="1"/>
    <xf numFmtId="165" fontId="0" fillId="3" borderId="0" xfId="2" applyNumberFormat="1" applyFont="1" applyFill="1"/>
    <xf numFmtId="10" fontId="0" fillId="3" borderId="0" xfId="2" applyNumberFormat="1" applyFont="1" applyFill="1"/>
    <xf numFmtId="10" fontId="0" fillId="3" borderId="0" xfId="0" applyNumberFormat="1" applyFill="1"/>
    <xf numFmtId="10" fontId="5" fillId="3" borderId="0" xfId="2" applyNumberFormat="1" applyFont="1" applyFill="1" applyBorder="1"/>
    <xf numFmtId="166" fontId="10" fillId="3" borderId="0" xfId="0" applyNumberFormat="1" applyFont="1" applyFill="1" applyBorder="1"/>
    <xf numFmtId="0" fontId="10" fillId="3" borderId="0" xfId="0" applyFont="1" applyFill="1" applyBorder="1"/>
    <xf numFmtId="1" fontId="10" fillId="3" borderId="0" xfId="2" applyNumberFormat="1" applyFont="1" applyFill="1"/>
    <xf numFmtId="167" fontId="0" fillId="3" borderId="0" xfId="1" applyNumberFormat="1" applyFont="1" applyFill="1" applyBorder="1"/>
    <xf numFmtId="1" fontId="8" fillId="3" borderId="0" xfId="1" applyNumberFormat="1" applyFont="1" applyFill="1" applyBorder="1"/>
    <xf numFmtId="1" fontId="0" fillId="3" borderId="0" xfId="1" applyNumberFormat="1" applyFont="1" applyFill="1" applyBorder="1"/>
    <xf numFmtId="1" fontId="0" fillId="3" borderId="11" xfId="0" applyNumberFormat="1" applyFill="1" applyBorder="1"/>
    <xf numFmtId="1" fontId="0" fillId="3" borderId="2" xfId="0" applyNumberFormat="1" applyFill="1" applyBorder="1"/>
    <xf numFmtId="1" fontId="0" fillId="3" borderId="10" xfId="1" applyNumberFormat="1" applyFont="1" applyFill="1" applyBorder="1"/>
    <xf numFmtId="1" fontId="0" fillId="3" borderId="0" xfId="0" applyNumberFormat="1" applyFill="1" applyBorder="1"/>
    <xf numFmtId="10" fontId="10" fillId="3" borderId="0" xfId="2" applyNumberFormat="1" applyFont="1" applyFill="1"/>
    <xf numFmtId="1" fontId="0" fillId="3" borderId="10" xfId="0" applyNumberFormat="1" applyFill="1" applyBorder="1"/>
    <xf numFmtId="0" fontId="14" fillId="3" borderId="0" xfId="0" applyFont="1" applyFill="1" applyBorder="1" applyAlignment="1">
      <alignment horizontal="left" indent="1"/>
    </xf>
    <xf numFmtId="0" fontId="14" fillId="3" borderId="10" xfId="0" applyFont="1" applyFill="1" applyBorder="1" applyAlignment="1">
      <alignment horizontal="left" indent="1"/>
    </xf>
    <xf numFmtId="1" fontId="11" fillId="3" borderId="0" xfId="0" applyNumberFormat="1" applyFont="1" applyFill="1"/>
    <xf numFmtId="1" fontId="10" fillId="3" borderId="0" xfId="0" applyNumberFormat="1" applyFont="1" applyFill="1"/>
    <xf numFmtId="0" fontId="0" fillId="3" borderId="2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12" xfId="0" applyFill="1" applyBorder="1"/>
    <xf numFmtId="1" fontId="0" fillId="3" borderId="3" xfId="0" applyNumberFormat="1" applyFill="1" applyBorder="1"/>
    <xf numFmtId="0" fontId="13" fillId="3" borderId="10" xfId="0" applyFont="1" applyFill="1" applyBorder="1"/>
    <xf numFmtId="2" fontId="12" fillId="3" borderId="0" xfId="0" applyNumberFormat="1" applyFont="1" applyFill="1"/>
    <xf numFmtId="165" fontId="13" fillId="3" borderId="10" xfId="2" applyNumberFormat="1" applyFont="1" applyFill="1" applyBorder="1" applyAlignment="1">
      <alignment horizontal="center"/>
    </xf>
    <xf numFmtId="1" fontId="0" fillId="3" borderId="0" xfId="0" applyNumberFormat="1" applyFill="1"/>
    <xf numFmtId="1" fontId="6" fillId="3" borderId="10" xfId="0" applyNumberFormat="1" applyFont="1" applyFill="1" applyBorder="1"/>
    <xf numFmtId="1" fontId="6" fillId="3" borderId="0" xfId="0" applyNumberFormat="1" applyFont="1" applyFill="1"/>
    <xf numFmtId="0" fontId="0" fillId="3" borderId="7" xfId="0" applyFill="1" applyBorder="1"/>
    <xf numFmtId="1" fontId="0" fillId="3" borderId="9" xfId="0" applyNumberFormat="1" applyFill="1" applyBorder="1"/>
    <xf numFmtId="1" fontId="0" fillId="3" borderId="7" xfId="0" applyNumberFormat="1" applyFill="1" applyBorder="1"/>
    <xf numFmtId="0" fontId="13" fillId="3" borderId="0" xfId="0" applyFont="1" applyFill="1"/>
    <xf numFmtId="1" fontId="13" fillId="3" borderId="0" xfId="0" applyNumberFormat="1" applyFont="1" applyFill="1"/>
    <xf numFmtId="0" fontId="0" fillId="3" borderId="8" xfId="0" applyFill="1" applyBorder="1"/>
    <xf numFmtId="1" fontId="0" fillId="3" borderId="0" xfId="2" applyNumberFormat="1" applyFont="1" applyFill="1"/>
    <xf numFmtId="0" fontId="16" fillId="4" borderId="1" xfId="0" applyFont="1" applyFill="1" applyBorder="1" applyAlignment="1">
      <alignment wrapText="1"/>
    </xf>
    <xf numFmtId="0" fontId="0" fillId="3" borderId="0" xfId="0" quotePrefix="1" applyFill="1"/>
  </cellXfs>
  <cellStyles count="11">
    <cellStyle name="Обычный" xfId="0" builtinId="0"/>
    <cellStyle name="Обычный 2" xfId="3" xr:uid="{00000000-0005-0000-0000-000001000000}"/>
    <cellStyle name="Обычный 3" xfId="6" xr:uid="{00000000-0005-0000-0000-000002000000}"/>
    <cellStyle name="Обычный 4" xfId="8" xr:uid="{00000000-0005-0000-0000-000003000000}"/>
    <cellStyle name="Обычный 7" xfId="10" xr:uid="{00000000-0005-0000-0000-000004000000}"/>
    <cellStyle name="Обычный 8" xfId="9" xr:uid="{00000000-0005-0000-0000-000005000000}"/>
    <cellStyle name="Процентный" xfId="2" builtinId="5"/>
    <cellStyle name="Процентный 2" xfId="5" xr:uid="{00000000-0005-0000-0000-000007000000}"/>
    <cellStyle name="Процентный 3" xfId="7" xr:uid="{00000000-0005-0000-0000-000008000000}"/>
    <cellStyle name="Финансовый" xfId="1" builtinId="3"/>
    <cellStyle name="Финансовый 2" xfId="4" xr:uid="{00000000-0005-0000-0000-00000A000000}"/>
  </cellStyles>
  <dxfs count="0"/>
  <tableStyles count="0" defaultTableStyle="TableStyleMedium2" defaultPivotStyle="PivotStyleMedium9"/>
  <colors>
    <mruColors>
      <color rgb="FFD8D8D8"/>
      <color rgb="FFB1C5FA"/>
      <color rgb="FFFF7B75"/>
      <color rgb="FF333333"/>
      <color rgb="FFAFAFAF"/>
      <color rgb="FFFFFB2D"/>
      <color rgb="FFB0D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Calculation!$B$44</c:f>
              <c:strCache>
                <c:ptCount val="1"/>
                <c:pt idx="0">
                  <c:v>accnt_CUR</c:v>
                </c:pt>
              </c:strCache>
            </c:strRef>
          </c:tx>
          <c:spPr>
            <a:solidFill>
              <a:srgbClr val="AFAFAF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Calculation!$C$44:$AA$44</c:f>
              <c:numCache>
                <c:formatCode>0.0%</c:formatCode>
                <c:ptCount val="25"/>
                <c:pt idx="0" formatCode="0%">
                  <c:v>1</c:v>
                </c:pt>
                <c:pt idx="1">
                  <c:v>0.87038949593936832</c:v>
                </c:pt>
                <c:pt idx="2">
                  <c:v>0.83880806823710341</c:v>
                </c:pt>
                <c:pt idx="3">
                  <c:v>0.80871308216041293</c:v>
                </c:pt>
                <c:pt idx="4">
                  <c:v>0.77490997989810739</c:v>
                </c:pt>
                <c:pt idx="5">
                  <c:v>0.74584085709814685</c:v>
                </c:pt>
                <c:pt idx="6">
                  <c:v>0.71689191531991492</c:v>
                </c:pt>
                <c:pt idx="7">
                  <c:v>0.68827036538755992</c:v>
                </c:pt>
                <c:pt idx="8">
                  <c:v>0.66013341663950087</c:v>
                </c:pt>
                <c:pt idx="9">
                  <c:v>0.63260320403009185</c:v>
                </c:pt>
                <c:pt idx="10">
                  <c:v>0.60577530465054585</c:v>
                </c:pt>
                <c:pt idx="11">
                  <c:v>0.57972416582432451</c:v>
                </c:pt>
                <c:pt idx="12">
                  <c:v>0.55450688091931699</c:v>
                </c:pt>
                <c:pt idx="13">
                  <c:v>0.53016600436500194</c:v>
                </c:pt>
                <c:pt idx="14">
                  <c:v>0.50673176661361641</c:v>
                </c:pt>
                <c:pt idx="15">
                  <c:v>0.48422388933284483</c:v>
                </c:pt>
                <c:pt idx="16">
                  <c:v>0.46265311781608914</c:v>
                </c:pt>
                <c:pt idx="17">
                  <c:v>0.44202254199851043</c:v>
                </c:pt>
                <c:pt idx="18">
                  <c:v>0.42232875144981763</c:v>
                </c:pt>
                <c:pt idx="19">
                  <c:v>0.40356285437836847</c:v>
                </c:pt>
                <c:pt idx="20">
                  <c:v>0.38571138140614569</c:v>
                </c:pt>
                <c:pt idx="21">
                  <c:v>0.3687570891488578</c:v>
                </c:pt>
                <c:pt idx="22">
                  <c:v>0.35267967503977599</c:v>
                </c:pt>
                <c:pt idx="23">
                  <c:v>0.33745641254058478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1-4F5D-960C-417CB480B651}"/>
            </c:ext>
          </c:extLst>
        </c:ser>
        <c:ser>
          <c:idx val="1"/>
          <c:order val="1"/>
          <c:tx>
            <c:strRef>
              <c:f>Calculation!$B$45</c:f>
              <c:strCache>
                <c:ptCount val="1"/>
                <c:pt idx="0">
                  <c:v>accnt_DLQ</c:v>
                </c:pt>
              </c:strCache>
            </c:strRef>
          </c:tx>
          <c:spPr>
            <a:solidFill>
              <a:srgbClr val="FF7B75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Calculation!$C$45:$AA$45</c:f>
              <c:numCache>
                <c:formatCode>0.0%</c:formatCode>
                <c:ptCount val="25"/>
                <c:pt idx="0" formatCode="0%">
                  <c:v>0</c:v>
                </c:pt>
                <c:pt idx="1">
                  <c:v>9.0977361855557215E-2</c:v>
                </c:pt>
                <c:pt idx="2">
                  <c:v>0.10308424378134776</c:v>
                </c:pt>
                <c:pt idx="3">
                  <c:v>0.11219778588880508</c:v>
                </c:pt>
                <c:pt idx="4">
                  <c:v>9.5137314336294798E-2</c:v>
                </c:pt>
                <c:pt idx="5">
                  <c:v>9.6332124434444125E-2</c:v>
                </c:pt>
                <c:pt idx="6">
                  <c:v>9.7066350471085458E-2</c:v>
                </c:pt>
                <c:pt idx="7">
                  <c:v>9.7380145061124593E-2</c:v>
                </c:pt>
                <c:pt idx="8">
                  <c:v>9.7311828046141566E-2</c:v>
                </c:pt>
                <c:pt idx="9">
                  <c:v>9.6898384131500412E-2</c:v>
                </c:pt>
                <c:pt idx="10">
                  <c:v>9.6175545347815306E-2</c:v>
                </c:pt>
                <c:pt idx="11">
                  <c:v>9.5177716120661851E-2</c:v>
                </c:pt>
                <c:pt idx="12">
                  <c:v>9.3937846083589141E-2</c:v>
                </c:pt>
                <c:pt idx="13">
                  <c:v>9.2487297262935031E-2</c:v>
                </c:pt>
                <c:pt idx="14">
                  <c:v>9.0855726951205348E-2</c:v>
                </c:pt>
                <c:pt idx="15">
                  <c:v>8.9070995592952909E-2</c:v>
                </c:pt>
                <c:pt idx="16">
                  <c:v>8.7159102930431442E-2</c:v>
                </c:pt>
                <c:pt idx="17">
                  <c:v>8.5144152438464835E-2</c:v>
                </c:pt>
                <c:pt idx="18">
                  <c:v>8.3048342344717488E-2</c:v>
                </c:pt>
                <c:pt idx="19">
                  <c:v>8.0891980618602838E-2</c:v>
                </c:pt>
                <c:pt idx="20">
                  <c:v>7.8693520876578382E-2</c:v>
                </c:pt>
                <c:pt idx="21">
                  <c:v>7.6469616005454474E-2</c:v>
                </c:pt>
                <c:pt idx="22">
                  <c:v>7.4235186339181358E-2</c:v>
                </c:pt>
                <c:pt idx="23">
                  <c:v>7.200349937121317E-2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1-4F5D-960C-417CB480B651}"/>
            </c:ext>
          </c:extLst>
        </c:ser>
        <c:ser>
          <c:idx val="2"/>
          <c:order val="2"/>
          <c:tx>
            <c:strRef>
              <c:f>Calculation!$B$46</c:f>
              <c:strCache>
                <c:ptCount val="1"/>
                <c:pt idx="0">
                  <c:v>accnt_CLO</c:v>
                </c:pt>
              </c:strCache>
            </c:strRef>
          </c:tx>
          <c:spPr>
            <a:solidFill>
              <a:srgbClr val="B1C5FA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Calculation!$C$46:$AA$46</c:f>
              <c:numCache>
                <c:formatCode>0.0%</c:formatCode>
                <c:ptCount val="25"/>
                <c:pt idx="0" formatCode="0%">
                  <c:v>0</c:v>
                </c:pt>
                <c:pt idx="1">
                  <c:v>3.863314220507455E-2</c:v>
                </c:pt>
                <c:pt idx="2">
                  <c:v>5.8107687981548903E-2</c:v>
                </c:pt>
                <c:pt idx="3">
                  <c:v>7.9089131950782043E-2</c:v>
                </c:pt>
                <c:pt idx="4">
                  <c:v>0.10074544052218617</c:v>
                </c:pt>
                <c:pt idx="5">
                  <c:v>0.121996000047479</c:v>
                </c:pt>
                <c:pt idx="6">
                  <c:v>0.14317341225233035</c:v>
                </c:pt>
                <c:pt idx="7">
                  <c:v>0.16413042952254109</c:v>
                </c:pt>
                <c:pt idx="8">
                  <c:v>0.18476416220989186</c:v>
                </c:pt>
                <c:pt idx="9">
                  <c:v>0.20500050937786793</c:v>
                </c:pt>
                <c:pt idx="10">
                  <c:v>0.22478554182363633</c:v>
                </c:pt>
                <c:pt idx="11">
                  <c:v>0.24408024257347372</c:v>
                </c:pt>
                <c:pt idx="12">
                  <c:v>0.26285704601667209</c:v>
                </c:pt>
                <c:pt idx="13">
                  <c:v>0.28109742040865643</c:v>
                </c:pt>
                <c:pt idx="14">
                  <c:v>0.29879009581880905</c:v>
                </c:pt>
                <c:pt idx="15">
                  <c:v>0.31592971357112637</c:v>
                </c:pt>
                <c:pt idx="16">
                  <c:v>0.33251576417504514</c:v>
                </c:pt>
                <c:pt idx="17">
                  <c:v>0.34855173110136967</c:v>
                </c:pt>
                <c:pt idx="18">
                  <c:v>0.36404438699065789</c:v>
                </c:pt>
                <c:pt idx="19">
                  <c:v>0.37900320653621167</c:v>
                </c:pt>
                <c:pt idx="20">
                  <c:v>0.39343987131231534</c:v>
                </c:pt>
                <c:pt idx="21">
                  <c:v>0.4073678489126652</c:v>
                </c:pt>
                <c:pt idx="22">
                  <c:v>0.42080203344823369</c:v>
                </c:pt>
                <c:pt idx="23">
                  <c:v>0.43375843762177074</c:v>
                </c:pt>
                <c:pt idx="24">
                  <c:v>0.83910290137853016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1-4F5D-960C-417CB480B651}"/>
            </c:ext>
          </c:extLst>
        </c:ser>
        <c:ser>
          <c:idx val="3"/>
          <c:order val="3"/>
          <c:tx>
            <c:strRef>
              <c:f>Calculation!$B$47</c:f>
              <c:strCache>
                <c:ptCount val="1"/>
                <c:pt idx="0">
                  <c:v>accnt_DEF</c:v>
                </c:pt>
              </c:strCache>
            </c:strRef>
          </c:tx>
          <c:spPr>
            <a:solidFill>
              <a:srgbClr val="333333"/>
            </a:solidFill>
          </c:spPr>
          <c:cat>
            <c:numRef>
              <c:f>Calculation!$C$34:$AA$34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Calculation!$C$47:$AA$47</c:f>
              <c:numCache>
                <c:formatCode>0.0%</c:formatCode>
                <c:ptCount val="25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2.9207265243411714E-2</c:v>
                </c:pt>
                <c:pt idx="5">
                  <c:v>3.5831018419929972E-2</c:v>
                </c:pt>
                <c:pt idx="6">
                  <c:v>4.2868321956669279E-2</c:v>
                </c:pt>
                <c:pt idx="7">
                  <c:v>5.0219060028774361E-2</c:v>
                </c:pt>
                <c:pt idx="8">
                  <c:v>5.7790593104465625E-2</c:v>
                </c:pt>
                <c:pt idx="9">
                  <c:v>6.5497902460539756E-2</c:v>
                </c:pt>
                <c:pt idx="10">
                  <c:v>7.3263608178002454E-2</c:v>
                </c:pt>
                <c:pt idx="11">
                  <c:v>8.1017875481539908E-2</c:v>
                </c:pt>
                <c:pt idx="12">
                  <c:v>8.8698226980421777E-2</c:v>
                </c:pt>
                <c:pt idx="13">
                  <c:v>9.6249277963406682E-2</c:v>
                </c:pt>
                <c:pt idx="14">
                  <c:v>0.10362241061636927</c:v>
                </c:pt>
                <c:pt idx="15">
                  <c:v>0.11077540150307587</c:v>
                </c:pt>
                <c:pt idx="16">
                  <c:v>0.11767201507843429</c:v>
                </c:pt>
                <c:pt idx="17">
                  <c:v>0.12428157446165509</c:v>
                </c:pt>
                <c:pt idx="18">
                  <c:v>0.13057851921480698</c:v>
                </c:pt>
                <c:pt idx="19">
                  <c:v>0.13654195846681705</c:v>
                </c:pt>
                <c:pt idx="20">
                  <c:v>0.14215522640496056</c:v>
                </c:pt>
                <c:pt idx="21">
                  <c:v>0.14740544593302246</c:v>
                </c:pt>
                <c:pt idx="22">
                  <c:v>0.15228310517280896</c:v>
                </c:pt>
                <c:pt idx="23">
                  <c:v>0.1567816504664313</c:v>
                </c:pt>
                <c:pt idx="24">
                  <c:v>0.16089709862146986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1-4F5D-960C-417CB480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67840"/>
        <c:axId val="1212564608"/>
      </c:areaChart>
      <c:catAx>
        <c:axId val="1045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564608"/>
        <c:crosses val="autoZero"/>
        <c:auto val="1"/>
        <c:lblAlgn val="ctr"/>
        <c:lblOffset val="100"/>
        <c:noMultiLvlLbl val="0"/>
      </c:catAx>
      <c:valAx>
        <c:axId val="121256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50678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solidFill>
      <a:srgbClr val="D8D8D8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171-8ACE-9B30B22814ED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1-4171-8ACE-9B30B2281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7-40D7-8DD0-1F375DC14EFF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7-40D7-8DD0-1F375DC1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  <c:max val="4000"/>
          <c:min val="-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6581862910706"/>
          <c:y val="0.31656052427408837"/>
          <c:w val="0.10483286123887979"/>
          <c:h val="0.2830208488089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9.0568807339449539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B1C5FA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2789.8083666476159</c:v>
                </c:pt>
                <c:pt idx="1">
                  <c:v>-2583.6217591579953</c:v>
                </c:pt>
                <c:pt idx="2">
                  <c:v>-477.05987869899036</c:v>
                </c:pt>
                <c:pt idx="3">
                  <c:v>-183.28737540375005</c:v>
                </c:pt>
                <c:pt idx="4">
                  <c:v>182.37431878904681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E-40DE-9942-26F7667F1C1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Лист1!$A$3:$A$7</c:f>
              <c:strCache>
                <c:ptCount val="5"/>
                <c:pt idx="0">
                  <c:v>int_rate </c:v>
                </c:pt>
                <c:pt idx="1">
                  <c:v>CoF</c:v>
                </c:pt>
                <c:pt idx="2">
                  <c:v>Equity</c:v>
                </c:pt>
                <c:pt idx="3">
                  <c:v>discount_rate</c:v>
                </c:pt>
                <c:pt idx="4">
                  <c:v>tax_rate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-2777.4235899010964</c:v>
                </c:pt>
                <c:pt idx="1">
                  <c:v>2583.6217591580098</c:v>
                </c:pt>
                <c:pt idx="2">
                  <c:v>477.05987869900855</c:v>
                </c:pt>
                <c:pt idx="3">
                  <c:v>186.37098866726228</c:v>
                </c:pt>
                <c:pt idx="4">
                  <c:v>-182.37431878903953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E-40DE-9942-26F7667F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6341080202345"/>
          <c:y val="0.47383081425166684"/>
          <c:w val="6.8365891979765503E-2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D8D8D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9-46A8-90FA-EA456CDAFE6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-1%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9-46A8-90FA-EA456CDA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PV </a:t>
            </a:r>
            <a:r>
              <a:rPr lang="ru-RU"/>
              <a:t>при</a:t>
            </a:r>
            <a:r>
              <a:rPr lang="ru-RU" baseline="0"/>
              <a:t> изменении показателей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+100руб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Лист1!$B$17:$B$18</c:f>
              <c:numCache>
                <c:formatCode>General</c:formatCode>
                <c:ptCount val="2"/>
                <c:pt idx="0">
                  <c:v>-1040.9573803388666</c:v>
                </c:pt>
                <c:pt idx="1">
                  <c:v>-137.9204788009738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EA3-BC83-601BE9E63A12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-100руб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  <a:effectLst/>
          </c:spPr>
          <c:invertIfNegative val="0"/>
          <c:cat>
            <c:strRef>
              <c:f>Лист1!$A$17:$A$18</c:f>
              <c:strCache>
                <c:ptCount val="2"/>
                <c:pt idx="0">
                  <c:v>operational_cost</c:v>
                </c:pt>
                <c:pt idx="1">
                  <c:v>collection_cost</c:v>
                </c:pt>
              </c:strCache>
            </c:strRef>
          </c:cat>
          <c:val>
            <c:numRef>
              <c:f>Лист1!$C$17:$C$18</c:f>
              <c:numCache>
                <c:formatCode>General</c:formatCode>
                <c:ptCount val="2"/>
                <c:pt idx="0">
                  <c:v>1040.9573803388485</c:v>
                </c:pt>
                <c:pt idx="1">
                  <c:v>137.92047880099926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A-4EA3-BC83-601BE9E6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336415"/>
        <c:axId val="1893344735"/>
      </c:barChart>
      <c:catAx>
        <c:axId val="18933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44735"/>
        <c:crosses val="max"/>
        <c:auto val="1"/>
        <c:lblAlgn val="ctr"/>
        <c:lblOffset val="100"/>
        <c:noMultiLvlLbl val="0"/>
      </c:catAx>
      <c:valAx>
        <c:axId val="18933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512784</xdr:colOff>
      <xdr:row>7</xdr:row>
      <xdr:rowOff>104774</xdr:rowOff>
    </xdr:from>
    <xdr:to>
      <xdr:col>17</xdr:col>
      <xdr:colOff>95250</xdr:colOff>
      <xdr:row>29</xdr:row>
      <xdr:rowOff>86528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113</xdr:row>
      <xdr:rowOff>66675</xdr:rowOff>
    </xdr:from>
    <xdr:to>
      <xdr:col>6</xdr:col>
      <xdr:colOff>723900</xdr:colOff>
      <xdr:row>130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131</xdr:row>
      <xdr:rowOff>104775</xdr:rowOff>
    </xdr:from>
    <xdr:to>
      <xdr:col>7</xdr:col>
      <xdr:colOff>114300</xdr:colOff>
      <xdr:row>139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161924</xdr:rowOff>
    </xdr:from>
    <xdr:to>
      <xdr:col>7</xdr:col>
      <xdr:colOff>381000</xdr:colOff>
      <xdr:row>21</xdr:row>
      <xdr:rowOff>76199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0</xdr:row>
      <xdr:rowOff>0</xdr:rowOff>
    </xdr:from>
    <xdr:to>
      <xdr:col>15</xdr:col>
      <xdr:colOff>171449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14</xdr:row>
      <xdr:rowOff>152400</xdr:rowOff>
    </xdr:from>
    <xdr:to>
      <xdr:col>14</xdr:col>
      <xdr:colOff>285750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2:CI122"/>
  <sheetViews>
    <sheetView topLeftCell="A106" zoomScaleNormal="100" workbookViewId="0">
      <pane xSplit="1" topLeftCell="B1" activePane="topRight" state="frozen"/>
      <selection activeCell="A12" sqref="A12"/>
      <selection pane="topRight" activeCell="C16" sqref="C16"/>
    </sheetView>
  </sheetViews>
  <sheetFormatPr baseColWidth="10" defaultColWidth="9.1640625" defaultRowHeight="15" x14ac:dyDescent="0.2"/>
  <cols>
    <col min="1" max="1" width="40" style="9" customWidth="1"/>
    <col min="2" max="2" width="19.5" style="9" customWidth="1"/>
    <col min="3" max="3" width="19.6640625" style="9" customWidth="1"/>
    <col min="4" max="4" width="11.5" style="10" customWidth="1"/>
    <col min="5" max="5" width="18" style="9" customWidth="1"/>
    <col min="6" max="6" width="12.6640625" style="9" bestFit="1" customWidth="1"/>
    <col min="7" max="7" width="13.5" style="9" bestFit="1" customWidth="1"/>
    <col min="8" max="8" width="12.6640625" style="9" bestFit="1" customWidth="1"/>
    <col min="9" max="9" width="13" style="9" bestFit="1" customWidth="1"/>
    <col min="10" max="10" width="14.1640625" style="9" bestFit="1" customWidth="1"/>
    <col min="11" max="11" width="10" style="9" customWidth="1"/>
    <col min="12" max="15" width="13" style="9" bestFit="1" customWidth="1"/>
    <col min="16" max="16" width="12.83203125" style="9" bestFit="1" customWidth="1"/>
    <col min="17" max="27" width="11.83203125" style="9" bestFit="1" customWidth="1"/>
    <col min="28" max="87" width="9.1640625" style="9"/>
    <col min="88" max="16384" width="9.1640625" style="1"/>
  </cols>
  <sheetData>
    <row r="2" spans="1:87" x14ac:dyDescent="0.2">
      <c r="CE2" s="1"/>
      <c r="CF2" s="1"/>
      <c r="CG2" s="1"/>
      <c r="CH2" s="1"/>
      <c r="CI2" s="1"/>
    </row>
    <row r="3" spans="1:87" x14ac:dyDescent="0.2">
      <c r="CE3" s="1"/>
      <c r="CF3" s="1"/>
      <c r="CG3" s="1"/>
      <c r="CH3" s="1"/>
      <c r="CI3" s="1"/>
    </row>
    <row r="4" spans="1:87" x14ac:dyDescent="0.2">
      <c r="CE4" s="1"/>
      <c r="CF4" s="1"/>
      <c r="CG4" s="1"/>
      <c r="CH4" s="1"/>
      <c r="CI4" s="1"/>
    </row>
    <row r="5" spans="1:87" x14ac:dyDescent="0.2">
      <c r="CE5" s="1"/>
      <c r="CF5" s="1"/>
      <c r="CG5" s="1"/>
      <c r="CH5" s="1"/>
      <c r="CI5" s="1"/>
    </row>
    <row r="6" spans="1:87" x14ac:dyDescent="0.2">
      <c r="CE6" s="1"/>
      <c r="CF6" s="1"/>
      <c r="CG6" s="1"/>
      <c r="CH6" s="1"/>
      <c r="CI6" s="1"/>
    </row>
    <row r="7" spans="1:87" ht="17" x14ac:dyDescent="0.2">
      <c r="A7" s="78" t="s">
        <v>0</v>
      </c>
      <c r="B7" s="11"/>
      <c r="C7" s="11"/>
      <c r="CE7" s="1"/>
      <c r="CF7" s="1"/>
      <c r="CG7" s="1"/>
      <c r="CH7" s="1"/>
      <c r="CI7" s="1"/>
    </row>
    <row r="8" spans="1:87" ht="16" x14ac:dyDescent="0.2">
      <c r="A8" s="13" t="s">
        <v>1</v>
      </c>
      <c r="B8" s="12" t="s">
        <v>25</v>
      </c>
      <c r="C8" s="14">
        <v>0.05</v>
      </c>
      <c r="CE8" s="1"/>
      <c r="CF8" s="1"/>
      <c r="CG8" s="1"/>
      <c r="CH8" s="1"/>
      <c r="CI8" s="1"/>
    </row>
    <row r="9" spans="1:87" ht="16" x14ac:dyDescent="0.2">
      <c r="A9" s="15" t="s">
        <v>67</v>
      </c>
      <c r="B9" s="12" t="s">
        <v>113</v>
      </c>
      <c r="C9" s="14">
        <v>0.15</v>
      </c>
      <c r="CE9" s="1"/>
      <c r="CF9" s="1"/>
      <c r="CG9" s="1"/>
      <c r="CH9" s="1"/>
      <c r="CI9" s="1"/>
    </row>
    <row r="10" spans="1:87" ht="16" x14ac:dyDescent="0.2">
      <c r="A10" s="15" t="s">
        <v>68</v>
      </c>
      <c r="B10" s="12" t="s">
        <v>70</v>
      </c>
      <c r="C10" s="16">
        <v>500000</v>
      </c>
      <c r="CE10" s="1"/>
      <c r="CF10" s="1"/>
      <c r="CG10" s="1"/>
      <c r="CH10" s="1"/>
      <c r="CI10" s="1"/>
    </row>
    <row r="11" spans="1:87" ht="16" x14ac:dyDescent="0.2">
      <c r="A11" s="15" t="s">
        <v>69</v>
      </c>
      <c r="B11" s="12" t="s">
        <v>69</v>
      </c>
      <c r="C11" s="16">
        <v>24</v>
      </c>
      <c r="CE11" s="1"/>
      <c r="CF11" s="1"/>
      <c r="CG11" s="1"/>
      <c r="CH11" s="1"/>
      <c r="CI11" s="1"/>
    </row>
    <row r="12" spans="1:87" ht="16" x14ac:dyDescent="0.2">
      <c r="A12" s="17" t="s">
        <v>5</v>
      </c>
      <c r="B12" s="12" t="s">
        <v>71</v>
      </c>
      <c r="C12" s="18">
        <f>initial_amount * (interest_rate/12)/(1-POWER(1+interest_rate/12,-initial_term))</f>
        <v>26435.54862662495</v>
      </c>
      <c r="CE12" s="1"/>
      <c r="CF12" s="1"/>
      <c r="CG12" s="1"/>
      <c r="CH12" s="1"/>
      <c r="CI12" s="1"/>
    </row>
    <row r="13" spans="1:87" x14ac:dyDescent="0.2">
      <c r="A13" s="19"/>
      <c r="B13" s="19"/>
      <c r="C13" s="19"/>
      <c r="CE13" s="1"/>
      <c r="CF13" s="1"/>
      <c r="CG13" s="1"/>
      <c r="CH13" s="1"/>
      <c r="CI13" s="1"/>
    </row>
    <row r="14" spans="1:87" ht="17" x14ac:dyDescent="0.2">
      <c r="A14" s="78" t="s">
        <v>2</v>
      </c>
      <c r="B14" s="19"/>
      <c r="C14" s="19"/>
      <c r="CE14" s="1"/>
      <c r="CF14" s="1"/>
      <c r="CG14" s="1"/>
      <c r="CH14" s="1"/>
      <c r="CI14" s="1"/>
    </row>
    <row r="15" spans="1:87" ht="16" x14ac:dyDescent="0.2">
      <c r="A15" s="13" t="s">
        <v>6</v>
      </c>
      <c r="B15" s="12" t="s">
        <v>72</v>
      </c>
      <c r="C15" s="20">
        <v>0.24</v>
      </c>
      <c r="CE15" s="1"/>
      <c r="CF15" s="1"/>
      <c r="CG15" s="1"/>
      <c r="CH15" s="1"/>
      <c r="CI15" s="1"/>
    </row>
    <row r="16" spans="1:87" ht="16" x14ac:dyDescent="0.2">
      <c r="A16" s="17" t="s">
        <v>114</v>
      </c>
      <c r="B16" s="21" t="s">
        <v>114</v>
      </c>
      <c r="C16" s="14">
        <v>0.01</v>
      </c>
      <c r="CE16" s="1"/>
      <c r="CF16" s="1"/>
      <c r="CG16" s="1"/>
      <c r="CH16" s="1"/>
      <c r="CI16" s="1"/>
    </row>
    <row r="17" spans="1:87" x14ac:dyDescent="0.2">
      <c r="A17" s="19"/>
      <c r="B17" s="19"/>
      <c r="C17" s="19"/>
      <c r="CE17" s="1"/>
      <c r="CF17" s="1"/>
      <c r="CG17" s="1"/>
      <c r="CH17" s="1"/>
      <c r="CI17" s="1"/>
    </row>
    <row r="18" spans="1:87" ht="17" x14ac:dyDescent="0.2">
      <c r="A18" s="78" t="s">
        <v>31</v>
      </c>
      <c r="B18" s="19"/>
      <c r="C18" s="19"/>
      <c r="CE18" s="1"/>
      <c r="CF18" s="1"/>
      <c r="CG18" s="1"/>
      <c r="CH18" s="1"/>
      <c r="CI18" s="1"/>
    </row>
    <row r="19" spans="1:87" ht="16" x14ac:dyDescent="0.2">
      <c r="A19" s="13" t="s">
        <v>15</v>
      </c>
      <c r="B19" s="12" t="s">
        <v>49</v>
      </c>
      <c r="C19" s="20">
        <v>0.17</v>
      </c>
    </row>
    <row r="20" spans="1:87" ht="16" x14ac:dyDescent="0.2">
      <c r="A20" s="15" t="s">
        <v>7</v>
      </c>
      <c r="B20" s="12" t="s">
        <v>26</v>
      </c>
      <c r="C20" s="20">
        <v>0.2</v>
      </c>
    </row>
    <row r="21" spans="1:87" ht="16" x14ac:dyDescent="0.2">
      <c r="A21" s="15" t="s">
        <v>30</v>
      </c>
      <c r="B21" s="12" t="s">
        <v>27</v>
      </c>
      <c r="C21" s="20">
        <v>0.3</v>
      </c>
    </row>
    <row r="22" spans="1:87" ht="16" x14ac:dyDescent="0.2">
      <c r="A22" s="17" t="s">
        <v>55</v>
      </c>
      <c r="B22" s="12" t="s">
        <v>73</v>
      </c>
      <c r="C22" s="22">
        <v>0.125</v>
      </c>
    </row>
    <row r="23" spans="1:87" x14ac:dyDescent="0.2">
      <c r="A23" s="19"/>
      <c r="B23" s="19"/>
      <c r="C23" s="19"/>
    </row>
    <row r="24" spans="1:87" ht="17" x14ac:dyDescent="0.2">
      <c r="A24" s="78" t="s">
        <v>8</v>
      </c>
      <c r="B24" s="19"/>
      <c r="C24" s="19"/>
    </row>
    <row r="25" spans="1:87" ht="16" x14ac:dyDescent="0.2">
      <c r="A25" s="13" t="s">
        <v>3</v>
      </c>
      <c r="B25" s="12" t="s">
        <v>28</v>
      </c>
      <c r="C25" s="16">
        <v>100</v>
      </c>
    </row>
    <row r="26" spans="1:87" ht="16" x14ac:dyDescent="0.2">
      <c r="A26" s="15" t="s">
        <v>4</v>
      </c>
      <c r="B26" s="12" t="s">
        <v>29</v>
      </c>
      <c r="C26" s="16">
        <v>500</v>
      </c>
    </row>
    <row r="27" spans="1:87" ht="16" x14ac:dyDescent="0.2">
      <c r="A27" s="17" t="s">
        <v>66</v>
      </c>
      <c r="B27" s="12" t="s">
        <v>74</v>
      </c>
      <c r="C27" s="20">
        <v>0.2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87" x14ac:dyDescent="0.2">
      <c r="A28" s="19"/>
      <c r="B28" s="23"/>
      <c r="C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87" x14ac:dyDescent="0.2">
      <c r="A29" s="19"/>
      <c r="B29" s="23"/>
      <c r="C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87" x14ac:dyDescent="0.2">
      <c r="A30" s="19"/>
      <c r="B30" s="23"/>
      <c r="C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87" x14ac:dyDescent="0.2">
      <c r="A31" s="19"/>
      <c r="B31" s="23"/>
      <c r="C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87" x14ac:dyDescent="0.2">
      <c r="A32" s="19"/>
      <c r="B32" s="23"/>
      <c r="C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87" x14ac:dyDescent="0.2">
      <c r="A33" s="19"/>
      <c r="B33" s="23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87" x14ac:dyDescent="0.2">
      <c r="A34" s="19"/>
      <c r="C34" s="10">
        <v>0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</row>
    <row r="35" spans="1:87" s="6" customFormat="1" x14ac:dyDescent="0.2">
      <c r="A35" s="24"/>
      <c r="B35" s="25" t="s">
        <v>75</v>
      </c>
      <c r="C35" s="26">
        <v>0</v>
      </c>
      <c r="D35" s="26">
        <v>0</v>
      </c>
      <c r="E35" s="26">
        <v>0</v>
      </c>
      <c r="F35" s="26">
        <v>0</v>
      </c>
      <c r="G35" s="26">
        <v>3.171562662223977E-2</v>
      </c>
      <c r="H35" s="26">
        <v>7.6130955413714913E-3</v>
      </c>
      <c r="I35" s="26">
        <v>8.3561259872440719E-3</v>
      </c>
      <c r="J35" s="26">
        <v>9.0308537686040607E-3</v>
      </c>
      <c r="K35" s="26">
        <v>9.6372788854514543E-3</v>
      </c>
      <c r="L35" s="26">
        <v>1.017540133778626E-2</v>
      </c>
      <c r="M35" s="26">
        <v>1.0645221125608459E-2</v>
      </c>
      <c r="N35" s="26">
        <v>1.1046738248918079E-2</v>
      </c>
      <c r="O35" s="26">
        <v>1.1379952707715101E-2</v>
      </c>
      <c r="P35" s="26">
        <v>1.164486450199952E-2</v>
      </c>
      <c r="Q35" s="26">
        <v>1.1841473631771361E-2</v>
      </c>
      <c r="R35" s="26">
        <v>1.1969780097030589E-2</v>
      </c>
      <c r="S35" s="26">
        <v>1.202978389777724E-2</v>
      </c>
      <c r="T35" s="26">
        <v>1.202148503401129E-2</v>
      </c>
      <c r="U35" s="26">
        <v>1.1944883505732751E-2</v>
      </c>
      <c r="V35" s="26">
        <v>1.179997931294161E-2</v>
      </c>
      <c r="W35" s="26">
        <v>1.1586772455637891E-2</v>
      </c>
      <c r="X35" s="26">
        <v>1.130526293382156E-2</v>
      </c>
      <c r="Y35" s="26">
        <v>1.095545074749265E-2</v>
      </c>
      <c r="Z35" s="26">
        <v>1.0537335896651141E-2</v>
      </c>
      <c r="AA35" s="26">
        <v>1.0050918381297029E-2</v>
      </c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</row>
    <row r="36" spans="1:87" s="6" customFormat="1" x14ac:dyDescent="0.2">
      <c r="A36" s="24"/>
      <c r="B36" s="25" t="s">
        <v>78</v>
      </c>
      <c r="C36" s="26">
        <v>0</v>
      </c>
      <c r="D36" s="26">
        <v>9.4633345343556774E-2</v>
      </c>
      <c r="E36" s="26">
        <v>0.1094437681102215</v>
      </c>
      <c r="F36" s="26">
        <v>0.1218334909289057</v>
      </c>
      <c r="G36" s="26">
        <v>0.1093472906205758</v>
      </c>
      <c r="H36" s="26">
        <v>0.1143851994148974</v>
      </c>
      <c r="I36" s="26">
        <v>0.1192522449253057</v>
      </c>
      <c r="J36" s="26">
        <v>0.1239484271518017</v>
      </c>
      <c r="K36" s="26">
        <v>0.1284737460943837</v>
      </c>
      <c r="L36" s="26">
        <v>0.13282820175305279</v>
      </c>
      <c r="M36" s="26">
        <v>0.13701179412780801</v>
      </c>
      <c r="N36" s="26">
        <v>0.1410245232186508</v>
      </c>
      <c r="O36" s="26">
        <v>0.14486638902558019</v>
      </c>
      <c r="P36" s="26">
        <v>0.14853739154859619</v>
      </c>
      <c r="Q36" s="26">
        <v>0.1520375307876988</v>
      </c>
      <c r="R36" s="26">
        <v>0.1553668067428885</v>
      </c>
      <c r="S36" s="26">
        <v>0.15852521941416489</v>
      </c>
      <c r="T36" s="26">
        <v>0.16151276880152779</v>
      </c>
      <c r="U36" s="26">
        <v>0.16432945490497719</v>
      </c>
      <c r="V36" s="26">
        <v>0.1669752777245139</v>
      </c>
      <c r="W36" s="26">
        <v>0.16945023726013711</v>
      </c>
      <c r="X36" s="26">
        <v>0.17175433351184691</v>
      </c>
      <c r="Y36" s="26">
        <v>0.17388756647964379</v>
      </c>
      <c r="Z36" s="26">
        <v>0.17584993616352729</v>
      </c>
      <c r="AA36" s="26">
        <v>0.17584993616352729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</row>
    <row r="37" spans="1:87" s="6" customFormat="1" x14ac:dyDescent="0.2">
      <c r="A37" s="24"/>
      <c r="B37" s="25" t="s">
        <v>76</v>
      </c>
      <c r="C37" s="26">
        <v>0</v>
      </c>
      <c r="D37" s="26">
        <v>3.863314220507455E-2</v>
      </c>
      <c r="E37" s="26">
        <v>2.0257142857142859E-2</v>
      </c>
      <c r="F37" s="26">
        <v>2.2275841623837479E-2</v>
      </c>
      <c r="G37" s="26">
        <v>2.3516183077824979E-2</v>
      </c>
      <c r="H37" s="26">
        <v>2.4424602738397399E-2</v>
      </c>
      <c r="I37" s="26">
        <v>2.5146154850886549E-2</v>
      </c>
      <c r="J37" s="26">
        <v>2.574704152656378E-2</v>
      </c>
      <c r="K37" s="26">
        <v>2.6263246078166321E-2</v>
      </c>
      <c r="L37" s="26">
        <v>2.6716580914538091E-2</v>
      </c>
      <c r="M37" s="26">
        <v>2.7121301402000239E-2</v>
      </c>
      <c r="N37" s="26">
        <v>2.7487253202816739E-2</v>
      </c>
      <c r="O37" s="26">
        <v>2.7821530722489399E-2</v>
      </c>
      <c r="P37" s="26">
        <v>2.8129420492461778E-2</v>
      </c>
      <c r="Q37" s="26">
        <v>2.8414970841549911E-2</v>
      </c>
      <c r="R37" s="26">
        <v>2.8681352834332909E-2</v>
      </c>
      <c r="S37" s="26">
        <v>2.893109818355611E-2</v>
      </c>
      <c r="T37" s="26">
        <v>2.916626135474272E-2</v>
      </c>
      <c r="U37" s="26">
        <v>2.9388533177033691E-2</v>
      </c>
      <c r="V37" s="26">
        <v>2.9599322425237221E-2</v>
      </c>
      <c r="W37" s="26">
        <v>2.9799815655042309E-2</v>
      </c>
      <c r="X37" s="26">
        <v>2.9991021911889071E-2</v>
      </c>
      <c r="Y37" s="26">
        <v>3.017380669228344E-2</v>
      </c>
      <c r="Z37" s="26">
        <v>3.0348918123129211E-2</v>
      </c>
      <c r="AA37" s="26">
        <v>3.0517007410354711E-2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</row>
    <row r="38" spans="1:87" x14ac:dyDescent="0.2">
      <c r="A38" s="19"/>
      <c r="B38" s="23"/>
      <c r="C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87" x14ac:dyDescent="0.2">
      <c r="A39" s="19"/>
      <c r="B39" s="23"/>
      <c r="C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87" x14ac:dyDescent="0.2">
      <c r="B40" s="1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87" ht="16" x14ac:dyDescent="0.2">
      <c r="B41" s="19"/>
      <c r="C41" s="23" t="s">
        <v>77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87" s="3" customFormat="1" ht="17" x14ac:dyDescent="0.2">
      <c r="A42" s="78" t="s">
        <v>24</v>
      </c>
      <c r="B42" s="27"/>
      <c r="C42" s="10">
        <v>0</v>
      </c>
      <c r="D42" s="10">
        <v>1</v>
      </c>
      <c r="E42" s="10">
        <v>2</v>
      </c>
      <c r="F42" s="10">
        <v>3</v>
      </c>
      <c r="G42" s="10">
        <v>4</v>
      </c>
      <c r="H42" s="10">
        <v>5</v>
      </c>
      <c r="I42" s="10">
        <v>6</v>
      </c>
      <c r="J42" s="10">
        <v>7</v>
      </c>
      <c r="K42" s="10">
        <v>8</v>
      </c>
      <c r="L42" s="10">
        <v>9</v>
      </c>
      <c r="M42" s="10">
        <v>10</v>
      </c>
      <c r="N42" s="10">
        <v>11</v>
      </c>
      <c r="O42" s="10">
        <v>12</v>
      </c>
      <c r="P42" s="10">
        <v>13</v>
      </c>
      <c r="Q42" s="10">
        <v>14</v>
      </c>
      <c r="R42" s="10">
        <v>15</v>
      </c>
      <c r="S42" s="10">
        <v>16</v>
      </c>
      <c r="T42" s="10">
        <v>17</v>
      </c>
      <c r="U42" s="10">
        <v>18</v>
      </c>
      <c r="V42" s="10">
        <v>19</v>
      </c>
      <c r="W42" s="10">
        <v>20</v>
      </c>
      <c r="X42" s="10">
        <v>21</v>
      </c>
      <c r="Y42" s="10">
        <v>22</v>
      </c>
      <c r="Z42" s="10">
        <v>23</v>
      </c>
      <c r="AA42" s="10">
        <v>24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</row>
    <row r="43" spans="1:87" s="3" customFormat="1" x14ac:dyDescent="0.2">
      <c r="A43" s="29" t="s">
        <v>36</v>
      </c>
      <c r="B43" s="27" t="s">
        <v>37</v>
      </c>
      <c r="C43" s="30">
        <f t="shared" ref="C43:AA43" si="0">1-accnt_wro-accnt_clo</f>
        <v>1</v>
      </c>
      <c r="D43" s="31">
        <f>1-accnt_wro-accnt_clo</f>
        <v>0.96136685779492548</v>
      </c>
      <c r="E43" s="31">
        <f t="shared" si="0"/>
        <v>0.94189231201845114</v>
      </c>
      <c r="F43" s="31">
        <f t="shared" si="0"/>
        <v>0.92091086804921796</v>
      </c>
      <c r="G43" s="31">
        <f t="shared" si="0"/>
        <v>0.87004729423440219</v>
      </c>
      <c r="H43" s="31">
        <f t="shared" si="0"/>
        <v>0.84217298153259101</v>
      </c>
      <c r="I43" s="31">
        <f t="shared" si="0"/>
        <v>0.81395826579100039</v>
      </c>
      <c r="J43" s="31">
        <f t="shared" si="0"/>
        <v>0.7856505104486845</v>
      </c>
      <c r="K43" s="31">
        <f t="shared" si="0"/>
        <v>0.75744524468564245</v>
      </c>
      <c r="L43" s="31">
        <f t="shared" si="0"/>
        <v>0.72950158816159227</v>
      </c>
      <c r="M43" s="31">
        <f t="shared" si="0"/>
        <v>0.70195084999836121</v>
      </c>
      <c r="N43" s="31">
        <f t="shared" si="0"/>
        <v>0.67490188194498635</v>
      </c>
      <c r="O43" s="31">
        <f t="shared" si="0"/>
        <v>0.64844472700290612</v>
      </c>
      <c r="P43" s="31">
        <f t="shared" si="0"/>
        <v>0.62265330162793697</v>
      </c>
      <c r="Q43" s="31">
        <f t="shared" si="0"/>
        <v>0.59758749356482177</v>
      </c>
      <c r="R43" s="31">
        <f t="shared" si="0"/>
        <v>0.57329488492579772</v>
      </c>
      <c r="S43" s="31">
        <f t="shared" si="0"/>
        <v>0.54981222074652059</v>
      </c>
      <c r="T43" s="31">
        <f t="shared" si="0"/>
        <v>0.52716669443697528</v>
      </c>
      <c r="U43" s="31">
        <f t="shared" si="0"/>
        <v>0.5053770937945351</v>
      </c>
      <c r="V43" s="31">
        <f t="shared" si="0"/>
        <v>0.48445483499697128</v>
      </c>
      <c r="W43" s="31">
        <f t="shared" si="0"/>
        <v>0.46440490228272407</v>
      </c>
      <c r="X43" s="31">
        <f t="shared" si="0"/>
        <v>0.44522670515431229</v>
      </c>
      <c r="Y43" s="31">
        <f t="shared" si="0"/>
        <v>0.42691486137895734</v>
      </c>
      <c r="Z43" s="31">
        <f t="shared" si="0"/>
        <v>0.40945991191179792</v>
      </c>
      <c r="AA43" s="31">
        <f t="shared" si="0"/>
        <v>0</v>
      </c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</row>
    <row r="44" spans="1:87" s="3" customFormat="1" x14ac:dyDescent="0.2">
      <c r="A44" s="32" t="s">
        <v>9</v>
      </c>
      <c r="B44" s="33" t="s">
        <v>32</v>
      </c>
      <c r="C44" s="30">
        <v>1</v>
      </c>
      <c r="D44" s="26">
        <f t="shared" ref="D44:AA44" si="1">accnt_act-accnt_dlq</f>
        <v>0.87038949593936832</v>
      </c>
      <c r="E44" s="26">
        <f t="shared" si="1"/>
        <v>0.83880806823710341</v>
      </c>
      <c r="F44" s="26">
        <f t="shared" si="1"/>
        <v>0.80871308216041293</v>
      </c>
      <c r="G44" s="26">
        <f t="shared" si="1"/>
        <v>0.77490997989810739</v>
      </c>
      <c r="H44" s="26">
        <f t="shared" si="1"/>
        <v>0.74584085709814685</v>
      </c>
      <c r="I44" s="26">
        <f t="shared" si="1"/>
        <v>0.71689191531991492</v>
      </c>
      <c r="J44" s="26">
        <f t="shared" si="1"/>
        <v>0.68827036538755992</v>
      </c>
      <c r="K44" s="26">
        <f t="shared" si="1"/>
        <v>0.66013341663950087</v>
      </c>
      <c r="L44" s="26">
        <f t="shared" si="1"/>
        <v>0.63260320403009185</v>
      </c>
      <c r="M44" s="26">
        <f t="shared" si="1"/>
        <v>0.60577530465054585</v>
      </c>
      <c r="N44" s="26">
        <f t="shared" si="1"/>
        <v>0.57972416582432451</v>
      </c>
      <c r="O44" s="26">
        <f t="shared" si="1"/>
        <v>0.55450688091931699</v>
      </c>
      <c r="P44" s="26">
        <f t="shared" si="1"/>
        <v>0.53016600436500194</v>
      </c>
      <c r="Q44" s="26">
        <f t="shared" si="1"/>
        <v>0.50673176661361641</v>
      </c>
      <c r="R44" s="26">
        <f t="shared" si="1"/>
        <v>0.48422388933284483</v>
      </c>
      <c r="S44" s="26">
        <f t="shared" si="1"/>
        <v>0.46265311781608914</v>
      </c>
      <c r="T44" s="26">
        <f t="shared" si="1"/>
        <v>0.44202254199851043</v>
      </c>
      <c r="U44" s="26">
        <f t="shared" si="1"/>
        <v>0.42232875144981763</v>
      </c>
      <c r="V44" s="26">
        <f t="shared" si="1"/>
        <v>0.40356285437836847</v>
      </c>
      <c r="W44" s="26">
        <f t="shared" si="1"/>
        <v>0.38571138140614569</v>
      </c>
      <c r="X44" s="26">
        <f t="shared" si="1"/>
        <v>0.3687570891488578</v>
      </c>
      <c r="Y44" s="26">
        <f t="shared" si="1"/>
        <v>0.35267967503977599</v>
      </c>
      <c r="Z44" s="26">
        <f t="shared" si="1"/>
        <v>0.33745641254058478</v>
      </c>
      <c r="AA44" s="26">
        <f t="shared" si="1"/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</row>
    <row r="45" spans="1:87" s="3" customFormat="1" ht="14.25" customHeight="1" x14ac:dyDescent="0.2">
      <c r="A45" s="32" t="s">
        <v>10</v>
      </c>
      <c r="B45" s="33" t="s">
        <v>33</v>
      </c>
      <c r="C45" s="30">
        <v>0</v>
      </c>
      <c r="D45" s="26">
        <f>accnt_act*DLNQ_Ratio</f>
        <v>9.0977361855557215E-2</v>
      </c>
      <c r="E45" s="26">
        <f t="shared" ref="E45:AA45" si="2">accnt_act*DLNQ_Ratio</f>
        <v>0.10308424378134776</v>
      </c>
      <c r="F45" s="26">
        <f t="shared" si="2"/>
        <v>0.11219778588880508</v>
      </c>
      <c r="G45" s="26">
        <f t="shared" si="2"/>
        <v>9.5137314336294798E-2</v>
      </c>
      <c r="H45" s="26">
        <f t="shared" si="2"/>
        <v>9.6332124434444125E-2</v>
      </c>
      <c r="I45" s="26">
        <f t="shared" si="2"/>
        <v>9.7066350471085458E-2</v>
      </c>
      <c r="J45" s="26">
        <f t="shared" si="2"/>
        <v>9.7380145061124593E-2</v>
      </c>
      <c r="K45" s="26">
        <f t="shared" si="2"/>
        <v>9.7311828046141566E-2</v>
      </c>
      <c r="L45" s="26">
        <f t="shared" si="2"/>
        <v>9.6898384131500412E-2</v>
      </c>
      <c r="M45" s="26">
        <f t="shared" si="2"/>
        <v>9.6175545347815306E-2</v>
      </c>
      <c r="N45" s="26">
        <f t="shared" si="2"/>
        <v>9.5177716120661851E-2</v>
      </c>
      <c r="O45" s="26">
        <f t="shared" si="2"/>
        <v>9.3937846083589141E-2</v>
      </c>
      <c r="P45" s="26">
        <f t="shared" si="2"/>
        <v>9.2487297262935031E-2</v>
      </c>
      <c r="Q45" s="26">
        <f t="shared" si="2"/>
        <v>9.0855726951205348E-2</v>
      </c>
      <c r="R45" s="26">
        <f t="shared" si="2"/>
        <v>8.9070995592952909E-2</v>
      </c>
      <c r="S45" s="26">
        <f t="shared" si="2"/>
        <v>8.7159102930431442E-2</v>
      </c>
      <c r="T45" s="26">
        <f t="shared" si="2"/>
        <v>8.5144152438464835E-2</v>
      </c>
      <c r="U45" s="26">
        <f t="shared" si="2"/>
        <v>8.3048342344717488E-2</v>
      </c>
      <c r="V45" s="26">
        <f t="shared" si="2"/>
        <v>8.0891980618602838E-2</v>
      </c>
      <c r="W45" s="26">
        <f t="shared" si="2"/>
        <v>7.8693520876578382E-2</v>
      </c>
      <c r="X45" s="26">
        <f t="shared" si="2"/>
        <v>7.6469616005454474E-2</v>
      </c>
      <c r="Y45" s="26">
        <f t="shared" si="2"/>
        <v>7.4235186339181358E-2</v>
      </c>
      <c r="Z45" s="26">
        <f t="shared" si="2"/>
        <v>7.200349937121317E-2</v>
      </c>
      <c r="AA45" s="26">
        <f t="shared" si="2"/>
        <v>0</v>
      </c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</row>
    <row r="46" spans="1:87" s="3" customFormat="1" x14ac:dyDescent="0.2">
      <c r="A46" s="29" t="s">
        <v>38</v>
      </c>
      <c r="B46" s="27" t="s">
        <v>39</v>
      </c>
      <c r="C46" s="30">
        <v>0</v>
      </c>
      <c r="D46" s="26">
        <f>prev accnt_act*CLO_Rate +prev accnt_clo</f>
        <v>3.863314220507455E-2</v>
      </c>
      <c r="E46" s="26">
        <f>prev accnt_act*CLO_Rate +prev accnt_clo</f>
        <v>5.8107687981548903E-2</v>
      </c>
      <c r="F46" s="26">
        <f>prev accnt_act*CLO_Rate +prev accnt_clo</f>
        <v>7.9089131950782043E-2</v>
      </c>
      <c r="G46" s="26">
        <f>prev accnt_act*CLO_Rate +prev accnt_clo</f>
        <v>0.10074544052218617</v>
      </c>
      <c r="H46" s="26">
        <f>prev accnt_act*CLO_Rate +prev accnt_clo</f>
        <v>0.121996000047479</v>
      </c>
      <c r="I46" s="26">
        <f>prev accnt_act*CLO_Rate +prev accnt_clo</f>
        <v>0.14317341225233035</v>
      </c>
      <c r="J46" s="26">
        <f>prev accnt_act*CLO_Rate +prev accnt_clo</f>
        <v>0.16413042952254109</v>
      </c>
      <c r="K46" s="26">
        <f>prev accnt_act*CLO_Rate +prev accnt_clo</f>
        <v>0.18476416220989186</v>
      </c>
      <c r="L46" s="26">
        <f>prev accnt_act*CLO_Rate +prev accnt_clo</f>
        <v>0.20500050937786793</v>
      </c>
      <c r="M46" s="26">
        <f>prev accnt_act*CLO_Rate +prev accnt_clo</f>
        <v>0.22478554182363633</v>
      </c>
      <c r="N46" s="26">
        <f>prev accnt_act*CLO_Rate +prev accnt_clo</f>
        <v>0.24408024257347372</v>
      </c>
      <c r="O46" s="26">
        <f>prev accnt_act*CLO_Rate +prev accnt_clo</f>
        <v>0.26285704601667209</v>
      </c>
      <c r="P46" s="26">
        <f>prev accnt_act*CLO_Rate +prev accnt_clo</f>
        <v>0.28109742040865643</v>
      </c>
      <c r="Q46" s="26">
        <f>prev accnt_act*CLO_Rate +prev accnt_clo</f>
        <v>0.29879009581880905</v>
      </c>
      <c r="R46" s="26">
        <f>prev accnt_act*CLO_Rate +prev accnt_clo</f>
        <v>0.31592971357112637</v>
      </c>
      <c r="S46" s="26">
        <f>prev accnt_act*CLO_Rate +prev accnt_clo</f>
        <v>0.33251576417504514</v>
      </c>
      <c r="T46" s="26">
        <f>prev accnt_act*CLO_Rate +prev accnt_clo</f>
        <v>0.34855173110136967</v>
      </c>
      <c r="U46" s="26">
        <f>prev accnt_act*CLO_Rate +prev accnt_clo</f>
        <v>0.36404438699065789</v>
      </c>
      <c r="V46" s="26">
        <f>prev accnt_act*CLO_Rate +prev accnt_clo</f>
        <v>0.37900320653621167</v>
      </c>
      <c r="W46" s="26">
        <f>prev accnt_act*CLO_Rate +prev accnt_clo</f>
        <v>0.39343987131231534</v>
      </c>
      <c r="X46" s="26">
        <f>prev accnt_act*CLO_Rate +prev accnt_clo</f>
        <v>0.4073678489126652</v>
      </c>
      <c r="Y46" s="26">
        <f>prev accnt_act*CLO_Rate +prev accnt_clo</f>
        <v>0.42080203344823369</v>
      </c>
      <c r="Z46" s="26">
        <f>prev accnt_act*CLO_Rate +prev accnt_clo</f>
        <v>0.43375843762177074</v>
      </c>
      <c r="AA46" s="26">
        <f>1-accnt_wro</f>
        <v>0.83910290137853016</v>
      </c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</row>
    <row r="47" spans="1:87" s="3" customFormat="1" x14ac:dyDescent="0.2">
      <c r="A47" s="29" t="s">
        <v>90</v>
      </c>
      <c r="B47" s="34" t="s">
        <v>91</v>
      </c>
      <c r="C47" s="35">
        <v>0</v>
      </c>
      <c r="D47" s="36">
        <f>prev accnt_act*DEF_Rate+prev accnt_DEF</f>
        <v>0</v>
      </c>
      <c r="E47" s="36">
        <f>prev accnt_act*DEF_Rate+prev accnt_DEF</f>
        <v>0</v>
      </c>
      <c r="F47" s="36">
        <f>prev accnt_act*DEF_Rate+prev accnt_DEF</f>
        <v>0</v>
      </c>
      <c r="G47" s="36">
        <f>prev accnt_act*DEF_Rate+prev accnt_DEF</f>
        <v>2.9207265243411714E-2</v>
      </c>
      <c r="H47" s="36">
        <f>prev accnt_act*DEF_Rate+prev accnt_DEF</f>
        <v>3.5831018419929972E-2</v>
      </c>
      <c r="I47" s="36">
        <f>prev accnt_act*DEF_Rate+prev accnt_DEF</f>
        <v>4.2868321956669279E-2</v>
      </c>
      <c r="J47" s="36">
        <f>prev accnt_act*DEF_Rate+prev accnt_DEF</f>
        <v>5.0219060028774361E-2</v>
      </c>
      <c r="K47" s="36">
        <f>prev accnt_act*DEF_Rate+prev accnt_DEF</f>
        <v>5.7790593104465625E-2</v>
      </c>
      <c r="L47" s="36">
        <f>prev accnt_act*DEF_Rate+prev accnt_DEF</f>
        <v>6.5497902460539756E-2</v>
      </c>
      <c r="M47" s="36">
        <f>prev accnt_act*DEF_Rate+prev accnt_DEF</f>
        <v>7.3263608178002454E-2</v>
      </c>
      <c r="N47" s="36">
        <f>prev accnt_act*DEF_Rate+prev accnt_DEF</f>
        <v>8.1017875481539908E-2</v>
      </c>
      <c r="O47" s="36">
        <f>prev accnt_act*DEF_Rate+prev accnt_DEF</f>
        <v>8.8698226980421777E-2</v>
      </c>
      <c r="P47" s="36">
        <f>prev accnt_act*DEF_Rate+prev accnt_DEF</f>
        <v>9.6249277963406682E-2</v>
      </c>
      <c r="Q47" s="36">
        <f>prev accnt_act*DEF_Rate+prev accnt_DEF</f>
        <v>0.10362241061636927</v>
      </c>
      <c r="R47" s="36">
        <f>prev accnt_act*DEF_Rate+prev accnt_DEF</f>
        <v>0.11077540150307587</v>
      </c>
      <c r="S47" s="36">
        <f>prev accnt_act*DEF_Rate+prev accnt_DEF</f>
        <v>0.11767201507843429</v>
      </c>
      <c r="T47" s="36">
        <f>prev accnt_act*DEF_Rate+prev accnt_DEF</f>
        <v>0.12428157446165509</v>
      </c>
      <c r="U47" s="36">
        <f>prev accnt_act*DEF_Rate+prev accnt_DEF</f>
        <v>0.13057851921480698</v>
      </c>
      <c r="V47" s="36">
        <f>prev accnt_act*DEF_Rate+prev accnt_DEF</f>
        <v>0.13654195846681705</v>
      </c>
      <c r="W47" s="36">
        <f>prev accnt_act*DEF_Rate+prev accnt_DEF</f>
        <v>0.14215522640496056</v>
      </c>
      <c r="X47" s="36">
        <f>prev accnt_act*DEF_Rate+prev accnt_DEF</f>
        <v>0.14740544593302246</v>
      </c>
      <c r="Y47" s="36">
        <f>prev accnt_act*DEF_Rate+prev accnt_DEF</f>
        <v>0.15228310517280896</v>
      </c>
      <c r="Z47" s="36">
        <f>prev accnt_act*DEF_Rate+prev accnt_DEF</f>
        <v>0.1567816504664313</v>
      </c>
      <c r="AA47" s="36">
        <f>prev accnt_act*DEF_Rate+prev accnt_DEF</f>
        <v>0.16089709862146986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</row>
    <row r="48" spans="1:87" s="3" customFormat="1" ht="15.75" customHeight="1" x14ac:dyDescent="0.2">
      <c r="A48" s="28"/>
      <c r="B48" s="37"/>
      <c r="C48" s="38"/>
      <c r="D48" s="39"/>
      <c r="E48" s="39"/>
      <c r="F48" s="39"/>
      <c r="G48" s="39"/>
      <c r="H48" s="39"/>
      <c r="I48" s="39"/>
      <c r="J48" s="39"/>
      <c r="K48" s="39"/>
      <c r="L48" s="40"/>
      <c r="M48" s="40"/>
      <c r="N48" s="41"/>
      <c r="O48" s="41"/>
      <c r="P48" s="41"/>
      <c r="Q48" s="41"/>
      <c r="R48" s="42"/>
      <c r="S48" s="38"/>
      <c r="T48" s="38"/>
      <c r="U48" s="38"/>
      <c r="V48" s="38"/>
      <c r="W48" s="38"/>
      <c r="X48" s="38"/>
      <c r="Y48" s="38"/>
      <c r="Z48" s="38"/>
      <c r="AA48" s="3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</row>
    <row r="49" spans="1:87" s="3" customFormat="1" x14ac:dyDescent="0.2">
      <c r="A49" s="29" t="s">
        <v>103</v>
      </c>
      <c r="B49" s="27" t="s">
        <v>104</v>
      </c>
      <c r="C49" s="31">
        <v>0</v>
      </c>
      <c r="D49" s="43">
        <f>accnt_DEF-prev accnt_DEF</f>
        <v>0</v>
      </c>
      <c r="E49" s="43">
        <f>accnt_DEF-prev accnt_DEF</f>
        <v>0</v>
      </c>
      <c r="F49" s="43">
        <f>accnt_DEF-prev accnt_DEF</f>
        <v>0</v>
      </c>
      <c r="G49" s="43">
        <f>accnt_DEF-prev accnt_DEF</f>
        <v>2.9207265243411714E-2</v>
      </c>
      <c r="H49" s="43">
        <f>accnt_DEF-prev accnt_DEF</f>
        <v>6.6237531765182579E-3</v>
      </c>
      <c r="I49" s="43">
        <f>accnt_DEF-prev accnt_DEF</f>
        <v>7.0373035367393075E-3</v>
      </c>
      <c r="J49" s="43">
        <f>accnt_DEF-prev accnt_DEF</f>
        <v>7.3507380721050813E-3</v>
      </c>
      <c r="K49" s="43">
        <f>accnt_DEF-prev accnt_DEF</f>
        <v>7.5715330756912641E-3</v>
      </c>
      <c r="L49" s="43">
        <f>accnt_DEF-prev accnt_DEF</f>
        <v>7.707309356074131E-3</v>
      </c>
      <c r="M49" s="43">
        <f>accnt_DEF-prev accnt_DEF</f>
        <v>7.7657057174626981E-3</v>
      </c>
      <c r="N49" s="43">
        <f>accnt_DEF-prev accnt_DEF</f>
        <v>7.7542673035374543E-3</v>
      </c>
      <c r="O49" s="43">
        <f>accnt_DEF-prev accnt_DEF</f>
        <v>7.6803514988818683E-3</v>
      </c>
      <c r="P49" s="43">
        <f>accnt_DEF-prev accnt_DEF</f>
        <v>7.5510509829849054E-3</v>
      </c>
      <c r="Q49" s="43">
        <f>accnt_DEF-prev accnt_DEF</f>
        <v>7.3731326529625912E-3</v>
      </c>
      <c r="R49" s="43">
        <f>accnt_DEF-prev accnt_DEF</f>
        <v>7.152990886706595E-3</v>
      </c>
      <c r="S49" s="43">
        <f>accnt_DEF-prev accnt_DEF</f>
        <v>6.8966135753584235E-3</v>
      </c>
      <c r="T49" s="43">
        <f>accnt_DEF-prev accnt_DEF</f>
        <v>6.6095593832208033E-3</v>
      </c>
      <c r="U49" s="43">
        <f>accnt_DEF-prev accnt_DEF</f>
        <v>6.2969447531518868E-3</v>
      </c>
      <c r="V49" s="43">
        <f>accnt_DEF-prev accnt_DEF</f>
        <v>5.9634392520100665E-3</v>
      </c>
      <c r="W49" s="43">
        <f>accnt_DEF-prev accnt_DEF</f>
        <v>5.6132679381435124E-3</v>
      </c>
      <c r="X49" s="43">
        <f>accnt_DEF-prev accnt_DEF</f>
        <v>5.2502195280619002E-3</v>
      </c>
      <c r="Y49" s="43">
        <f>accnt_DEF-prev accnt_DEF</f>
        <v>4.8776592397865026E-3</v>
      </c>
      <c r="Z49" s="43">
        <f>accnt_DEF-prev accnt_DEF</f>
        <v>4.4985452936223413E-3</v>
      </c>
      <c r="AA49" s="43">
        <f>accnt_DEF-prev accnt_DEF</f>
        <v>4.1154481550385591E-3</v>
      </c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</row>
    <row r="50" spans="1:87" x14ac:dyDescent="0.2">
      <c r="A50" s="29"/>
      <c r="B50" s="27"/>
      <c r="C50" s="44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87" ht="17" x14ac:dyDescent="0.2">
      <c r="A51" s="78" t="s">
        <v>79</v>
      </c>
      <c r="B51" s="27"/>
      <c r="C51" s="45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87" x14ac:dyDescent="0.2">
      <c r="A52" s="47" t="s">
        <v>35</v>
      </c>
      <c r="B52" s="27" t="s">
        <v>82</v>
      </c>
      <c r="C52" s="48">
        <f>initial_amount</f>
        <v>500000</v>
      </c>
      <c r="D52" s="49">
        <f>prev PB_model+int_model-regular_payment</f>
        <v>483564.45137337502</v>
      </c>
      <c r="E52" s="49">
        <f>prev PB_model+int_model-regular_payment</f>
        <v>466800.19177421753</v>
      </c>
      <c r="F52" s="49">
        <f>prev PB_model+int_model-regular_payment</f>
        <v>449700.64698307693</v>
      </c>
      <c r="G52" s="49">
        <f>prev PB_model+int_model-regular_payment</f>
        <v>432259.11129611358</v>
      </c>
      <c r="H52" s="49">
        <f>prev PB_model+int_model-regular_payment</f>
        <v>414468.74489541096</v>
      </c>
      <c r="I52" s="49">
        <f>prev PB_model+int_model-regular_payment</f>
        <v>396322.57116669428</v>
      </c>
      <c r="J52" s="49">
        <f>prev PB_model+int_model-regular_payment</f>
        <v>377813.47396340326</v>
      </c>
      <c r="K52" s="49">
        <f>prev PB_model+int_model-regular_payment</f>
        <v>358934.19481604639</v>
      </c>
      <c r="L52" s="49">
        <f>prev PB_model+int_model-regular_payment</f>
        <v>339677.3300857424</v>
      </c>
      <c r="M52" s="49">
        <f>prev PB_model+int_model-regular_payment</f>
        <v>320035.32806083234</v>
      </c>
      <c r="N52" s="49">
        <f>prev PB_model+int_model-regular_payment</f>
        <v>300000.48599542398</v>
      </c>
      <c r="O52" s="49">
        <f>prev PB_model+int_model-regular_payment</f>
        <v>279564.94708870747</v>
      </c>
      <c r="P52" s="49">
        <f>prev PB_model+int_model-regular_payment</f>
        <v>258720.6974038567</v>
      </c>
      <c r="Q52" s="49">
        <f>prev PB_model+int_model-regular_payment</f>
        <v>237459.5627253089</v>
      </c>
      <c r="R52" s="49">
        <f>prev PB_model+int_model-regular_payment</f>
        <v>215773.20535319013</v>
      </c>
      <c r="S52" s="49">
        <f>prev PB_model+int_model-regular_payment</f>
        <v>193653.12083362899</v>
      </c>
      <c r="T52" s="49">
        <f>prev PB_model+int_model-regular_payment</f>
        <v>171090.63462367663</v>
      </c>
      <c r="U52" s="49">
        <f>prev PB_model+int_model-regular_payment</f>
        <v>148076.8986895252</v>
      </c>
      <c r="V52" s="49">
        <f>prev PB_model+int_model-regular_payment</f>
        <v>124602.88803669077</v>
      </c>
      <c r="W52" s="49">
        <f>prev PB_model+int_model-regular_payment</f>
        <v>100659.39717079964</v>
      </c>
      <c r="X52" s="49">
        <f>prev PB_model+int_model-regular_payment</f>
        <v>76237.036487590682</v>
      </c>
      <c r="Y52" s="49">
        <f>prev PB_model+int_model-regular_payment</f>
        <v>51326.228590717539</v>
      </c>
      <c r="Z52" s="49">
        <f>prev PB_model+int_model-regular_payment</f>
        <v>25917.204535906938</v>
      </c>
      <c r="AA52" s="49">
        <f>prev PB_model+int_model-regular_payment</f>
        <v>1.2732925824820995E-10</v>
      </c>
    </row>
    <row r="53" spans="1:87" x14ac:dyDescent="0.2">
      <c r="A53" s="47" t="s">
        <v>80</v>
      </c>
      <c r="B53" s="50" t="s">
        <v>81</v>
      </c>
      <c r="C53" s="51">
        <f>PB*accnt_cur</f>
        <v>500000</v>
      </c>
      <c r="D53" s="51">
        <f>prev PB_model*interest_rate/12</f>
        <v>10000</v>
      </c>
      <c r="E53" s="51">
        <f>prev PB_model*interest_rate/12</f>
        <v>9671.2890274674992</v>
      </c>
      <c r="F53" s="51">
        <f>prev PB_model*interest_rate/12</f>
        <v>9336.0038354843509</v>
      </c>
      <c r="G53" s="51">
        <f>prev PB_model*interest_rate/12</f>
        <v>8994.0129396615393</v>
      </c>
      <c r="H53" s="51">
        <f>prev PB_model*interest_rate/12</f>
        <v>8645.1822259222718</v>
      </c>
      <c r="I53" s="51">
        <f>prev PB_model*interest_rate/12</f>
        <v>8289.3748979082193</v>
      </c>
      <c r="J53" s="51">
        <f>prev PB_model*interest_rate/12</f>
        <v>7926.451423333885</v>
      </c>
      <c r="K53" s="51">
        <f>prev PB_model*interest_rate/12</f>
        <v>7556.2694792680641</v>
      </c>
      <c r="L53" s="51">
        <f>prev PB_model*interest_rate/12</f>
        <v>7178.6838963209275</v>
      </c>
      <c r="M53" s="51">
        <f>prev PB_model*interest_rate/12</f>
        <v>6793.5466017148474</v>
      </c>
      <c r="N53" s="51">
        <f>prev PB_model*interest_rate/12</f>
        <v>6400.7065612166471</v>
      </c>
      <c r="O53" s="51">
        <f>prev PB_model*interest_rate/12</f>
        <v>6000.0097199084785</v>
      </c>
      <c r="P53" s="51">
        <f>prev PB_model*interest_rate/12</f>
        <v>5591.2989417741492</v>
      </c>
      <c r="Q53" s="51">
        <f>prev PB_model*interest_rate/12</f>
        <v>5174.4139480771337</v>
      </c>
      <c r="R53" s="51">
        <f>prev PB_model*interest_rate/12</f>
        <v>4749.1912545061778</v>
      </c>
      <c r="S53" s="51">
        <f>prev PB_model*interest_rate/12</f>
        <v>4315.4641070638027</v>
      </c>
      <c r="T53" s="51">
        <f>prev PB_model*interest_rate/12</f>
        <v>3873.0624166725793</v>
      </c>
      <c r="U53" s="51">
        <f>prev PB_model*interest_rate/12</f>
        <v>3421.812692473532</v>
      </c>
      <c r="V53" s="51">
        <f>prev PB_model*interest_rate/12</f>
        <v>2961.5379737905041</v>
      </c>
      <c r="W53" s="51">
        <f>prev PB_model*interest_rate/12</f>
        <v>2492.057760733815</v>
      </c>
      <c r="X53" s="51">
        <f>prev PB_model*interest_rate/12</f>
        <v>2013.1879434159928</v>
      </c>
      <c r="Y53" s="51">
        <f>prev PB_model*interest_rate/12</f>
        <v>1524.7407297518137</v>
      </c>
      <c r="Z53" s="51">
        <f>prev PB_model*interest_rate/12</f>
        <v>1026.5245718143508</v>
      </c>
      <c r="AA53" s="51">
        <f>prev PB_model*interest_rate/12</f>
        <v>518.34409071813877</v>
      </c>
    </row>
    <row r="54" spans="1:87" x14ac:dyDescent="0.2">
      <c r="A54" s="47"/>
      <c r="B54" s="27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87" ht="17" x14ac:dyDescent="0.2">
      <c r="A55" s="78" t="s">
        <v>83</v>
      </c>
      <c r="B55" s="52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87" x14ac:dyDescent="0.2">
      <c r="A56" s="47" t="s">
        <v>84</v>
      </c>
      <c r="B56" s="27" t="s">
        <v>85</v>
      </c>
      <c r="C56" s="48">
        <f t="shared" ref="C56:AA56" si="3">PB_cur+PB_dlq</f>
        <v>500000</v>
      </c>
      <c r="D56" s="48">
        <f t="shared" si="3"/>
        <v>466378.10001284769</v>
      </c>
      <c r="E56" s="48">
        <f t="shared" si="3"/>
        <v>441403.64290420746</v>
      </c>
      <c r="F56" s="48">
        <f t="shared" si="3"/>
        <v>416052.74424075277</v>
      </c>
      <c r="G56" s="48">
        <f t="shared" si="3"/>
        <v>377745.21105450927</v>
      </c>
      <c r="H56" s="48">
        <f t="shared" si="3"/>
        <v>350768.16243048594</v>
      </c>
      <c r="I56" s="48">
        <f t="shared" si="3"/>
        <v>324351.41557953361</v>
      </c>
      <c r="J56" s="48">
        <f t="shared" si="3"/>
        <v>298631.76724434551</v>
      </c>
      <c r="K56" s="48">
        <f t="shared" si="3"/>
        <v>273710.17618450697</v>
      </c>
      <c r="L56" s="48">
        <f t="shared" si="3"/>
        <v>249661.11083584381</v>
      </c>
      <c r="M56" s="48">
        <f t="shared" si="3"/>
        <v>226538.15081827424</v>
      </c>
      <c r="N56" s="48">
        <f t="shared" si="3"/>
        <v>204377.76309334591</v>
      </c>
      <c r="O56" s="48">
        <f t="shared" si="3"/>
        <v>183202.08630297316</v>
      </c>
      <c r="P56" s="48">
        <f t="shared" si="3"/>
        <v>163021.12475481941</v>
      </c>
      <c r="Q56" s="48">
        <f t="shared" si="3"/>
        <v>143834.56075904286</v>
      </c>
      <c r="R56" s="48">
        <f t="shared" si="3"/>
        <v>125633.30037494685</v>
      </c>
      <c r="S56" s="48">
        <f t="shared" si="3"/>
        <v>108400.81914350211</v>
      </c>
      <c r="T56" s="48">
        <f t="shared" si="3"/>
        <v>92114.348068938867</v>
      </c>
      <c r="U56" s="48">
        <f t="shared" si="3"/>
        <v>76745.925338310393</v>
      </c>
      <c r="V56" s="48">
        <f t="shared" si="3"/>
        <v>62263.330778731077</v>
      </c>
      <c r="W56" s="48">
        <f t="shared" si="3"/>
        <v>48630.915105256288</v>
      </c>
      <c r="X56" s="48">
        <f t="shared" si="3"/>
        <v>35810.333109490777</v>
      </c>
      <c r="Y56" s="48">
        <f t="shared" si="3"/>
        <v>23761.188229994783</v>
      </c>
      <c r="Z56" s="48">
        <f t="shared" si="3"/>
        <v>12441.594933826202</v>
      </c>
      <c r="AA56" s="48">
        <f t="shared" si="3"/>
        <v>0</v>
      </c>
    </row>
    <row r="57" spans="1:87" x14ac:dyDescent="0.2">
      <c r="A57" s="32" t="s">
        <v>86</v>
      </c>
      <c r="B57" s="33" t="s">
        <v>44</v>
      </c>
      <c r="C57" s="48">
        <f t="shared" ref="C57:AA57" si="4">PB_model*accnt_cur</f>
        <v>500000</v>
      </c>
      <c r="D57" s="48">
        <f>PB_model*accnt_cur</f>
        <v>420889.41908506909</v>
      </c>
      <c r="E57" s="48">
        <f t="shared" si="4"/>
        <v>391555.7671148408</v>
      </c>
      <c r="F57" s="48">
        <f t="shared" si="4"/>
        <v>363678.79627121595</v>
      </c>
      <c r="G57" s="48">
        <f t="shared" si="4"/>
        <v>334961.89924524515</v>
      </c>
      <c r="H57" s="48">
        <f t="shared" si="4"/>
        <v>309127.7239331865</v>
      </c>
      <c r="I57" s="48">
        <f t="shared" si="4"/>
        <v>284120.44712820475</v>
      </c>
      <c r="J57" s="48">
        <f t="shared" si="4"/>
        <v>260037.81777313491</v>
      </c>
      <c r="K57" s="48">
        <f t="shared" si="4"/>
        <v>236944.45637266492</v>
      </c>
      <c r="L57" s="48">
        <f t="shared" si="4"/>
        <v>214880.96734862775</v>
      </c>
      <c r="M57" s="48">
        <f t="shared" si="4"/>
        <v>193869.49835498809</v>
      </c>
      <c r="N57" s="48">
        <f t="shared" si="4"/>
        <v>173917.53149058911</v>
      </c>
      <c r="O57" s="48">
        <f t="shared" si="4"/>
        <v>155020.68682453307</v>
      </c>
      <c r="P57" s="48">
        <f t="shared" si="4"/>
        <v>137164.91838912942</v>
      </c>
      <c r="Q57" s="48">
        <f t="shared" si="4"/>
        <v>120328.30371909264</v>
      </c>
      <c r="R57" s="48">
        <f t="shared" si="4"/>
        <v>104482.54070993634</v>
      </c>
      <c r="S57" s="48">
        <f t="shared" si="4"/>
        <v>89594.2201284943</v>
      </c>
      <c r="T57" s="48">
        <f t="shared" si="4"/>
        <v>75625.917228495906</v>
      </c>
      <c r="U57" s="48">
        <f t="shared" si="4"/>
        <v>62537.131742108315</v>
      </c>
      <c r="V57" s="48">
        <f t="shared" si="4"/>
        <v>50285.097159875186</v>
      </c>
      <c r="W57" s="48">
        <f t="shared" si="4"/>
        <v>38825.475134259003</v>
      </c>
      <c r="X57" s="48">
        <f t="shared" si="4"/>
        <v>28112.947660499201</v>
      </c>
      <c r="Y57" s="48">
        <f t="shared" si="4"/>
        <v>18101.717620391522</v>
      </c>
      <c r="Z57" s="48">
        <f t="shared" si="4"/>
        <v>8745.9268657677276</v>
      </c>
      <c r="AA57" s="48">
        <f t="shared" si="4"/>
        <v>0</v>
      </c>
    </row>
    <row r="58" spans="1:87" x14ac:dyDescent="0.2">
      <c r="A58" s="32" t="s">
        <v>87</v>
      </c>
      <c r="B58" s="33" t="s">
        <v>43</v>
      </c>
      <c r="C58" s="48">
        <f>0</f>
        <v>0</v>
      </c>
      <c r="D58" s="49">
        <f>prev PB_model*accnt_dlq</f>
        <v>45488.680927778609</v>
      </c>
      <c r="E58" s="49">
        <f>prev PB_model*accnt_dlq</f>
        <v>49847.875789366677</v>
      </c>
      <c r="F58" s="49">
        <f>prev PB_model*accnt_dlq</f>
        <v>52373.947969536806</v>
      </c>
      <c r="G58" s="49">
        <f>prev PB_model*accnt_dlq</f>
        <v>42783.311809264131</v>
      </c>
      <c r="H58" s="49">
        <f>prev PB_model*accnt_dlq</f>
        <v>41640.438497299445</v>
      </c>
      <c r="I58" s="49">
        <f>prev PB_model*accnt_dlq</f>
        <v>40230.968451328874</v>
      </c>
      <c r="J58" s="49">
        <f>prev PB_model*accnt_dlq</f>
        <v>38593.949471210566</v>
      </c>
      <c r="K58" s="49">
        <f>prev PB_model*accnt_dlq</f>
        <v>36765.719811842078</v>
      </c>
      <c r="L58" s="49">
        <f>prev PB_model*accnt_dlq</f>
        <v>34780.143487216068</v>
      </c>
      <c r="M58" s="49">
        <f>prev PB_model*accnt_dlq</f>
        <v>32668.652463286147</v>
      </c>
      <c r="N58" s="49">
        <f>prev PB_model*accnt_dlq</f>
        <v>30460.231602756787</v>
      </c>
      <c r="O58" s="49">
        <f>prev PB_model*accnt_dlq</f>
        <v>28181.399478440078</v>
      </c>
      <c r="P58" s="49">
        <f>prev PB_model*accnt_dlq</f>
        <v>25856.206365689992</v>
      </c>
      <c r="Q58" s="49">
        <f>prev PB_model*accnt_dlq</f>
        <v>23506.257039950226</v>
      </c>
      <c r="R58" s="49">
        <f>prev PB_model*accnt_dlq</f>
        <v>21150.759665010515</v>
      </c>
      <c r="S58" s="49">
        <f>prev PB_model*accnt_dlq</f>
        <v>18806.599015007818</v>
      </c>
      <c r="T58" s="49">
        <f>prev PB_model*accnt_dlq</f>
        <v>16488.430840442958</v>
      </c>
      <c r="U58" s="49">
        <f>prev PB_model*accnt_dlq</f>
        <v>14208.793596202071</v>
      </c>
      <c r="V58" s="49">
        <f>prev PB_model*accnt_dlq</f>
        <v>11978.233618855889</v>
      </c>
      <c r="W58" s="49">
        <f>prev PB_model*accnt_dlq</f>
        <v>9805.439970997284</v>
      </c>
      <c r="X58" s="49">
        <f>prev PB_model*accnt_dlq</f>
        <v>7697.3854489915793</v>
      </c>
      <c r="Y58" s="49">
        <f>prev PB_model*accnt_dlq</f>
        <v>5659.4706096032623</v>
      </c>
      <c r="Z58" s="49">
        <f>prev PB_model*accnt_dlq</f>
        <v>3695.6680680584736</v>
      </c>
      <c r="AA58" s="49">
        <f>prev PB_model*accnt_dlq</f>
        <v>0</v>
      </c>
    </row>
    <row r="59" spans="1:87" x14ac:dyDescent="0.2">
      <c r="A59" s="47" t="s">
        <v>88</v>
      </c>
      <c r="B59" s="50" t="s">
        <v>89</v>
      </c>
      <c r="C59" s="51">
        <v>0</v>
      </c>
      <c r="D59" s="51">
        <v>0</v>
      </c>
      <c r="E59" s="51">
        <v>0</v>
      </c>
      <c r="F59" s="51">
        <v>0</v>
      </c>
      <c r="G59" s="51">
        <f>prev_ PB_model *accnt_b_def+ prev PB_def</f>
        <v>14603.632621705858</v>
      </c>
      <c r="H59" s="51">
        <f>prev_ PB_model *accnt_b_def+ prev PB_def</f>
        <v>17806.64419254156</v>
      </c>
      <c r="I59" s="51">
        <f>prev_ PB_model *accnt_b_def+ prev PB_def</f>
        <v>21091.658833064848</v>
      </c>
      <c r="J59" s="51">
        <f>prev_ PB_model *accnt_b_def+ prev PB_def</f>
        <v>24397.290499893639</v>
      </c>
      <c r="K59" s="51">
        <f>prev_ PB_model *accnt_b_def+ prev PB_def</f>
        <v>27670.154658341075</v>
      </c>
      <c r="L59" s="51">
        <f>prev_ PB_model *accnt_b_def+ prev PB_def</f>
        <v>30864.593493673776</v>
      </c>
      <c r="M59" s="51">
        <f>prev_ PB_model *accnt_b_def+ prev PB_def</f>
        <v>33942.317950542492</v>
      </c>
      <c r="N59" s="51">
        <f>prev_ PB_model *accnt_b_def+ prev PB_def</f>
        <v>36871.984618532806</v>
      </c>
      <c r="O59" s="51">
        <f>prev_ PB_model *accnt_b_def+ prev PB_def</f>
        <v>39628.725399688185</v>
      </c>
      <c r="P59" s="51">
        <f>prev_ PB_model *accnt_b_def+ prev PB_def</f>
        <v>42193.646236929817</v>
      </c>
      <c r="Q59" s="51">
        <f>prev_ PB_model *accnt_b_def+ prev PB_def</f>
        <v>44553.309164356731</v>
      </c>
      <c r="R59" s="51">
        <f>prev_ PB_model *accnt_b_def+ prev PB_def</f>
        <v>46699.209906689546</v>
      </c>
      <c r="S59" s="51">
        <f>prev_ PB_model *accnt_b_def+ prev PB_def</f>
        <v>48627.261315975884</v>
      </c>
      <c r="T59" s="51">
        <f>prev_ PB_model *accnt_b_def+ prev PB_def</f>
        <v>50337.291129134974</v>
      </c>
      <c r="U59" s="51">
        <f>prev_ PB_model *accnt_b_def+ prev PB_def</f>
        <v>51832.560876723852</v>
      </c>
      <c r="V59" s="51">
        <f>prev_ PB_model *accnt_b_def+ prev PB_def</f>
        <v>53119.311279059097</v>
      </c>
      <c r="W59" s="51">
        <f>prev_ PB_model *accnt_b_def+ prev PB_def</f>
        <v>54206.338133355937</v>
      </c>
      <c r="X59" s="51">
        <f>prev_ PB_model *accnt_b_def+ prev PB_def</f>
        <v>55104.60152432567</v>
      </c>
      <c r="Y59" s="51">
        <f>prev_ PB_model *accnt_b_def+ prev PB_def</f>
        <v>55826.870177417564</v>
      </c>
      <c r="Z59" s="51">
        <f>prev_ PB_model *accnt_b_def+ prev PB_def</f>
        <v>56387.401912966772</v>
      </c>
      <c r="AA59" s="51">
        <f>prev_ PB_model *accnt_b_def+ prev PB_def</f>
        <v>56801.660443340632</v>
      </c>
    </row>
    <row r="60" spans="1:87" x14ac:dyDescent="0.2">
      <c r="A60" s="47"/>
      <c r="B60" s="27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87" ht="17" x14ac:dyDescent="0.2">
      <c r="A61" s="78" t="s">
        <v>65</v>
      </c>
      <c r="B61" s="2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87" x14ac:dyDescent="0.2">
      <c r="A62" s="29" t="s">
        <v>111</v>
      </c>
      <c r="B62" s="27" t="s">
        <v>11</v>
      </c>
      <c r="C62" s="53">
        <f t="shared" ref="C62:H62" si="5">GB_cur+GB_dlq</f>
        <v>500000</v>
      </c>
      <c r="D62" s="53">
        <f t="shared" si="5"/>
        <v>467287.87363140326</v>
      </c>
      <c r="E62" s="53">
        <f t="shared" si="5"/>
        <v>442400.60041999479</v>
      </c>
      <c r="F62" s="53">
        <f t="shared" si="5"/>
        <v>417100.22320014349</v>
      </c>
      <c r="G62" s="53">
        <f t="shared" si="5"/>
        <v>378600.87729069457</v>
      </c>
      <c r="H62" s="53">
        <f t="shared" si="5"/>
        <v>351600.97120043193</v>
      </c>
      <c r="I62" s="53">
        <f t="shared" ref="I62:AA62" si="6">GB_cur+GB_dlq</f>
        <v>325156.03494856018</v>
      </c>
      <c r="J62" s="53">
        <f t="shared" si="6"/>
        <v>299403.64623376972</v>
      </c>
      <c r="K62" s="53">
        <f t="shared" si="6"/>
        <v>274445.49058074388</v>
      </c>
      <c r="L62" s="53">
        <f t="shared" si="6"/>
        <v>250356.71370558813</v>
      </c>
      <c r="M62" s="53">
        <f t="shared" si="6"/>
        <v>227191.52386753995</v>
      </c>
      <c r="N62" s="53">
        <f t="shared" si="6"/>
        <v>204986.96772540105</v>
      </c>
      <c r="O62" s="53">
        <f t="shared" si="6"/>
        <v>183765.71429254196</v>
      </c>
      <c r="P62" s="53">
        <f t="shared" si="6"/>
        <v>163538.24888213322</v>
      </c>
      <c r="Q62" s="53">
        <f t="shared" si="6"/>
        <v>144304.68589984186</v>
      </c>
      <c r="R62" s="53">
        <f t="shared" si="6"/>
        <v>126056.31556824705</v>
      </c>
      <c r="S62" s="53">
        <f t="shared" si="6"/>
        <v>108776.95112380228</v>
      </c>
      <c r="T62" s="53">
        <f t="shared" si="6"/>
        <v>92444.116685747722</v>
      </c>
      <c r="U62" s="53">
        <f t="shared" si="6"/>
        <v>77030.101210234425</v>
      </c>
      <c r="V62" s="53">
        <f t="shared" si="6"/>
        <v>62502.895451108197</v>
      </c>
      <c r="W62" s="53">
        <f t="shared" si="6"/>
        <v>48827.023904676229</v>
      </c>
      <c r="X62" s="53">
        <f t="shared" si="6"/>
        <v>35964.280818470608</v>
      </c>
      <c r="Y62" s="53">
        <f t="shared" si="6"/>
        <v>23874.37764218685</v>
      </c>
      <c r="Z62" s="53">
        <f t="shared" si="6"/>
        <v>12515.50829518737</v>
      </c>
      <c r="AA62" s="53">
        <f t="shared" si="6"/>
        <v>0</v>
      </c>
    </row>
    <row r="63" spans="1:87" x14ac:dyDescent="0.2">
      <c r="A63" s="32" t="s">
        <v>115</v>
      </c>
      <c r="B63" s="33" t="s">
        <v>12</v>
      </c>
      <c r="C63" s="53">
        <f t="shared" ref="C63:AA63" si="7">PB_model*accnt_cur</f>
        <v>500000</v>
      </c>
      <c r="D63" s="53">
        <f t="shared" si="7"/>
        <v>420889.41908506909</v>
      </c>
      <c r="E63" s="53">
        <f t="shared" si="7"/>
        <v>391555.7671148408</v>
      </c>
      <c r="F63" s="53">
        <f t="shared" si="7"/>
        <v>363678.79627121595</v>
      </c>
      <c r="G63" s="53">
        <f t="shared" si="7"/>
        <v>334961.89924524515</v>
      </c>
      <c r="H63" s="53">
        <f t="shared" si="7"/>
        <v>309127.7239331865</v>
      </c>
      <c r="I63" s="53">
        <f t="shared" si="7"/>
        <v>284120.44712820475</v>
      </c>
      <c r="J63" s="53">
        <f t="shared" si="7"/>
        <v>260037.81777313491</v>
      </c>
      <c r="K63" s="53">
        <f t="shared" si="7"/>
        <v>236944.45637266492</v>
      </c>
      <c r="L63" s="53">
        <f t="shared" si="7"/>
        <v>214880.96734862775</v>
      </c>
      <c r="M63" s="53">
        <f t="shared" si="7"/>
        <v>193869.49835498809</v>
      </c>
      <c r="N63" s="53">
        <f t="shared" si="7"/>
        <v>173917.53149058911</v>
      </c>
      <c r="O63" s="53">
        <f t="shared" si="7"/>
        <v>155020.68682453307</v>
      </c>
      <c r="P63" s="53">
        <f t="shared" si="7"/>
        <v>137164.91838912942</v>
      </c>
      <c r="Q63" s="53">
        <f t="shared" si="7"/>
        <v>120328.30371909264</v>
      </c>
      <c r="R63" s="53">
        <f t="shared" si="7"/>
        <v>104482.54070993634</v>
      </c>
      <c r="S63" s="53">
        <f t="shared" si="7"/>
        <v>89594.2201284943</v>
      </c>
      <c r="T63" s="53">
        <f t="shared" si="7"/>
        <v>75625.917228495906</v>
      </c>
      <c r="U63" s="53">
        <f t="shared" si="7"/>
        <v>62537.131742108315</v>
      </c>
      <c r="V63" s="53">
        <f t="shared" si="7"/>
        <v>50285.097159875186</v>
      </c>
      <c r="W63" s="53">
        <f t="shared" si="7"/>
        <v>38825.475134259003</v>
      </c>
      <c r="X63" s="53">
        <f t="shared" si="7"/>
        <v>28112.947660499201</v>
      </c>
      <c r="Y63" s="53">
        <f t="shared" si="7"/>
        <v>18101.717620391522</v>
      </c>
      <c r="Z63" s="53">
        <f t="shared" si="7"/>
        <v>8745.9268657677276</v>
      </c>
      <c r="AA63" s="53">
        <f t="shared" si="7"/>
        <v>0</v>
      </c>
    </row>
    <row r="64" spans="1:87" x14ac:dyDescent="0.2">
      <c r="A64" s="32" t="s">
        <v>13</v>
      </c>
      <c r="B64" s="33" t="s">
        <v>14</v>
      </c>
      <c r="C64" s="48">
        <f>0</f>
        <v>0</v>
      </c>
      <c r="D64" s="49">
        <f>(PB_model+regular_payment)*accnt_dlq</f>
        <v>46398.454546334178</v>
      </c>
      <c r="E64" s="49">
        <f t="shared" ref="E64:AA64" si="8">(PB_model+regular_payment)*accnt_dlq</f>
        <v>50844.833305154003</v>
      </c>
      <c r="F64" s="49">
        <f t="shared" si="8"/>
        <v>53421.426928927547</v>
      </c>
      <c r="G64" s="49">
        <f t="shared" si="8"/>
        <v>43638.978045449425</v>
      </c>
      <c r="H64" s="49">
        <f t="shared" si="8"/>
        <v>42473.247267245446</v>
      </c>
      <c r="I64" s="49">
        <f t="shared" si="8"/>
        <v>41035.58782035546</v>
      </c>
      <c r="J64" s="49">
        <f t="shared" si="8"/>
        <v>39365.828460634781</v>
      </c>
      <c r="K64" s="49">
        <f t="shared" si="8"/>
        <v>37501.034208078927</v>
      </c>
      <c r="L64" s="49">
        <f t="shared" si="8"/>
        <v>35475.746356960393</v>
      </c>
      <c r="M64" s="49">
        <f t="shared" si="8"/>
        <v>33322.025512551874</v>
      </c>
      <c r="N64" s="49">
        <f t="shared" si="8"/>
        <v>31069.436234811921</v>
      </c>
      <c r="O64" s="49">
        <f t="shared" si="8"/>
        <v>28745.027468008877</v>
      </c>
      <c r="P64" s="49">
        <f t="shared" si="8"/>
        <v>26373.330493003792</v>
      </c>
      <c r="Q64" s="49">
        <f t="shared" si="8"/>
        <v>23976.382180749231</v>
      </c>
      <c r="R64" s="49">
        <f t="shared" si="8"/>
        <v>21573.774858310724</v>
      </c>
      <c r="S64" s="49">
        <f t="shared" si="8"/>
        <v>19182.730995307975</v>
      </c>
      <c r="T64" s="49">
        <f t="shared" si="8"/>
        <v>16818.199457251816</v>
      </c>
      <c r="U64" s="49">
        <f t="shared" si="8"/>
        <v>14492.969468126112</v>
      </c>
      <c r="V64" s="49">
        <f t="shared" si="8"/>
        <v>12217.798291233008</v>
      </c>
      <c r="W64" s="49">
        <f t="shared" si="8"/>
        <v>10001.54877041723</v>
      </c>
      <c r="X64" s="49">
        <f t="shared" si="8"/>
        <v>7851.3331579714104</v>
      </c>
      <c r="Y64" s="49">
        <f t="shared" si="8"/>
        <v>5772.6600217953273</v>
      </c>
      <c r="Z64" s="49">
        <f t="shared" si="8"/>
        <v>3769.581429419643</v>
      </c>
      <c r="AA64" s="49">
        <f t="shared" si="8"/>
        <v>0</v>
      </c>
    </row>
    <row r="65" spans="1:87" s="4" customFormat="1" x14ac:dyDescent="0.2">
      <c r="A65" s="51" t="s">
        <v>92</v>
      </c>
      <c r="B65" s="50" t="s">
        <v>93</v>
      </c>
      <c r="C65" s="51">
        <v>0</v>
      </c>
      <c r="D65" s="51">
        <v>0</v>
      </c>
      <c r="E65" s="51">
        <v>0</v>
      </c>
      <c r="F65" s="51">
        <v>0</v>
      </c>
      <c r="G65" s="51">
        <f>(PB_model +4*regular_payment)*accnt_b_def+ prev GB_DEF</f>
        <v>15713.546839878787</v>
      </c>
      <c r="H65" s="51">
        <f>(PB_model +4*regular_payment)*accnt_b_def+ prev GB_DEF</f>
        <v>19159.29570220174</v>
      </c>
      <c r="I65" s="51">
        <f>(PB_model +4*regular_payment)*accnt_b_def+ prev GB_DEF</f>
        <v>22692.477853345899</v>
      </c>
      <c r="J65" s="51">
        <f>(PB_model +4*regular_payment)*accnt_b_def+ prev GB_DEF</f>
        <v>26246.968915549838</v>
      </c>
      <c r="K65" s="51">
        <f>(PB_model +4*regular_payment)*accnt_b_def+ prev GB_DEF</f>
        <v>29765.281566798287</v>
      </c>
      <c r="L65" s="51">
        <f>(PB_model +4*regular_payment)*accnt_b_def+ prev GB_DEF</f>
        <v>33198.267636066164</v>
      </c>
      <c r="M65" s="51">
        <f>(PB_model +4*regular_payment)*accnt_b_def+ prev GB_DEF</f>
        <v>36504.730577434399</v>
      </c>
      <c r="N65" s="51">
        <f>(PB_model +4*regular_payment)*accnt_b_def+ prev GB_DEF</f>
        <v>39650.967778500111</v>
      </c>
      <c r="O65" s="51">
        <f>(PB_model +4*regular_payment)*accnt_b_def+ prev GB_DEF</f>
        <v>42610.262060980749</v>
      </c>
      <c r="P65" s="51">
        <f>(PB_model +4*regular_payment)*accnt_b_def+ prev GB_DEF</f>
        <v>45362.339939201971</v>
      </c>
      <c r="Q65" s="51">
        <f>(PB_model +4*regular_payment)*accnt_b_def+ prev GB_DEF</f>
        <v>47892.812022001963</v>
      </c>
      <c r="R65" s="51">
        <f>(PB_model +4*regular_payment)*accnt_b_def+ prev GB_DEF</f>
        <v>50192.608747134153</v>
      </c>
      <c r="S65" s="51">
        <f>(PB_model +4*regular_payment)*accnt_b_def+ prev GB_DEF</f>
        <v>52257.422543307599</v>
      </c>
      <c r="T65" s="51">
        <f>(PB_model +4*regular_payment)*accnt_b_def+ prev GB_DEF</f>
        <v>54087.165566668518</v>
      </c>
      <c r="U65" s="51">
        <f>(PB_model +4*regular_payment)*accnt_b_def+ prev GB_DEF</f>
        <v>55685.450373818996</v>
      </c>
      <c r="V65" s="51">
        <f>(PB_model +4*regular_payment)*accnt_b_def+ prev GB_DEF</f>
        <v>57059.099280564558</v>
      </c>
      <c r="W65" s="51">
        <f>(PB_model +4*regular_payment)*accnt_b_def+ prev GB_DEF</f>
        <v>58217.686717508535</v>
      </c>
      <c r="X65" s="51">
        <f>(PB_model +4*regular_payment)*accnt_b_def+ prev GB_DEF</f>
        <v>59173.117629775399</v>
      </c>
      <c r="Y65" s="51">
        <f>(PB_model +4*regular_payment)*accnt_b_def+ prev GB_DEF</f>
        <v>59939.243874974236</v>
      </c>
      <c r="Z65" s="51">
        <f>(PB_model +4*regular_payment)*accnt_b_def+ prev GB_DEF</f>
        <v>60531.519644897598</v>
      </c>
      <c r="AA65" s="51">
        <f>(PB_model +4*regular_payment)*accnt_b_def+ prev GB_DEF</f>
        <v>60966.696164189103</v>
      </c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</row>
    <row r="66" spans="1:87" x14ac:dyDescent="0.2">
      <c r="A66" s="29"/>
      <c r="B66" s="27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spans="1:87" ht="17" x14ac:dyDescent="0.2">
      <c r="A67" s="78" t="s">
        <v>96</v>
      </c>
      <c r="B67" s="27"/>
      <c r="C67" s="53"/>
      <c r="D67" s="53"/>
      <c r="E67" s="53"/>
      <c r="F67" s="53"/>
      <c r="G67" s="53"/>
      <c r="H67" s="53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87" x14ac:dyDescent="0.2">
      <c r="A68" s="45" t="s">
        <v>94</v>
      </c>
      <c r="B68" s="27" t="s">
        <v>97</v>
      </c>
      <c r="C68" s="53">
        <f t="shared" ref="C68:AA68" si="9">interest+recovery</f>
        <v>0.2</v>
      </c>
      <c r="D68" s="53">
        <f t="shared" si="9"/>
        <v>10000.200000000001</v>
      </c>
      <c r="E68" s="53">
        <f t="shared" si="9"/>
        <v>9327.7620002569547</v>
      </c>
      <c r="F68" s="53">
        <f t="shared" si="9"/>
        <v>8828.2728580841485</v>
      </c>
      <c r="G68" s="53">
        <f t="shared" si="9"/>
        <v>8321.2548848150564</v>
      </c>
      <c r="H68" s="53">
        <f t="shared" si="9"/>
        <v>7555.1042210901851</v>
      </c>
      <c r="I68" s="53">
        <f t="shared" si="9"/>
        <v>7015.5632486097184</v>
      </c>
      <c r="J68" s="53">
        <f t="shared" si="9"/>
        <v>6487.2283115906721</v>
      </c>
      <c r="K68" s="53">
        <f t="shared" si="9"/>
        <v>5972.8353448869093</v>
      </c>
      <c r="L68" s="53">
        <f t="shared" si="9"/>
        <v>5474.4035236901391</v>
      </c>
      <c r="M68" s="53">
        <f t="shared" si="9"/>
        <v>4993.4222167168755</v>
      </c>
      <c r="N68" s="53">
        <f t="shared" si="9"/>
        <v>4530.9630163654847</v>
      </c>
      <c r="O68" s="53">
        <f t="shared" si="9"/>
        <v>4087.7552618669183</v>
      </c>
      <c r="P68" s="53">
        <f t="shared" si="9"/>
        <v>3664.2417260594625</v>
      </c>
      <c r="Q68" s="53">
        <f t="shared" si="9"/>
        <v>3260.6224950963874</v>
      </c>
      <c r="R68" s="53">
        <f t="shared" si="9"/>
        <v>2876.8912151808568</v>
      </c>
      <c r="S68" s="53">
        <f t="shared" si="9"/>
        <v>2512.8660074989366</v>
      </c>
      <c r="T68" s="53">
        <f t="shared" si="9"/>
        <v>2168.2163828700418</v>
      </c>
      <c r="U68" s="53">
        <f t="shared" si="9"/>
        <v>1842.4869613787773</v>
      </c>
      <c r="V68" s="53">
        <f t="shared" si="9"/>
        <v>1535.1185067662077</v>
      </c>
      <c r="W68" s="53">
        <f t="shared" si="9"/>
        <v>1245.4666155746215</v>
      </c>
      <c r="X68" s="53">
        <f t="shared" si="9"/>
        <v>972.81830210512578</v>
      </c>
      <c r="Y68" s="53">
        <f t="shared" si="9"/>
        <v>716.40666218981562</v>
      </c>
      <c r="Z68" s="53">
        <f t="shared" si="9"/>
        <v>475.42376459989566</v>
      </c>
      <c r="AA68" s="53">
        <f t="shared" si="9"/>
        <v>249.03189867652401</v>
      </c>
    </row>
    <row r="69" spans="1:87" x14ac:dyDescent="0.2">
      <c r="A69" s="32" t="s">
        <v>34</v>
      </c>
      <c r="B69" s="33" t="s">
        <v>34</v>
      </c>
      <c r="C69" s="53">
        <f>0</f>
        <v>0</v>
      </c>
      <c r="D69" s="53">
        <f>prev PB_act*interest_rate/12</f>
        <v>10000</v>
      </c>
      <c r="E69" s="53">
        <f>prev PB_act*interest_rate/12</f>
        <v>9327.562000256954</v>
      </c>
      <c r="F69" s="53">
        <f>prev PB_act*interest_rate/12</f>
        <v>8828.0728580841478</v>
      </c>
      <c r="G69" s="53">
        <f>prev PB_act*interest_rate/12</f>
        <v>8321.0548848150556</v>
      </c>
      <c r="H69" s="53">
        <f>prev PB_act*interest_rate/12</f>
        <v>7554.9042210901853</v>
      </c>
      <c r="I69" s="53">
        <f>prev PB_act*interest_rate/12</f>
        <v>7015.3632486097185</v>
      </c>
      <c r="J69" s="53">
        <f>prev PB_act*interest_rate/12</f>
        <v>6487.0283115906723</v>
      </c>
      <c r="K69" s="53">
        <f>prev PB_act*interest_rate/12</f>
        <v>5972.6353448869095</v>
      </c>
      <c r="L69" s="53">
        <f>prev PB_act*interest_rate/12</f>
        <v>5474.2035236901393</v>
      </c>
      <c r="M69" s="53">
        <f>prev PB_act*interest_rate/12</f>
        <v>4993.2222167168757</v>
      </c>
      <c r="N69" s="53">
        <f>prev PB_act*interest_rate/12</f>
        <v>4530.7630163654849</v>
      </c>
      <c r="O69" s="53">
        <f>prev PB_act*interest_rate/12</f>
        <v>4087.5552618669185</v>
      </c>
      <c r="P69" s="53">
        <f>prev PB_act*interest_rate/12</f>
        <v>3664.0417260594627</v>
      </c>
      <c r="Q69" s="53">
        <f>prev PB_act*interest_rate/12</f>
        <v>3260.4224950963876</v>
      </c>
      <c r="R69" s="53">
        <f>prev PB_act*interest_rate/12</f>
        <v>2876.6912151808569</v>
      </c>
      <c r="S69" s="53">
        <f>prev PB_act*interest_rate/12</f>
        <v>2512.6660074989368</v>
      </c>
      <c r="T69" s="53">
        <f>prev PB_act*interest_rate/12</f>
        <v>2168.016382870042</v>
      </c>
      <c r="U69" s="53">
        <f>prev PB_act*interest_rate/12</f>
        <v>1842.2869613787773</v>
      </c>
      <c r="V69" s="53">
        <f>prev PB_act*interest_rate/12</f>
        <v>1534.9185067662077</v>
      </c>
      <c r="W69" s="53">
        <f>prev PB_act*interest_rate/12</f>
        <v>1245.2666155746215</v>
      </c>
      <c r="X69" s="53">
        <f>prev PB_act*interest_rate/12</f>
        <v>972.61830210512574</v>
      </c>
      <c r="Y69" s="53">
        <f>prev PB_act*interest_rate/12</f>
        <v>716.20666218981557</v>
      </c>
      <c r="Z69" s="53">
        <f>prev PB_act*interest_rate/12</f>
        <v>475.22376459989567</v>
      </c>
      <c r="AA69" s="53">
        <f>prev PB_act*interest_rate/12</f>
        <v>248.83189867652402</v>
      </c>
    </row>
    <row r="70" spans="1:87" x14ac:dyDescent="0.2">
      <c r="A70" s="32" t="s">
        <v>66</v>
      </c>
      <c r="B70" s="33" t="s">
        <v>106</v>
      </c>
      <c r="C70" s="53">
        <v>0</v>
      </c>
      <c r="D70" s="53">
        <f>(GB_DEF-prev GB_DEF)*recovery</f>
        <v>0</v>
      </c>
      <c r="E70" s="53">
        <f>(GB_DEF-prev GB_DEF)*recovery</f>
        <v>0</v>
      </c>
      <c r="F70" s="53">
        <f>(GB_DEF-prev GB_DEF)*recovery</f>
        <v>0</v>
      </c>
      <c r="G70" s="53">
        <f>(GB_DEF-prev GB_DEF)*recovery</f>
        <v>3142.7093679757577</v>
      </c>
      <c r="H70" s="53">
        <f>(GB_DEF-prev GB_DEF)*recovery</f>
        <v>689.14977246459057</v>
      </c>
      <c r="I70" s="53">
        <f>(GB_DEF-prev GB_DEF)*recovery</f>
        <v>706.63643022883195</v>
      </c>
      <c r="J70" s="53">
        <f>(GB_DEF-prev GB_DEF)*recovery</f>
        <v>710.8982124407878</v>
      </c>
      <c r="K70" s="53">
        <f>(GB_DEF-prev GB_DEF)*recovery</f>
        <v>703.66253024968978</v>
      </c>
      <c r="L70" s="53">
        <f>(GB_DEF-prev GB_DEF)*recovery</f>
        <v>686.59721385357557</v>
      </c>
      <c r="M70" s="53">
        <f>(GB_DEF-prev GB_DEF)*recovery</f>
        <v>661.29258827364686</v>
      </c>
      <c r="N70" s="53">
        <f>(GB_DEF-prev GB_DEF)*recovery</f>
        <v>629.24744021314257</v>
      </c>
      <c r="O70" s="53">
        <f>(GB_DEF-prev GB_DEF)*recovery</f>
        <v>591.8588564961276</v>
      </c>
      <c r="P70" s="53">
        <f>(GB_DEF-prev GB_DEF)*recovery</f>
        <v>550.41557564424443</v>
      </c>
      <c r="Q70" s="53">
        <f>(GB_DEF-prev GB_DEF)*recovery</f>
        <v>506.09441655999836</v>
      </c>
      <c r="R70" s="53">
        <f>(GB_DEF-prev GB_DEF)*recovery</f>
        <v>459.95934502643797</v>
      </c>
      <c r="S70" s="53">
        <f>(GB_DEF-prev GB_DEF)*recovery</f>
        <v>412.96275923468932</v>
      </c>
      <c r="T70" s="53">
        <f>(GB_DEF-prev GB_DEF)*recovery</f>
        <v>365.94860467218388</v>
      </c>
      <c r="U70" s="53">
        <f>(GB_DEF-prev GB_DEF)*recovery</f>
        <v>319.65696143009558</v>
      </c>
      <c r="V70" s="53">
        <f>(GB_DEF-prev GB_DEF)*recovery</f>
        <v>274.72978134911244</v>
      </c>
      <c r="W70" s="53">
        <f>(GB_DEF-prev GB_DEF)*recovery</f>
        <v>231.71748738879543</v>
      </c>
      <c r="X70" s="53">
        <f>(GB_DEF-prev GB_DEF)*recovery</f>
        <v>191.08618245337277</v>
      </c>
      <c r="Y70" s="53">
        <f>(GB_DEF-prev GB_DEF)*recovery</f>
        <v>153.22524903976736</v>
      </c>
      <c r="Z70" s="53">
        <f>(GB_DEF-prev GB_DEF)*recovery</f>
        <v>118.45515398467251</v>
      </c>
      <c r="AA70" s="53">
        <f>(GB_DEF-prev GB_DEF)*recovery</f>
        <v>87.035303858300907</v>
      </c>
    </row>
    <row r="71" spans="1:87" x14ac:dyDescent="0.2">
      <c r="A71" s="29"/>
      <c r="B71" s="27"/>
      <c r="C71" s="53"/>
      <c r="D71" s="46"/>
      <c r="E71" s="46"/>
      <c r="F71" s="46"/>
      <c r="G71" s="46"/>
      <c r="H71" s="46"/>
      <c r="I71" s="46"/>
      <c r="J71" s="46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87" ht="17" x14ac:dyDescent="0.2">
      <c r="A72" s="78" t="s">
        <v>95</v>
      </c>
      <c r="B72" s="27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spans="1:87" x14ac:dyDescent="0.2">
      <c r="A73" s="45" t="s">
        <v>95</v>
      </c>
      <c r="B73" s="55" t="s">
        <v>112</v>
      </c>
      <c r="C73" s="53">
        <f t="shared" ref="C73:AA73" si="10">Loan_Loss+Cost_of_Funds+Operation_cost+collect_cost</f>
        <v>0</v>
      </c>
      <c r="D73" s="53">
        <f t="shared" si="10"/>
        <v>6297.916666666667</v>
      </c>
      <c r="E73" s="53">
        <f t="shared" si="10"/>
        <v>5934.0479669298747</v>
      </c>
      <c r="F73" s="53">
        <f t="shared" si="10"/>
        <v>5629.6554624653718</v>
      </c>
      <c r="G73" s="53">
        <f t="shared" si="10"/>
        <v>21032.041669713224</v>
      </c>
      <c r="H73" s="53">
        <f t="shared" si="10"/>
        <v>8287.9992562854804</v>
      </c>
      <c r="I73" s="53">
        <f t="shared" si="10"/>
        <v>8027.2644269415887</v>
      </c>
      <c r="J73" s="53">
        <f t="shared" si="10"/>
        <v>7718.5187323368109</v>
      </c>
      <c r="K73" s="53">
        <f t="shared" si="10"/>
        <v>7360.6008419660375</v>
      </c>
      <c r="L73" s="53">
        <f t="shared" si="10"/>
        <v>6963.1528346211617</v>
      </c>
      <c r="M73" s="53">
        <f t="shared" si="10"/>
        <v>6535.0960439036999</v>
      </c>
      <c r="N73" s="53">
        <f t="shared" si="10"/>
        <v>6084.6311762062351</v>
      </c>
      <c r="O73" s="53">
        <f t="shared" si="10"/>
        <v>5619.2347498166864</v>
      </c>
      <c r="P73" s="53">
        <f t="shared" si="10"/>
        <v>5145.6606164640489</v>
      </c>
      <c r="Q73" s="53">
        <f t="shared" si="10"/>
        <v>4669.9494638538554</v>
      </c>
      <c r="R73" s="53">
        <f t="shared" si="10"/>
        <v>4197.4467399242121</v>
      </c>
      <c r="S73" s="53">
        <f t="shared" si="10"/>
        <v>3732.8283563039186</v>
      </c>
      <c r="T73" s="53">
        <f t="shared" si="10"/>
        <v>3280.1330603272654</v>
      </c>
      <c r="U73" s="53">
        <f t="shared" si="10"/>
        <v>2842.8001955887657</v>
      </c>
      <c r="V73" s="53">
        <f t="shared" si="10"/>
        <v>2423.7115559258145</v>
      </c>
      <c r="W73" s="53">
        <f t="shared" si="10"/>
        <v>2025.2361052416759</v>
      </c>
      <c r="X73" s="53">
        <f t="shared" si="10"/>
        <v>1649.2764473875463</v>
      </c>
      <c r="Y73" s="53">
        <f t="shared" si="10"/>
        <v>1297.3160644599848</v>
      </c>
      <c r="Z73" s="53">
        <f t="shared" si="10"/>
        <v>970.46648504034999</v>
      </c>
      <c r="AA73" s="53">
        <f t="shared" si="10"/>
        <v>669.51368772419551</v>
      </c>
    </row>
    <row r="74" spans="1:87" x14ac:dyDescent="0.2">
      <c r="A74" s="32" t="s">
        <v>16</v>
      </c>
      <c r="B74" s="33" t="s">
        <v>102</v>
      </c>
      <c r="C74" s="53">
        <f>Cost_of_Funds+operational_cost+collect_cost</f>
        <v>0</v>
      </c>
      <c r="D74" s="53">
        <f>GB_DEF-prev GB_DEF</f>
        <v>0</v>
      </c>
      <c r="E74" s="53">
        <f>GB_DEF-prev GB_DEF</f>
        <v>0</v>
      </c>
      <c r="F74" s="53">
        <f>GB_DEF-prev GB_DEF</f>
        <v>0</v>
      </c>
      <c r="G74" s="53">
        <f>GB_DEF-prev GB_DEF</f>
        <v>15713.546839878787</v>
      </c>
      <c r="H74" s="53">
        <f>GB_DEF-prev GB_DEF</f>
        <v>3445.7488623229528</v>
      </c>
      <c r="I74" s="53">
        <f>GB_DEF-prev GB_DEF</f>
        <v>3533.1821511441594</v>
      </c>
      <c r="J74" s="53">
        <f>GB_DEF-prev GB_DEF</f>
        <v>3554.4910622039388</v>
      </c>
      <c r="K74" s="53">
        <f>GB_DEF-prev GB_DEF</f>
        <v>3518.3126512484487</v>
      </c>
      <c r="L74" s="53">
        <f>GB_DEF-prev GB_DEF</f>
        <v>3432.9860692678776</v>
      </c>
      <c r="M74" s="53">
        <f>GB_DEF-prev GB_DEF</f>
        <v>3306.4629413682342</v>
      </c>
      <c r="N74" s="53">
        <f>GB_DEF-prev GB_DEF</f>
        <v>3146.2372010657127</v>
      </c>
      <c r="O74" s="53">
        <f>GB_DEF-prev GB_DEF</f>
        <v>2959.2942824806378</v>
      </c>
      <c r="P74" s="53">
        <f>GB_DEF-prev GB_DEF</f>
        <v>2752.0778782212219</v>
      </c>
      <c r="Q74" s="53">
        <f>GB_DEF-prev GB_DEF</f>
        <v>2530.4720827999918</v>
      </c>
      <c r="R74" s="53">
        <f>GB_DEF-prev GB_DEF</f>
        <v>2299.7967251321897</v>
      </c>
      <c r="S74" s="53">
        <f>GB_DEF-prev GB_DEF</f>
        <v>2064.8137961734465</v>
      </c>
      <c r="T74" s="53">
        <f>GB_DEF-prev GB_DEF</f>
        <v>1829.7430233609193</v>
      </c>
      <c r="U74" s="53">
        <f>GB_DEF-prev GB_DEF</f>
        <v>1598.2848071504777</v>
      </c>
      <c r="V74" s="53">
        <f>GB_DEF-prev GB_DEF</f>
        <v>1373.6489067455623</v>
      </c>
      <c r="W74" s="53">
        <f>GB_DEF-prev GB_DEF</f>
        <v>1158.5874369439771</v>
      </c>
      <c r="X74" s="53">
        <f>GB_DEF-prev GB_DEF</f>
        <v>955.43091226686374</v>
      </c>
      <c r="Y74" s="53">
        <f>GB_DEF-prev GB_DEF</f>
        <v>766.12624519883684</v>
      </c>
      <c r="Z74" s="53">
        <f>GB_DEF-prev GB_DEF</f>
        <v>592.27576992336253</v>
      </c>
      <c r="AA74" s="53">
        <f>GB_DEF-prev GB_DEF</f>
        <v>435.17651929150452</v>
      </c>
    </row>
    <row r="75" spans="1:87" x14ac:dyDescent="0.2">
      <c r="A75" s="32" t="s">
        <v>15</v>
      </c>
      <c r="B75" s="33" t="s">
        <v>98</v>
      </c>
      <c r="C75" s="53">
        <f>IF(statement_no=0,0,prev AT1_req*At1_int_rate/12)</f>
        <v>0</v>
      </c>
      <c r="D75" s="53">
        <f>(1-Equity_Req)*prev GB_act*CoF/12</f>
        <v>6197.916666666667</v>
      </c>
      <c r="E75" s="53">
        <f>(1-Equity_Req)*prev GB_act*CoF/12</f>
        <v>5792.4226002226033</v>
      </c>
      <c r="F75" s="53">
        <f>(1-Equity_Req)*prev GB_act*CoF/12</f>
        <v>5483.9241093728524</v>
      </c>
      <c r="G75" s="53">
        <f>(1-Equity_Req)*prev GB_act*CoF/12</f>
        <v>5170.3048500851128</v>
      </c>
      <c r="H75" s="53">
        <f>(1-Equity_Req)*prev GB_act*CoF/12</f>
        <v>4693.073374749235</v>
      </c>
      <c r="I75" s="53">
        <f>(1-Equity_Req)*prev GB_act*CoF/12</f>
        <v>4358.3870388386886</v>
      </c>
      <c r="J75" s="53">
        <f>(1-Equity_Req)*prev GB_act*CoF/12</f>
        <v>4030.5800165498604</v>
      </c>
      <c r="K75" s="53">
        <f>(1-Equity_Req)*prev GB_act*CoF/12</f>
        <v>3711.3576981061046</v>
      </c>
      <c r="L75" s="53">
        <f>(1-Equity_Req)*prev GB_act*CoF/12</f>
        <v>3401.9805603238042</v>
      </c>
      <c r="M75" s="53">
        <f>(1-Equity_Req)*prev GB_act*CoF/12</f>
        <v>3103.3800969755198</v>
      </c>
      <c r="N75" s="53">
        <f>(1-Equity_Req)*prev GB_act*CoF/12</f>
        <v>2816.2282646080471</v>
      </c>
      <c r="O75" s="53">
        <f>(1-Equity_Req)*prev GB_act*CoF/12</f>
        <v>2540.9842874294504</v>
      </c>
      <c r="P75" s="53">
        <f>(1-Equity_Req)*prev GB_act*CoF/12</f>
        <v>2277.9291667513012</v>
      </c>
      <c r="Q75" s="53">
        <f>(1-Equity_Req)*prev GB_act*CoF/12</f>
        <v>2027.19287676811</v>
      </c>
      <c r="R75" s="53">
        <f>(1-Equity_Req)*prev GB_act*CoF/12</f>
        <v>1788.7768356334566</v>
      </c>
      <c r="S75" s="53">
        <f>(1-Equity_Req)*prev GB_act*CoF/12</f>
        <v>1562.5730783980625</v>
      </c>
      <c r="T75" s="53">
        <f>(1-Equity_Req)*prev GB_act*CoF/12</f>
        <v>1348.3809566387993</v>
      </c>
      <c r="U75" s="53">
        <f>(1-Equity_Req)*prev GB_act*CoF/12</f>
        <v>1145.9218630837479</v>
      </c>
      <c r="V75" s="53">
        <f>(1-Equity_Req)*prev GB_act*CoF/12</f>
        <v>954.85229625186423</v>
      </c>
      <c r="W75" s="53">
        <f>(1-Equity_Req)*prev GB_act*CoF/12</f>
        <v>774.77547486269532</v>
      </c>
      <c r="X75" s="53">
        <f>(1-Equity_Req)*prev GB_act*CoF/12</f>
        <v>605.25165048504925</v>
      </c>
      <c r="Y75" s="53">
        <f>(1-Equity_Req)*prev GB_act*CoF/12</f>
        <v>445.80723097895861</v>
      </c>
      <c r="Z75" s="53">
        <f>(1-Equity_Req)*prev GB_act*CoF/12</f>
        <v>295.94280618960784</v>
      </c>
      <c r="AA75" s="53">
        <f>(1-Equity_Req)*prev GB_act*CoF/12</f>
        <v>155.14015490909344</v>
      </c>
    </row>
    <row r="76" spans="1:87" x14ac:dyDescent="0.2">
      <c r="A76" s="32" t="s">
        <v>99</v>
      </c>
      <c r="B76" s="33" t="s">
        <v>105</v>
      </c>
      <c r="C76" s="53">
        <f>0</f>
        <v>0</v>
      </c>
      <c r="D76" s="53">
        <f>prev accnt_act*oper_cost</f>
        <v>100</v>
      </c>
      <c r="E76" s="53">
        <f>prev accnt_act*oper_cost</f>
        <v>96.136685779492552</v>
      </c>
      <c r="F76" s="53">
        <f>prev accnt_act*oper_cost</f>
        <v>94.189231201845118</v>
      </c>
      <c r="G76" s="53">
        <f>prev accnt_act*oper_cost</f>
        <v>92.091086804921801</v>
      </c>
      <c r="H76" s="53">
        <f>prev accnt_act*oper_cost</f>
        <v>87.004729423440224</v>
      </c>
      <c r="I76" s="53">
        <f>prev accnt_act*oper_cost</f>
        <v>84.217298153259108</v>
      </c>
      <c r="J76" s="53">
        <f>prev accnt_act*oper_cost</f>
        <v>81.395826579100046</v>
      </c>
      <c r="K76" s="53">
        <f>prev accnt_act*oper_cost</f>
        <v>78.565051044868454</v>
      </c>
      <c r="L76" s="53">
        <f>prev accnt_act*oper_cost</f>
        <v>75.744524468564251</v>
      </c>
      <c r="M76" s="53">
        <f>prev accnt_act*oper_cost</f>
        <v>72.950158816159231</v>
      </c>
      <c r="N76" s="53">
        <f>prev accnt_act*oper_cost</f>
        <v>70.195084999836126</v>
      </c>
      <c r="O76" s="53">
        <f>prev accnt_act*oper_cost</f>
        <v>67.490188194498629</v>
      </c>
      <c r="P76" s="53">
        <f>prev accnt_act*oper_cost</f>
        <v>64.844472700290609</v>
      </c>
      <c r="Q76" s="53">
        <f>prev accnt_act*oper_cost</f>
        <v>62.265330162793695</v>
      </c>
      <c r="R76" s="53">
        <f>prev accnt_act*oper_cost</f>
        <v>59.758749356482177</v>
      </c>
      <c r="S76" s="53">
        <f>prev accnt_act*oper_cost</f>
        <v>57.32948849257977</v>
      </c>
      <c r="T76" s="53">
        <f>prev accnt_act*oper_cost</f>
        <v>54.981222074652059</v>
      </c>
      <c r="U76" s="53">
        <f>prev accnt_act*oper_cost</f>
        <v>52.716669443697526</v>
      </c>
      <c r="V76" s="53">
        <f>prev accnt_act*oper_cost</f>
        <v>50.53770937945351</v>
      </c>
      <c r="W76" s="53">
        <f>prev accnt_act*oper_cost</f>
        <v>48.445483499697126</v>
      </c>
      <c r="X76" s="53">
        <f>prev accnt_act*oper_cost</f>
        <v>46.440490228272409</v>
      </c>
      <c r="Y76" s="53">
        <f>prev accnt_act*oper_cost</f>
        <v>44.52267051543123</v>
      </c>
      <c r="Z76" s="53">
        <f>prev accnt_act*oper_cost</f>
        <v>42.691486137895737</v>
      </c>
      <c r="AA76" s="53">
        <f>prev accnt_act*oper_cost</f>
        <v>40.945991191179793</v>
      </c>
    </row>
    <row r="77" spans="1:87" x14ac:dyDescent="0.2">
      <c r="A77" s="32" t="s">
        <v>100</v>
      </c>
      <c r="B77" s="33" t="s">
        <v>101</v>
      </c>
      <c r="C77" s="53">
        <v>0</v>
      </c>
      <c r="D77" s="53">
        <f>(prev accnt_dlq+prev accnt_b_def)*collection_cost</f>
        <v>0</v>
      </c>
      <c r="E77" s="53">
        <f>(prev accnt_dlq+prev accnt_b_def)*collection_cost</f>
        <v>45.48868092777861</v>
      </c>
      <c r="F77" s="53">
        <f>(prev accnt_dlq+prev accnt_b_def)*collection_cost</f>
        <v>51.542121890673876</v>
      </c>
      <c r="G77" s="53">
        <f>(prev accnt_dlq+prev accnt_b_def)*collection_cost</f>
        <v>56.098892944402543</v>
      </c>
      <c r="H77" s="53">
        <f>(prev accnt_dlq+prev accnt_b_def)*collection_cost</f>
        <v>62.172289789853259</v>
      </c>
      <c r="I77" s="53">
        <f>(prev accnt_dlq+prev accnt_b_def)*collection_cost</f>
        <v>51.477938805481188</v>
      </c>
      <c r="J77" s="53">
        <f>(prev accnt_dlq+prev accnt_b_def)*collection_cost</f>
        <v>52.051827003912379</v>
      </c>
      <c r="K77" s="53">
        <f>(prev accnt_dlq+prev accnt_b_def)*collection_cost</f>
        <v>52.365441566614834</v>
      </c>
      <c r="L77" s="53">
        <f>(prev accnt_dlq+prev accnt_b_def)*collection_cost</f>
        <v>52.441680560916417</v>
      </c>
      <c r="M77" s="53">
        <f>(prev accnt_dlq+prev accnt_b_def)*collection_cost</f>
        <v>52.302846743787271</v>
      </c>
      <c r="N77" s="53">
        <f>(prev accnt_dlq+prev accnt_b_def)*collection_cost</f>
        <v>51.970625532639005</v>
      </c>
      <c r="O77" s="53">
        <f>(prev accnt_dlq+prev accnt_b_def)*collection_cost</f>
        <v>51.465991712099651</v>
      </c>
      <c r="P77" s="53">
        <f>(prev accnt_dlq+prev accnt_b_def)*collection_cost</f>
        <v>50.809098791235506</v>
      </c>
      <c r="Q77" s="53">
        <f>(prev accnt_dlq+prev accnt_b_def)*collection_cost</f>
        <v>50.019174122959967</v>
      </c>
      <c r="R77" s="53">
        <f>(prev accnt_dlq+prev accnt_b_def)*collection_cost</f>
        <v>49.114429802083968</v>
      </c>
      <c r="S77" s="53">
        <f>(prev accnt_dlq+prev accnt_b_def)*collection_cost</f>
        <v>48.111993239829751</v>
      </c>
      <c r="T77" s="53">
        <f>(prev accnt_dlq+prev accnt_b_def)*collection_cost</f>
        <v>47.02785825289493</v>
      </c>
      <c r="U77" s="53">
        <f>(prev accnt_dlq+prev accnt_b_def)*collection_cost</f>
        <v>45.876855910842821</v>
      </c>
      <c r="V77" s="53">
        <f>(prev accnt_dlq+prev accnt_b_def)*collection_cost</f>
        <v>44.672643548934687</v>
      </c>
      <c r="W77" s="53">
        <f>(prev accnt_dlq+prev accnt_b_def)*collection_cost</f>
        <v>43.427709935306453</v>
      </c>
      <c r="X77" s="53">
        <f>(prev accnt_dlq+prev accnt_b_def)*collection_cost</f>
        <v>42.153394407360949</v>
      </c>
      <c r="Y77" s="53">
        <f>(prev accnt_dlq+prev accnt_b_def)*collection_cost</f>
        <v>40.859917766758187</v>
      </c>
      <c r="Z77" s="53">
        <f>(prev accnt_dlq+prev accnt_b_def)*collection_cost</f>
        <v>39.556422789483932</v>
      </c>
      <c r="AA77" s="53">
        <f>(prev accnt_dlq+prev accnt_b_def)*collection_cost</f>
        <v>38.251022332417755</v>
      </c>
    </row>
    <row r="78" spans="1:87" x14ac:dyDescent="0.2">
      <c r="A78" s="56"/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 spans="1:87" ht="17" x14ac:dyDescent="0.2">
      <c r="A79" s="78" t="s">
        <v>47</v>
      </c>
      <c r="B79" s="27"/>
      <c r="C79" s="45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59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spans="1:87" x14ac:dyDescent="0.2">
      <c r="A80" s="60" t="s">
        <v>42</v>
      </c>
      <c r="B80" s="61" t="s">
        <v>48</v>
      </c>
      <c r="C80" s="51">
        <f>C68</f>
        <v>0.2</v>
      </c>
      <c r="D80" s="51">
        <f>(prev GB_act- GB_act)+(prev GB_DEF - GB_DEF)+Gross_profit</f>
        <v>42712.326368596739</v>
      </c>
      <c r="E80" s="51">
        <f>(prev GB_act- GB_act)+(prev GB_DEF - GB_DEF)+Gross_profit</f>
        <v>34215.035211665418</v>
      </c>
      <c r="F80" s="51">
        <f>(prev GB_act- GB_act)+(prev GB_DEF - GB_DEF)+Gross_profit</f>
        <v>34128.650077935454</v>
      </c>
      <c r="G80" s="51">
        <f>(prev GB_act- GB_act)+(prev GB_DEF - GB_DEF)+Gross_profit</f>
        <v>31107.053954385192</v>
      </c>
      <c r="H80" s="51">
        <f>(prev GB_act- GB_act)+(prev GB_DEF - GB_DEF)+Gross_profit</f>
        <v>31109.261449029873</v>
      </c>
      <c r="I80" s="51">
        <f>(prev GB_act- GB_act)+(prev GB_DEF - GB_DEF)+Gross_profit</f>
        <v>29927.317349337311</v>
      </c>
      <c r="J80" s="51">
        <f>(prev GB_act- GB_act)+(prev GB_DEF - GB_DEF)+Gross_profit</f>
        <v>28685.125964177194</v>
      </c>
      <c r="K80" s="51">
        <f>(prev GB_act- GB_act)+(prev GB_DEF - GB_DEF)+Gross_profit</f>
        <v>27412.678346664299</v>
      </c>
      <c r="L80" s="51">
        <f>(prev GB_act- GB_act)+(prev GB_DEF - GB_DEF)+Gross_profit</f>
        <v>26130.194329578007</v>
      </c>
      <c r="M80" s="51">
        <f>(prev GB_act- GB_act)+(prev GB_DEF - GB_DEF)+Gross_profit</f>
        <v>24852.14911339683</v>
      </c>
      <c r="N80" s="51">
        <f>(prev GB_act- GB_act)+(prev GB_DEF - GB_DEF)+Gross_profit</f>
        <v>23589.28195743867</v>
      </c>
      <c r="O80" s="51">
        <f>(prev GB_act- GB_act)+(prev GB_DEF - GB_DEF)+Gross_profit</f>
        <v>22349.714412245365</v>
      </c>
      <c r="P80" s="51">
        <f>(prev GB_act- GB_act)+(prev GB_DEF - GB_DEF)+Gross_profit</f>
        <v>21139.62925824698</v>
      </c>
      <c r="Q80" s="51">
        <f>(prev GB_act- GB_act)+(prev GB_DEF - GB_DEF)+Gross_profit</f>
        <v>19963.713394587758</v>
      </c>
      <c r="R80" s="51">
        <f>(prev GB_act- GB_act)+(prev GB_DEF - GB_DEF)+Gross_profit</f>
        <v>18825.464821643476</v>
      </c>
      <c r="S80" s="51">
        <f>(prev GB_act- GB_act)+(prev GB_DEF - GB_DEF)+Gross_profit</f>
        <v>17727.416655770263</v>
      </c>
      <c r="T80" s="51">
        <f>(prev GB_act- GB_act)+(prev GB_DEF - GB_DEF)+Gross_profit</f>
        <v>16671.307797563684</v>
      </c>
      <c r="U80" s="51">
        <f>(prev GB_act- GB_act)+(prev GB_DEF - GB_DEF)+Gross_profit</f>
        <v>15658.217629741597</v>
      </c>
      <c r="V80" s="51">
        <f>(prev GB_act- GB_act)+(prev GB_DEF - GB_DEF)+Gross_profit</f>
        <v>14688.675359146873</v>
      </c>
      <c r="W80" s="51">
        <f>(prev GB_act- GB_act)+(prev GB_DEF - GB_DEF)+Gross_profit</f>
        <v>13762.750725062613</v>
      </c>
      <c r="X80" s="51">
        <f>(prev GB_act- GB_act)+(prev GB_DEF - GB_DEF)+Gross_profit</f>
        <v>12880.130476043883</v>
      </c>
      <c r="Y80" s="51">
        <f>(prev GB_act- GB_act)+(prev GB_DEF - GB_DEF)+Gross_profit</f>
        <v>12040.183593274738</v>
      </c>
      <c r="Z80" s="51">
        <f>(prev GB_act- GB_act)+(prev GB_DEF - GB_DEF)+Gross_profit</f>
        <v>11242.017341676014</v>
      </c>
      <c r="AA80" s="51">
        <f>(prev GB_act- GB_act)+(prev GB_DEF - GB_DEF)+Gross_profit</f>
        <v>12329.363674572389</v>
      </c>
    </row>
    <row r="81" spans="1:87" x14ac:dyDescent="0.2">
      <c r="A81" s="29"/>
      <c r="B81" s="27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spans="1:87" ht="17" x14ac:dyDescent="0.2">
      <c r="A82" s="78" t="s">
        <v>41</v>
      </c>
      <c r="B82" s="27"/>
      <c r="C82" s="4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87" x14ac:dyDescent="0.2">
      <c r="A83" s="29" t="s">
        <v>17</v>
      </c>
      <c r="B83" s="27" t="s">
        <v>18</v>
      </c>
      <c r="C83" s="53">
        <f>Gross_profit-Loan_Loss</f>
        <v>0.2</v>
      </c>
      <c r="D83" s="53">
        <f t="shared" ref="D83:AA83" si="11">Gross_profit-Gross_Loss</f>
        <v>3702.2833333333338</v>
      </c>
      <c r="E83" s="53">
        <f t="shared" si="11"/>
        <v>3393.71403332708</v>
      </c>
      <c r="F83" s="53">
        <f t="shared" si="11"/>
        <v>3198.6173956187768</v>
      </c>
      <c r="G83" s="53">
        <f t="shared" si="11"/>
        <v>-12710.786784898168</v>
      </c>
      <c r="H83" s="53">
        <f t="shared" si="11"/>
        <v>-732.89503519529535</v>
      </c>
      <c r="I83" s="53">
        <f t="shared" si="11"/>
        <v>-1011.7011783318703</v>
      </c>
      <c r="J83" s="53">
        <f t="shared" si="11"/>
        <v>-1231.2904207461388</v>
      </c>
      <c r="K83" s="53">
        <f t="shared" si="11"/>
        <v>-1387.7654970791282</v>
      </c>
      <c r="L83" s="53">
        <f t="shared" si="11"/>
        <v>-1488.7493109310226</v>
      </c>
      <c r="M83" s="53">
        <f t="shared" si="11"/>
        <v>-1541.6738271868244</v>
      </c>
      <c r="N83" s="53">
        <f t="shared" si="11"/>
        <v>-1553.6681598407504</v>
      </c>
      <c r="O83" s="53">
        <f t="shared" si="11"/>
        <v>-1531.4794879497681</v>
      </c>
      <c r="P83" s="53">
        <f t="shared" si="11"/>
        <v>-1481.4188904045864</v>
      </c>
      <c r="Q83" s="53">
        <f t="shared" si="11"/>
        <v>-1409.326968757468</v>
      </c>
      <c r="R83" s="53">
        <f t="shared" si="11"/>
        <v>-1320.5555247433554</v>
      </c>
      <c r="S83" s="53">
        <f t="shared" si="11"/>
        <v>-1219.962348804982</v>
      </c>
      <c r="T83" s="53">
        <f t="shared" si="11"/>
        <v>-1111.9166774572236</v>
      </c>
      <c r="U83" s="53">
        <f t="shared" si="11"/>
        <v>-1000.3132342099884</v>
      </c>
      <c r="V83" s="53">
        <f t="shared" si="11"/>
        <v>-888.59304915960684</v>
      </c>
      <c r="W83" s="53">
        <f t="shared" si="11"/>
        <v>-779.76948966705436</v>
      </c>
      <c r="X83" s="53">
        <f t="shared" si="11"/>
        <v>-676.45814528242056</v>
      </c>
      <c r="Y83" s="53">
        <f t="shared" si="11"/>
        <v>-580.90940227016915</v>
      </c>
      <c r="Z83" s="53">
        <f t="shared" si="11"/>
        <v>-495.04272044045433</v>
      </c>
      <c r="AA83" s="53">
        <f t="shared" si="11"/>
        <v>-420.4817890476715</v>
      </c>
    </row>
    <row r="84" spans="1:87" x14ac:dyDescent="0.2">
      <c r="A84" s="29" t="s">
        <v>19</v>
      </c>
      <c r="B84" s="27" t="s">
        <v>19</v>
      </c>
      <c r="C84" s="53">
        <f t="shared" ref="C84:AA84" si="12">Net_Income_Bax*tax_rate</f>
        <v>4.0000000000000008E-2</v>
      </c>
      <c r="D84" s="53">
        <f>Net_Income_Bax*tax_rate</f>
        <v>740.45666666666682</v>
      </c>
      <c r="E84" s="53">
        <f t="shared" si="12"/>
        <v>678.74280666541608</v>
      </c>
      <c r="F84" s="53">
        <f>Net_Income_Bax*tax_rate</f>
        <v>639.7234791237554</v>
      </c>
      <c r="G84" s="53">
        <f t="shared" si="12"/>
        <v>-2542.1573569796337</v>
      </c>
      <c r="H84" s="53">
        <f t="shared" si="12"/>
        <v>-146.57900703905906</v>
      </c>
      <c r="I84" s="53">
        <f>Net_Income_Bax*tax_rate</f>
        <v>-202.34023566637407</v>
      </c>
      <c r="J84" s="53">
        <f t="shared" si="12"/>
        <v>-246.25808414922778</v>
      </c>
      <c r="K84" s="53">
        <f t="shared" si="12"/>
        <v>-277.55309941582567</v>
      </c>
      <c r="L84" s="53">
        <f t="shared" si="12"/>
        <v>-297.74986218620455</v>
      </c>
      <c r="M84" s="53">
        <f t="shared" si="12"/>
        <v>-308.33476543736492</v>
      </c>
      <c r="N84" s="53">
        <f t="shared" si="12"/>
        <v>-310.73363196815012</v>
      </c>
      <c r="O84" s="53">
        <f t="shared" si="12"/>
        <v>-306.29589758995365</v>
      </c>
      <c r="P84" s="53">
        <f t="shared" si="12"/>
        <v>-296.28377808091727</v>
      </c>
      <c r="Q84" s="53">
        <f t="shared" si="12"/>
        <v>-281.86539375149363</v>
      </c>
      <c r="R84" s="53">
        <f t="shared" si="12"/>
        <v>-264.11110494867108</v>
      </c>
      <c r="S84" s="53">
        <f t="shared" si="12"/>
        <v>-243.99246976099641</v>
      </c>
      <c r="T84" s="53">
        <f t="shared" si="12"/>
        <v>-222.38333549144474</v>
      </c>
      <c r="U84" s="53">
        <f t="shared" si="12"/>
        <v>-200.06264684199769</v>
      </c>
      <c r="V84" s="53">
        <f t="shared" si="12"/>
        <v>-177.71860983192138</v>
      </c>
      <c r="W84" s="53">
        <f t="shared" si="12"/>
        <v>-155.95389793341087</v>
      </c>
      <c r="X84" s="53">
        <f t="shared" si="12"/>
        <v>-135.29162905648411</v>
      </c>
      <c r="Y84" s="53">
        <f t="shared" si="12"/>
        <v>-116.18188045403383</v>
      </c>
      <c r="Z84" s="53">
        <f t="shared" si="12"/>
        <v>-99.008544088090872</v>
      </c>
      <c r="AA84" s="53">
        <f t="shared" si="12"/>
        <v>-84.096357809534311</v>
      </c>
    </row>
    <row r="85" spans="1:87" s="5" customFormat="1" x14ac:dyDescent="0.2">
      <c r="A85" s="62" t="s">
        <v>40</v>
      </c>
      <c r="B85" s="63" t="s">
        <v>20</v>
      </c>
      <c r="C85" s="64">
        <f t="shared" ref="C85:AA85" si="13">Net_Income_Bax-Tax</f>
        <v>0.16</v>
      </c>
      <c r="D85" s="64">
        <f t="shared" si="13"/>
        <v>2961.8266666666668</v>
      </c>
      <c r="E85" s="64">
        <f t="shared" si="13"/>
        <v>2714.9712266616639</v>
      </c>
      <c r="F85" s="64">
        <f t="shared" si="13"/>
        <v>2558.8939164950216</v>
      </c>
      <c r="G85" s="64">
        <f t="shared" si="13"/>
        <v>-10168.629427918535</v>
      </c>
      <c r="H85" s="64">
        <f t="shared" si="13"/>
        <v>-586.31602815623626</v>
      </c>
      <c r="I85" s="64">
        <f t="shared" si="13"/>
        <v>-809.36094266549628</v>
      </c>
      <c r="J85" s="64">
        <f t="shared" si="13"/>
        <v>-985.03233659691102</v>
      </c>
      <c r="K85" s="64">
        <f t="shared" si="13"/>
        <v>-1110.2123976633025</v>
      </c>
      <c r="L85" s="64">
        <f t="shared" si="13"/>
        <v>-1190.999448744818</v>
      </c>
      <c r="M85" s="64">
        <f t="shared" si="13"/>
        <v>-1233.3390617494595</v>
      </c>
      <c r="N85" s="64">
        <f t="shared" si="13"/>
        <v>-1242.9345278726003</v>
      </c>
      <c r="O85" s="64">
        <f t="shared" si="13"/>
        <v>-1225.1835903598144</v>
      </c>
      <c r="P85" s="64">
        <f t="shared" si="13"/>
        <v>-1185.1351123236691</v>
      </c>
      <c r="Q85" s="64">
        <f t="shared" si="13"/>
        <v>-1127.4615750059743</v>
      </c>
      <c r="R85" s="64">
        <f t="shared" si="13"/>
        <v>-1056.4444197946843</v>
      </c>
      <c r="S85" s="64">
        <f t="shared" si="13"/>
        <v>-975.96987904398554</v>
      </c>
      <c r="T85" s="64">
        <f t="shared" si="13"/>
        <v>-889.53334196577885</v>
      </c>
      <c r="U85" s="64">
        <f t="shared" si="13"/>
        <v>-800.25058736799076</v>
      </c>
      <c r="V85" s="64">
        <f t="shared" si="13"/>
        <v>-710.87443932768542</v>
      </c>
      <c r="W85" s="64">
        <f t="shared" si="13"/>
        <v>-623.81559173364349</v>
      </c>
      <c r="X85" s="64">
        <f t="shared" si="13"/>
        <v>-541.16651622593645</v>
      </c>
      <c r="Y85" s="64">
        <f t="shared" si="13"/>
        <v>-464.72752181613532</v>
      </c>
      <c r="Z85" s="64">
        <f t="shared" si="13"/>
        <v>-396.03417635236349</v>
      </c>
      <c r="AA85" s="64">
        <f t="shared" si="13"/>
        <v>-336.38543123813719</v>
      </c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</row>
    <row r="86" spans="1:87" x14ac:dyDescent="0.2">
      <c r="A86" s="29"/>
      <c r="B86" s="27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spans="1:87" ht="17" x14ac:dyDescent="0.2">
      <c r="A87" s="78" t="s">
        <v>64</v>
      </c>
      <c r="B87" s="27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spans="1:87" s="2" customFormat="1" x14ac:dyDescent="0.2">
      <c r="A88" s="45" t="s">
        <v>51</v>
      </c>
      <c r="B88" s="27" t="s">
        <v>52</v>
      </c>
      <c r="C88" s="53">
        <f t="shared" ref="C88:AA88" si="14">GB_act</f>
        <v>500000</v>
      </c>
      <c r="D88" s="53">
        <f t="shared" si="14"/>
        <v>467287.87363140326</v>
      </c>
      <c r="E88" s="53">
        <f t="shared" si="14"/>
        <v>442400.60041999479</v>
      </c>
      <c r="F88" s="53">
        <f t="shared" si="14"/>
        <v>417100.22320014349</v>
      </c>
      <c r="G88" s="53">
        <f t="shared" si="14"/>
        <v>378600.87729069457</v>
      </c>
      <c r="H88" s="53">
        <f t="shared" si="14"/>
        <v>351600.97120043193</v>
      </c>
      <c r="I88" s="53">
        <f t="shared" si="14"/>
        <v>325156.03494856018</v>
      </c>
      <c r="J88" s="53">
        <f t="shared" si="14"/>
        <v>299403.64623376972</v>
      </c>
      <c r="K88" s="53">
        <f t="shared" si="14"/>
        <v>274445.49058074388</v>
      </c>
      <c r="L88" s="53">
        <f t="shared" si="14"/>
        <v>250356.71370558813</v>
      </c>
      <c r="M88" s="53">
        <f t="shared" si="14"/>
        <v>227191.52386753995</v>
      </c>
      <c r="N88" s="53">
        <f t="shared" si="14"/>
        <v>204986.96772540105</v>
      </c>
      <c r="O88" s="53">
        <f t="shared" si="14"/>
        <v>183765.71429254196</v>
      </c>
      <c r="P88" s="53">
        <f t="shared" si="14"/>
        <v>163538.24888213322</v>
      </c>
      <c r="Q88" s="53">
        <f t="shared" si="14"/>
        <v>144304.68589984186</v>
      </c>
      <c r="R88" s="53">
        <f t="shared" si="14"/>
        <v>126056.31556824705</v>
      </c>
      <c r="S88" s="53">
        <f t="shared" si="14"/>
        <v>108776.95112380228</v>
      </c>
      <c r="T88" s="53">
        <f t="shared" si="14"/>
        <v>92444.116685747722</v>
      </c>
      <c r="U88" s="53">
        <f t="shared" si="14"/>
        <v>77030.101210234425</v>
      </c>
      <c r="V88" s="53">
        <f t="shared" si="14"/>
        <v>62502.895451108197</v>
      </c>
      <c r="W88" s="53">
        <f t="shared" si="14"/>
        <v>48827.023904676229</v>
      </c>
      <c r="X88" s="53">
        <f t="shared" si="14"/>
        <v>35964.280818470608</v>
      </c>
      <c r="Y88" s="53">
        <f t="shared" si="14"/>
        <v>23874.37764218685</v>
      </c>
      <c r="Z88" s="53">
        <f t="shared" si="14"/>
        <v>12515.50829518737</v>
      </c>
      <c r="AA88" s="53">
        <f t="shared" si="14"/>
        <v>0</v>
      </c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</row>
    <row r="89" spans="1:87" s="2" customFormat="1" x14ac:dyDescent="0.2">
      <c r="A89" s="45" t="s">
        <v>50</v>
      </c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</row>
    <row r="90" spans="1:87" s="2" customFormat="1" x14ac:dyDescent="0.2">
      <c r="A90" s="29" t="s">
        <v>55</v>
      </c>
      <c r="B90" s="27" t="s">
        <v>54</v>
      </c>
      <c r="C90" s="53">
        <f t="shared" ref="C90:AA90" si="15">GB_act*Equity_Req</f>
        <v>62500</v>
      </c>
      <c r="D90" s="53">
        <f t="shared" si="15"/>
        <v>58410.984203925407</v>
      </c>
      <c r="E90" s="53">
        <f t="shared" si="15"/>
        <v>55300.075052499349</v>
      </c>
      <c r="F90" s="53">
        <f t="shared" si="15"/>
        <v>52137.527900017936</v>
      </c>
      <c r="G90" s="53">
        <f t="shared" si="15"/>
        <v>47325.109661336821</v>
      </c>
      <c r="H90" s="53">
        <f t="shared" si="15"/>
        <v>43950.121400053991</v>
      </c>
      <c r="I90" s="53">
        <f t="shared" si="15"/>
        <v>40644.504368570022</v>
      </c>
      <c r="J90" s="53">
        <f t="shared" si="15"/>
        <v>37425.455779221214</v>
      </c>
      <c r="K90" s="53">
        <f t="shared" si="15"/>
        <v>34305.686322592985</v>
      </c>
      <c r="L90" s="53">
        <f t="shared" si="15"/>
        <v>31294.589213198517</v>
      </c>
      <c r="M90" s="53">
        <f t="shared" si="15"/>
        <v>28398.940483442493</v>
      </c>
      <c r="N90" s="53">
        <f t="shared" si="15"/>
        <v>25623.370965675131</v>
      </c>
      <c r="O90" s="53">
        <f t="shared" si="15"/>
        <v>22970.714286567745</v>
      </c>
      <c r="P90" s="53">
        <f t="shared" si="15"/>
        <v>20442.281110266653</v>
      </c>
      <c r="Q90" s="53">
        <f t="shared" si="15"/>
        <v>18038.085737480233</v>
      </c>
      <c r="R90" s="53">
        <f t="shared" si="15"/>
        <v>15757.039446030882</v>
      </c>
      <c r="S90" s="53">
        <f t="shared" si="15"/>
        <v>13597.118890475285</v>
      </c>
      <c r="T90" s="53">
        <f t="shared" si="15"/>
        <v>11555.514585718465</v>
      </c>
      <c r="U90" s="53">
        <f t="shared" si="15"/>
        <v>9628.7626512793031</v>
      </c>
      <c r="V90" s="53">
        <f t="shared" si="15"/>
        <v>7812.8619313885247</v>
      </c>
      <c r="W90" s="53">
        <f t="shared" si="15"/>
        <v>6103.3779880845286</v>
      </c>
      <c r="X90" s="53">
        <f t="shared" si="15"/>
        <v>4495.535102308826</v>
      </c>
      <c r="Y90" s="53">
        <f t="shared" si="15"/>
        <v>2984.2972052733562</v>
      </c>
      <c r="Z90" s="53">
        <f t="shared" si="15"/>
        <v>1564.4385368984213</v>
      </c>
      <c r="AA90" s="53">
        <f t="shared" si="15"/>
        <v>0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</row>
    <row r="91" spans="1:87" s="2" customFormat="1" x14ac:dyDescent="0.2">
      <c r="A91" s="29" t="s">
        <v>61</v>
      </c>
      <c r="B91" s="27" t="s">
        <v>56</v>
      </c>
      <c r="C91" s="53">
        <f t="shared" ref="C91:AA91" si="16">GB_act*(1-Equity_Req)</f>
        <v>437500</v>
      </c>
      <c r="D91" s="53">
        <f t="shared" si="16"/>
        <v>408876.88942747784</v>
      </c>
      <c r="E91" s="53">
        <f t="shared" si="16"/>
        <v>387100.52536749543</v>
      </c>
      <c r="F91" s="53">
        <f t="shared" si="16"/>
        <v>364962.69530012558</v>
      </c>
      <c r="G91" s="53">
        <f t="shared" si="16"/>
        <v>331275.76762935775</v>
      </c>
      <c r="H91" s="53">
        <f t="shared" si="16"/>
        <v>307650.84980037797</v>
      </c>
      <c r="I91" s="53">
        <f t="shared" si="16"/>
        <v>284511.53057999013</v>
      </c>
      <c r="J91" s="53">
        <f t="shared" si="16"/>
        <v>261978.19045454852</v>
      </c>
      <c r="K91" s="53">
        <f t="shared" si="16"/>
        <v>240139.80425815089</v>
      </c>
      <c r="L91" s="53">
        <f t="shared" si="16"/>
        <v>219062.12449238962</v>
      </c>
      <c r="M91" s="53">
        <f t="shared" si="16"/>
        <v>198792.58338409744</v>
      </c>
      <c r="N91" s="53">
        <f t="shared" si="16"/>
        <v>179363.59675972592</v>
      </c>
      <c r="O91" s="53">
        <f t="shared" si="16"/>
        <v>160795.0000059742</v>
      </c>
      <c r="P91" s="53">
        <f t="shared" si="16"/>
        <v>143095.96777186656</v>
      </c>
      <c r="Q91" s="53">
        <f t="shared" si="16"/>
        <v>126266.60016236163</v>
      </c>
      <c r="R91" s="53">
        <f t="shared" si="16"/>
        <v>110299.27612221616</v>
      </c>
      <c r="S91" s="53">
        <f t="shared" si="16"/>
        <v>95179.832233327004</v>
      </c>
      <c r="T91" s="53">
        <f t="shared" si="16"/>
        <v>80888.602100029253</v>
      </c>
      <c r="U91" s="53">
        <f t="shared" si="16"/>
        <v>67401.338558955118</v>
      </c>
      <c r="V91" s="53">
        <f t="shared" si="16"/>
        <v>54690.033519719669</v>
      </c>
      <c r="W91" s="53">
        <f t="shared" si="16"/>
        <v>42723.645916591704</v>
      </c>
      <c r="X91" s="53">
        <f t="shared" si="16"/>
        <v>31468.745716161782</v>
      </c>
      <c r="Y91" s="53">
        <f t="shared" si="16"/>
        <v>20890.080436913493</v>
      </c>
      <c r="Z91" s="53">
        <f t="shared" si="16"/>
        <v>10951.069758288948</v>
      </c>
      <c r="AA91" s="53">
        <f t="shared" si="16"/>
        <v>0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</row>
    <row r="92" spans="1:87" s="2" customFormat="1" x14ac:dyDescent="0.2">
      <c r="A92" s="29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>
        <f t="shared" ref="X92:AA92" si="17">assets-Eq_req-AT1_req</f>
        <v>0</v>
      </c>
      <c r="Y92" s="29">
        <f t="shared" si="17"/>
        <v>0</v>
      </c>
      <c r="Z92" s="29">
        <f t="shared" si="17"/>
        <v>0</v>
      </c>
      <c r="AA92" s="29">
        <f t="shared" si="17"/>
        <v>0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</row>
    <row r="93" spans="1:87" s="2" customFormat="1" x14ac:dyDescent="0.2">
      <c r="A93" s="45" t="s">
        <v>53</v>
      </c>
      <c r="B93" s="27" t="s">
        <v>60</v>
      </c>
      <c r="C93" s="53">
        <v>500000</v>
      </c>
      <c r="D93" s="53">
        <f>assets-prev assets</f>
        <v>-32712.126368596742</v>
      </c>
      <c r="E93" s="53">
        <f>assets-prev assets</f>
        <v>-24887.273211408465</v>
      </c>
      <c r="F93" s="53">
        <f>assets-prev assets</f>
        <v>-25300.377219851303</v>
      </c>
      <c r="G93" s="53">
        <f>assets-prev assets</f>
        <v>-38499.345909448923</v>
      </c>
      <c r="H93" s="53">
        <f>assets-prev assets</f>
        <v>-26999.906090262637</v>
      </c>
      <c r="I93" s="53">
        <f>assets-prev assets</f>
        <v>-26444.936251871753</v>
      </c>
      <c r="J93" s="53">
        <f>assets-prev assets</f>
        <v>-25752.388714790461</v>
      </c>
      <c r="K93" s="53">
        <f>assets-prev assets</f>
        <v>-24958.155653025839</v>
      </c>
      <c r="L93" s="53">
        <f>assets-prev assets</f>
        <v>-24088.776875155745</v>
      </c>
      <c r="M93" s="53">
        <f>assets-prev assets</f>
        <v>-23165.189838048187</v>
      </c>
      <c r="N93" s="53">
        <f>assets-prev assets</f>
        <v>-22204.556142138899</v>
      </c>
      <c r="O93" s="53">
        <f>assets-prev assets</f>
        <v>-21221.253432859085</v>
      </c>
      <c r="P93" s="53">
        <f>assets-prev assets</f>
        <v>-20227.465410408739</v>
      </c>
      <c r="Q93" s="53">
        <f>assets-prev assets</f>
        <v>-19233.562982291362</v>
      </c>
      <c r="R93" s="53">
        <f>assets-prev assets</f>
        <v>-18248.370331594808</v>
      </c>
      <c r="S93" s="53">
        <f>assets-prev assets</f>
        <v>-17279.364444444771</v>
      </c>
      <c r="T93" s="53">
        <f>assets-prev assets</f>
        <v>-16332.83443805456</v>
      </c>
      <c r="U93" s="53">
        <f>assets-prev assets</f>
        <v>-15414.015475513297</v>
      </c>
      <c r="V93" s="53">
        <f>assets-prev assets</f>
        <v>-14527.205759126227</v>
      </c>
      <c r="W93" s="53">
        <f>assets-prev assets</f>
        <v>-13675.871546431968</v>
      </c>
      <c r="X93" s="53">
        <f>assets-prev assets</f>
        <v>-12862.743086205621</v>
      </c>
      <c r="Y93" s="53">
        <f>assets-prev assets</f>
        <v>-12089.903176283759</v>
      </c>
      <c r="Z93" s="53">
        <f>assets-prev assets</f>
        <v>-11358.86934699948</v>
      </c>
      <c r="AA93" s="53">
        <f>assets-prev assets</f>
        <v>-12515.50829518737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</row>
    <row r="94" spans="1:87" s="2" customFormat="1" x14ac:dyDescent="0.2">
      <c r="A94" s="45" t="s">
        <v>57</v>
      </c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</row>
    <row r="95" spans="1:87" s="2" customFormat="1" x14ac:dyDescent="0.2">
      <c r="A95" s="29" t="s">
        <v>58</v>
      </c>
      <c r="B95" s="27" t="s">
        <v>59</v>
      </c>
      <c r="C95" s="53">
        <f>C90</f>
        <v>62500</v>
      </c>
      <c r="D95" s="53">
        <f>Eq_req-prev Eq_req</f>
        <v>-4089.0157960745928</v>
      </c>
      <c r="E95" s="53">
        <f>Eq_req-prev Eq_req</f>
        <v>-3110.9091514260581</v>
      </c>
      <c r="F95" s="53">
        <f>Eq_req-prev Eq_req</f>
        <v>-3162.5471524814129</v>
      </c>
      <c r="G95" s="53">
        <f>Eq_req-prev Eq_req</f>
        <v>-4812.4182386811153</v>
      </c>
      <c r="H95" s="53">
        <f>Eq_req-prev Eq_req</f>
        <v>-3374.9882612828296</v>
      </c>
      <c r="I95" s="53">
        <f>Eq_req-prev Eq_req</f>
        <v>-3305.6170314839692</v>
      </c>
      <c r="J95" s="53">
        <f>Eq_req-prev Eq_req</f>
        <v>-3219.0485893488076</v>
      </c>
      <c r="K95" s="53">
        <f>Eq_req-prev Eq_req</f>
        <v>-3119.7694566282298</v>
      </c>
      <c r="L95" s="53">
        <f>Eq_req-prev Eq_req</f>
        <v>-3011.0971093944681</v>
      </c>
      <c r="M95" s="53">
        <f>Eq_req-prev Eq_req</f>
        <v>-2895.6487297560234</v>
      </c>
      <c r="N95" s="53">
        <f>Eq_req-prev Eq_req</f>
        <v>-2775.5695177673624</v>
      </c>
      <c r="O95" s="53">
        <f>Eq_req-prev Eq_req</f>
        <v>-2652.6566791073856</v>
      </c>
      <c r="P95" s="53">
        <f>Eq_req-prev Eq_req</f>
        <v>-2528.4331763010923</v>
      </c>
      <c r="Q95" s="53">
        <f>Eq_req-prev Eq_req</f>
        <v>-2404.1953727864202</v>
      </c>
      <c r="R95" s="53">
        <f>Eq_req-prev Eq_req</f>
        <v>-2281.046291449351</v>
      </c>
      <c r="S95" s="53">
        <f>Eq_req-prev Eq_req</f>
        <v>-2159.9205555555964</v>
      </c>
      <c r="T95" s="53">
        <f>Eq_req-prev Eq_req</f>
        <v>-2041.6043047568201</v>
      </c>
      <c r="U95" s="53">
        <f>Eq_req-prev Eq_req</f>
        <v>-1926.7519344391621</v>
      </c>
      <c r="V95" s="53">
        <f>Eq_req-prev Eq_req</f>
        <v>-1815.9007198907784</v>
      </c>
      <c r="W95" s="53">
        <f>Eq_req-prev Eq_req</f>
        <v>-1709.4839433039961</v>
      </c>
      <c r="X95" s="53">
        <f>Eq_req-prev Eq_req</f>
        <v>-1607.8428857757026</v>
      </c>
      <c r="Y95" s="53">
        <f>Eq_req-prev Eq_req</f>
        <v>-1511.2378970354698</v>
      </c>
      <c r="Z95" s="53">
        <f>Eq_req-prev Eq_req</f>
        <v>-1419.858668374935</v>
      </c>
      <c r="AA95" s="53">
        <f>Eq_req-prev Eq_req</f>
        <v>-1564.4385368984213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</row>
    <row r="96" spans="1:87" s="2" customFormat="1" x14ac:dyDescent="0.2">
      <c r="A96" s="29" t="s">
        <v>62</v>
      </c>
      <c r="B96" s="27" t="s">
        <v>63</v>
      </c>
      <c r="C96" s="53">
        <f>C91</f>
        <v>437500</v>
      </c>
      <c r="D96" s="53">
        <f>Fund_req-prev Fund_req</f>
        <v>-28623.110572522157</v>
      </c>
      <c r="E96" s="53">
        <f>Fund_req-prev Fund_req</f>
        <v>-21776.364059982414</v>
      </c>
      <c r="F96" s="53">
        <f>Fund_req-prev Fund_req</f>
        <v>-22137.830067369854</v>
      </c>
      <c r="G96" s="53">
        <f>Fund_req-prev Fund_req</f>
        <v>-33686.927670767822</v>
      </c>
      <c r="H96" s="53">
        <f>Fund_req-prev Fund_req</f>
        <v>-23624.917828979786</v>
      </c>
      <c r="I96" s="53">
        <f>Fund_req-prev Fund_req</f>
        <v>-23139.319220387843</v>
      </c>
      <c r="J96" s="53">
        <f>Fund_req-prev Fund_req</f>
        <v>-22533.340125441609</v>
      </c>
      <c r="K96" s="53">
        <f>Fund_req-prev Fund_req</f>
        <v>-21838.386196397623</v>
      </c>
      <c r="L96" s="53">
        <f>Fund_req-prev Fund_req</f>
        <v>-21077.679765761277</v>
      </c>
      <c r="M96" s="53">
        <f>Fund_req-prev Fund_req</f>
        <v>-20269.541108292178</v>
      </c>
      <c r="N96" s="53">
        <f>Fund_req-prev Fund_req</f>
        <v>-19428.986624371522</v>
      </c>
      <c r="O96" s="53">
        <f>Fund_req-prev Fund_req</f>
        <v>-18568.596753751714</v>
      </c>
      <c r="P96" s="53">
        <f>Fund_req-prev Fund_req</f>
        <v>-17699.032234107639</v>
      </c>
      <c r="Q96" s="53">
        <f>Fund_req-prev Fund_req</f>
        <v>-16829.36760950493</v>
      </c>
      <c r="R96" s="53">
        <f>Fund_req-prev Fund_req</f>
        <v>-15967.324040145468</v>
      </c>
      <c r="S96" s="53">
        <f>Fund_req-prev Fund_req</f>
        <v>-15119.44388888916</v>
      </c>
      <c r="T96" s="53">
        <f>Fund_req-prev Fund_req</f>
        <v>-14291.230133297751</v>
      </c>
      <c r="U96" s="53">
        <f>Fund_req-prev Fund_req</f>
        <v>-13487.263541074135</v>
      </c>
      <c r="V96" s="53">
        <f>Fund_req-prev Fund_req</f>
        <v>-12711.305039235449</v>
      </c>
      <c r="W96" s="53">
        <f>Fund_req-prev Fund_req</f>
        <v>-11966.387603127965</v>
      </c>
      <c r="X96" s="53">
        <f>Fund_req-prev Fund_req</f>
        <v>-11254.900200429922</v>
      </c>
      <c r="Y96" s="53">
        <f>Fund_req-prev Fund_req</f>
        <v>-10578.665279248289</v>
      </c>
      <c r="Z96" s="53">
        <f>Fund_req-prev Fund_req</f>
        <v>-9939.0106786245451</v>
      </c>
      <c r="AA96" s="53">
        <f>Fund_req-prev Fund_req</f>
        <v>-10951.069758288948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</row>
    <row r="97" spans="1:87" x14ac:dyDescent="0.2">
      <c r="A97" s="29"/>
      <c r="B97" s="27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87" ht="17" x14ac:dyDescent="0.2">
      <c r="A98" s="78" t="s">
        <v>21</v>
      </c>
      <c r="B98" s="27"/>
      <c r="C98" s="10"/>
      <c r="E98" s="59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87" x14ac:dyDescent="0.2">
      <c r="A99" s="9" t="s">
        <v>22</v>
      </c>
      <c r="B99" s="65" t="s">
        <v>23</v>
      </c>
      <c r="C99" s="66">
        <f>1/(1+discount_rate_month)^(statement_no)</f>
        <v>1</v>
      </c>
      <c r="D99" s="66">
        <f>1/(1+discount_rate_month)^(statement_no)</f>
        <v>0.97837358933250107</v>
      </c>
      <c r="E99" s="66">
        <f t="shared" ref="E99:AA99" si="18">1/(1+discount_rate_month)^(statement_no)</f>
        <v>0.95721488030336144</v>
      </c>
      <c r="F99" s="66">
        <f t="shared" si="18"/>
        <v>0.93651375820488014</v>
      </c>
      <c r="G99" s="66">
        <f t="shared" si="18"/>
        <v>0.91626032707417848</v>
      </c>
      <c r="H99" s="66">
        <f t="shared" si="18"/>
        <v>0.89644490496253548</v>
      </c>
      <c r="I99" s="66">
        <f t="shared" si="18"/>
        <v>0.87705801930702865</v>
      </c>
      <c r="J99" s="66">
        <f t="shared" si="18"/>
        <v>0.85809040240227163</v>
      </c>
      <c r="K99" s="66">
        <f t="shared" si="18"/>
        <v>0.83953298697008061</v>
      </c>
      <c r="L99" s="66">
        <f t="shared" si="18"/>
        <v>0.8213769018249536</v>
      </c>
      <c r="M99" s="66">
        <f t="shared" si="18"/>
        <v>0.80361346763328922</v>
      </c>
      <c r="N99" s="66">
        <f t="shared" si="18"/>
        <v>0.78623419276431894</v>
      </c>
      <c r="O99" s="66">
        <f t="shared" si="18"/>
        <v>0.76923076923076805</v>
      </c>
      <c r="P99" s="66">
        <f t="shared" si="18"/>
        <v>0.75259506871730741</v>
      </c>
      <c r="Q99" s="66">
        <f t="shared" si="18"/>
        <v>0.73631913869489241</v>
      </c>
      <c r="R99" s="66">
        <f t="shared" si="18"/>
        <v>0.72039519861913748</v>
      </c>
      <c r="S99" s="66">
        <f t="shared" si="18"/>
        <v>0.70481563621090548</v>
      </c>
      <c r="T99" s="66">
        <f t="shared" si="18"/>
        <v>0.68957300381733388</v>
      </c>
      <c r="U99" s="66">
        <f t="shared" si="18"/>
        <v>0.67466001485155946</v>
      </c>
      <c r="V99" s="66">
        <f t="shared" si="18"/>
        <v>0.66006954030943865</v>
      </c>
      <c r="W99" s="66">
        <f t="shared" si="18"/>
        <v>0.64579460536159949</v>
      </c>
      <c r="X99" s="66">
        <f t="shared" si="18"/>
        <v>0.63182838601919411</v>
      </c>
      <c r="Y99" s="66">
        <f t="shared" si="18"/>
        <v>0.61816420587176002</v>
      </c>
      <c r="Z99" s="66">
        <f t="shared" si="18"/>
        <v>0.60479553289562893</v>
      </c>
      <c r="AA99" s="66">
        <f t="shared" si="18"/>
        <v>0.59171597633135908</v>
      </c>
    </row>
    <row r="100" spans="1:87" x14ac:dyDescent="0.2">
      <c r="B100" s="67">
        <f>((1+discount_rate)^(1/12)-1)</f>
        <v>2.2104450593615876E-2</v>
      </c>
      <c r="C100" s="10"/>
      <c r="D100" s="9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87" x14ac:dyDescent="0.2">
      <c r="A101" s="9" t="s">
        <v>107</v>
      </c>
      <c r="B101" s="69">
        <f>SUMPRODUCT(Cash_flow_to_Client,coeff_discount)</f>
        <v>59074.337540978631</v>
      </c>
      <c r="C101" s="70">
        <f>initial_amount-repayment</f>
        <v>499999.8</v>
      </c>
      <c r="D101" s="68">
        <f>-repayment</f>
        <v>-42712.326368596739</v>
      </c>
      <c r="E101" s="68">
        <f>-repayment</f>
        <v>-34215.035211665418</v>
      </c>
      <c r="F101" s="68">
        <f>-repayment</f>
        <v>-34128.650077935454</v>
      </c>
      <c r="G101" s="68">
        <f t="shared" ref="G101:AA101" si="19">-repayment</f>
        <v>-31107.053954385192</v>
      </c>
      <c r="H101" s="68">
        <f t="shared" si="19"/>
        <v>-31109.261449029873</v>
      </c>
      <c r="I101" s="68">
        <f t="shared" si="19"/>
        <v>-29927.317349337311</v>
      </c>
      <c r="J101" s="68">
        <f t="shared" si="19"/>
        <v>-28685.125964177194</v>
      </c>
      <c r="K101" s="68">
        <f t="shared" si="19"/>
        <v>-27412.678346664299</v>
      </c>
      <c r="L101" s="68">
        <f t="shared" si="19"/>
        <v>-26130.194329578007</v>
      </c>
      <c r="M101" s="68">
        <f t="shared" si="19"/>
        <v>-24852.14911339683</v>
      </c>
      <c r="N101" s="68">
        <f t="shared" si="19"/>
        <v>-23589.28195743867</v>
      </c>
      <c r="O101" s="68">
        <f t="shared" si="19"/>
        <v>-22349.714412245365</v>
      </c>
      <c r="P101" s="68">
        <f t="shared" si="19"/>
        <v>-21139.62925824698</v>
      </c>
      <c r="Q101" s="68">
        <f t="shared" si="19"/>
        <v>-19963.713394587758</v>
      </c>
      <c r="R101" s="68">
        <f t="shared" si="19"/>
        <v>-18825.464821643476</v>
      </c>
      <c r="S101" s="68">
        <f t="shared" si="19"/>
        <v>-17727.416655770263</v>
      </c>
      <c r="T101" s="68">
        <f t="shared" si="19"/>
        <v>-16671.307797563684</v>
      </c>
      <c r="U101" s="68">
        <f t="shared" si="19"/>
        <v>-15658.217629741597</v>
      </c>
      <c r="V101" s="68">
        <f t="shared" si="19"/>
        <v>-14688.675359146873</v>
      </c>
      <c r="W101" s="68">
        <f t="shared" si="19"/>
        <v>-13762.750725062613</v>
      </c>
      <c r="X101" s="68">
        <f t="shared" si="19"/>
        <v>-12880.130476043883</v>
      </c>
      <c r="Y101" s="68">
        <f t="shared" si="19"/>
        <v>-12040.183593274738</v>
      </c>
      <c r="Z101" s="68">
        <f t="shared" si="19"/>
        <v>-11242.017341676014</v>
      </c>
      <c r="AA101" s="68">
        <f t="shared" si="19"/>
        <v>-12329.363674572389</v>
      </c>
    </row>
    <row r="102" spans="1:87" x14ac:dyDescent="0.2">
      <c r="A102" s="9" t="s">
        <v>108</v>
      </c>
      <c r="B102" s="69">
        <f>SUMPRODUCT(to_bondholders,coeff_discount)</f>
        <v>-30762.346909741103</v>
      </c>
      <c r="C102" s="70">
        <f>Cost_of_Funds-Fund_req_chng</f>
        <v>-437500</v>
      </c>
      <c r="D102" s="70">
        <f t="shared" ref="D102:AA102" si="20">Cost_of_Funds-Fund_req_chng</f>
        <v>34821.027239188821</v>
      </c>
      <c r="E102" s="70">
        <f t="shared" si="20"/>
        <v>27568.786660205016</v>
      </c>
      <c r="F102" s="70">
        <f t="shared" si="20"/>
        <v>27621.754176742706</v>
      </c>
      <c r="G102" s="70">
        <f t="shared" si="20"/>
        <v>38857.232520852936</v>
      </c>
      <c r="H102" s="70">
        <f t="shared" si="20"/>
        <v>28317.99120372902</v>
      </c>
      <c r="I102" s="70">
        <f t="shared" si="20"/>
        <v>27497.706259226532</v>
      </c>
      <c r="J102" s="70">
        <f t="shared" si="20"/>
        <v>26563.920141991468</v>
      </c>
      <c r="K102" s="70">
        <f t="shared" si="20"/>
        <v>25549.743894503728</v>
      </c>
      <c r="L102" s="70">
        <f t="shared" si="20"/>
        <v>24479.660326085082</v>
      </c>
      <c r="M102" s="70">
        <f t="shared" si="20"/>
        <v>23372.921205267699</v>
      </c>
      <c r="N102" s="70">
        <f t="shared" si="20"/>
        <v>22245.214888979568</v>
      </c>
      <c r="O102" s="70">
        <f t="shared" si="20"/>
        <v>21109.581041181165</v>
      </c>
      <c r="P102" s="70">
        <f t="shared" si="20"/>
        <v>19976.961400858941</v>
      </c>
      <c r="Q102" s="70">
        <f t="shared" si="20"/>
        <v>18856.56048627304</v>
      </c>
      <c r="R102" s="70">
        <f t="shared" si="20"/>
        <v>17756.100875778924</v>
      </c>
      <c r="S102" s="70">
        <f t="shared" si="20"/>
        <v>16682.016967287222</v>
      </c>
      <c r="T102" s="70">
        <f t="shared" si="20"/>
        <v>15639.61108993655</v>
      </c>
      <c r="U102" s="70">
        <f t="shared" si="20"/>
        <v>14633.185404157883</v>
      </c>
      <c r="V102" s="70">
        <f t="shared" si="20"/>
        <v>13666.157335487313</v>
      </c>
      <c r="W102" s="70">
        <f t="shared" si="20"/>
        <v>12741.163077990661</v>
      </c>
      <c r="X102" s="70">
        <f t="shared" si="20"/>
        <v>11860.151850914972</v>
      </c>
      <c r="Y102" s="70">
        <f t="shared" si="20"/>
        <v>11024.472510227248</v>
      </c>
      <c r="Z102" s="70">
        <f t="shared" si="20"/>
        <v>10234.953484814152</v>
      </c>
      <c r="AA102" s="70">
        <f t="shared" si="20"/>
        <v>11106.209913198041</v>
      </c>
    </row>
    <row r="103" spans="1:87" x14ac:dyDescent="0.2">
      <c r="A103" s="9" t="s">
        <v>109</v>
      </c>
      <c r="B103" s="69">
        <f>SUMPRODUCT(cost_tax,coeff_discount)</f>
        <v>-1484.2866578509345</v>
      </c>
      <c r="C103" s="70">
        <f t="shared" ref="C103:AA103" si="21">Operation_cost+collect_cost+Tax</f>
        <v>4.0000000000000008E-2</v>
      </c>
      <c r="D103" s="70">
        <f t="shared" si="21"/>
        <v>840.45666666666682</v>
      </c>
      <c r="E103" s="70">
        <f t="shared" si="21"/>
        <v>820.36817337268724</v>
      </c>
      <c r="F103" s="70">
        <f t="shared" si="21"/>
        <v>785.45483221627433</v>
      </c>
      <c r="G103" s="70">
        <f t="shared" si="21"/>
        <v>-2393.9673772303095</v>
      </c>
      <c r="H103" s="70">
        <f t="shared" si="21"/>
        <v>2.5980121742344124</v>
      </c>
      <c r="I103" s="70">
        <f t="shared" si="21"/>
        <v>-66.644998707633789</v>
      </c>
      <c r="J103" s="70">
        <f t="shared" si="21"/>
        <v>-112.81043056621536</v>
      </c>
      <c r="K103" s="70">
        <f t="shared" si="21"/>
        <v>-146.62260680434238</v>
      </c>
      <c r="L103" s="70">
        <f t="shared" si="21"/>
        <v>-169.56365715672388</v>
      </c>
      <c r="M103" s="70">
        <f t="shared" si="21"/>
        <v>-183.08175987741842</v>
      </c>
      <c r="N103" s="70">
        <f t="shared" si="21"/>
        <v>-188.56792143567498</v>
      </c>
      <c r="O103" s="70">
        <f t="shared" si="21"/>
        <v>-187.33971768335539</v>
      </c>
      <c r="P103" s="70">
        <f t="shared" si="21"/>
        <v>-180.63020658939115</v>
      </c>
      <c r="Q103" s="70">
        <f t="shared" si="21"/>
        <v>-169.58088946573997</v>
      </c>
      <c r="R103" s="70">
        <f t="shared" si="21"/>
        <v>-155.23792579010495</v>
      </c>
      <c r="S103" s="70">
        <f t="shared" si="21"/>
        <v>-138.55098802858689</v>
      </c>
      <c r="T103" s="70">
        <f t="shared" si="21"/>
        <v>-120.37425516389774</v>
      </c>
      <c r="U103" s="70">
        <f t="shared" si="21"/>
        <v>-101.46912148745734</v>
      </c>
      <c r="V103" s="70">
        <f t="shared" si="21"/>
        <v>-82.50825690353318</v>
      </c>
      <c r="W103" s="70">
        <f t="shared" si="21"/>
        <v>-64.0807044984073</v>
      </c>
      <c r="X103" s="70">
        <f t="shared" si="21"/>
        <v>-46.697744420850753</v>
      </c>
      <c r="Y103" s="70">
        <f t="shared" si="21"/>
        <v>-30.799292171844414</v>
      </c>
      <c r="Z103" s="70">
        <f t="shared" si="21"/>
        <v>-16.760635160711203</v>
      </c>
      <c r="AA103" s="70">
        <f t="shared" si="21"/>
        <v>-4.8993442859367633</v>
      </c>
    </row>
    <row r="104" spans="1:87" s="7" customFormat="1" x14ac:dyDescent="0.2">
      <c r="A104" s="71" t="s">
        <v>110</v>
      </c>
      <c r="B104" s="72">
        <f>SUMPRODUCT(shareholders,coeff_discount)</f>
        <v>-26827.70397338663</v>
      </c>
      <c r="C104" s="73">
        <f t="shared" ref="C104:AA104" si="22">Net_Income_Atax-Eq_req_chng</f>
        <v>-62499.839999999997</v>
      </c>
      <c r="D104" s="73">
        <f t="shared" si="22"/>
        <v>7050.8424627412596</v>
      </c>
      <c r="E104" s="73">
        <f t="shared" si="22"/>
        <v>5825.8803780877224</v>
      </c>
      <c r="F104" s="73">
        <f t="shared" si="22"/>
        <v>5721.4410689764345</v>
      </c>
      <c r="G104" s="73">
        <f t="shared" si="22"/>
        <v>-5356.2111892374196</v>
      </c>
      <c r="H104" s="73">
        <f t="shared" si="22"/>
        <v>2788.6722331265933</v>
      </c>
      <c r="I104" s="73">
        <f t="shared" si="22"/>
        <v>2496.256088818473</v>
      </c>
      <c r="J104" s="73">
        <f t="shared" si="22"/>
        <v>2234.0162527518964</v>
      </c>
      <c r="K104" s="73">
        <f t="shared" si="22"/>
        <v>2009.5570589649274</v>
      </c>
      <c r="L104" s="73">
        <f t="shared" si="22"/>
        <v>1820.0976606496502</v>
      </c>
      <c r="M104" s="73">
        <f t="shared" si="22"/>
        <v>1662.3096680065639</v>
      </c>
      <c r="N104" s="73">
        <f t="shared" si="22"/>
        <v>1532.6349898947622</v>
      </c>
      <c r="O104" s="73">
        <f t="shared" si="22"/>
        <v>1427.4730887475712</v>
      </c>
      <c r="P104" s="73">
        <f t="shared" si="22"/>
        <v>1343.2980639774232</v>
      </c>
      <c r="Q104" s="73">
        <f t="shared" si="22"/>
        <v>1276.7337977804459</v>
      </c>
      <c r="R104" s="73">
        <f t="shared" si="22"/>
        <v>1224.6018716546666</v>
      </c>
      <c r="S104" s="73">
        <f t="shared" si="22"/>
        <v>1183.9506765116107</v>
      </c>
      <c r="T104" s="73">
        <f t="shared" si="22"/>
        <v>1152.0709627910412</v>
      </c>
      <c r="U104" s="73">
        <f t="shared" si="22"/>
        <v>1126.5013470711715</v>
      </c>
      <c r="V104" s="73">
        <f t="shared" si="22"/>
        <v>1105.026280563093</v>
      </c>
      <c r="W104" s="73">
        <f t="shared" si="22"/>
        <v>1085.6683515703526</v>
      </c>
      <c r="X104" s="73">
        <f t="shared" si="22"/>
        <v>1066.6763695497662</v>
      </c>
      <c r="Y104" s="73">
        <f t="shared" si="22"/>
        <v>1046.5103752193345</v>
      </c>
      <c r="Z104" s="73">
        <f t="shared" si="22"/>
        <v>1023.8244920225715</v>
      </c>
      <c r="AA104" s="73">
        <f t="shared" si="22"/>
        <v>1228.053105660284</v>
      </c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</row>
    <row r="105" spans="1:87" x14ac:dyDescent="0.2">
      <c r="A105" s="74"/>
      <c r="C105" s="75">
        <v>-62499.841999999997</v>
      </c>
      <c r="D105" s="75">
        <v>7013.8196294079262</v>
      </c>
      <c r="E105" s="75">
        <v>5791.9432377544508</v>
      </c>
      <c r="F105" s="75">
        <v>5689.4548950202461</v>
      </c>
      <c r="G105" s="75">
        <v>-5229.1033213884366</v>
      </c>
      <c r="H105" s="75">
        <v>2796.0011834785464</v>
      </c>
      <c r="I105" s="75">
        <v>2506.3731006017915</v>
      </c>
      <c r="J105" s="75">
        <v>2246.329156959358</v>
      </c>
      <c r="K105" s="75">
        <v>2023.4347139357185</v>
      </c>
      <c r="L105" s="75">
        <v>1834.9851537589602</v>
      </c>
      <c r="M105" s="75">
        <v>1677.726406278432</v>
      </c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</row>
    <row r="106" spans="1:87" x14ac:dyDescent="0.2">
      <c r="C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87" x14ac:dyDescent="0.2">
      <c r="A107" s="9" t="s">
        <v>45</v>
      </c>
      <c r="B107" s="76" t="s">
        <v>46</v>
      </c>
      <c r="C107" s="59">
        <f>CFtS*coeff_discount</f>
        <v>-62499.839999999997</v>
      </c>
      <c r="D107" s="59">
        <f>prev C107 + CFtS*coeff_discount</f>
        <v>-55601.481951909816</v>
      </c>
      <c r="E107" s="59">
        <f>prev D107 + CFtS*coeff_discount</f>
        <v>-50024.862563136878</v>
      </c>
      <c r="F107" s="59">
        <f>prev E107 + CFtS*coeff_discount</f>
        <v>-44666.654285282013</v>
      </c>
      <c r="G107" s="59">
        <f>prev F107 + CFtS*coeff_discount</f>
        <v>-49574.338101411064</v>
      </c>
      <c r="H107" s="59">
        <f>prev G107 + CFtS*coeff_discount</f>
        <v>-47074.447086414235</v>
      </c>
      <c r="I107" s="59">
        <f>prev H107 + CFtS*coeff_discount</f>
        <v>-44885.085665471997</v>
      </c>
      <c r="J107" s="59">
        <f>prev I107 + CFtS*coeff_discount</f>
        <v>-42968.097760174911</v>
      </c>
      <c r="K107" s="59">
        <f>prev J107 + CFtS*coeff_discount</f>
        <v>-41281.008319975277</v>
      </c>
      <c r="L107" s="59">
        <f>prev K107 + CFtS*coeff_discount</f>
        <v>-39786.02214245202</v>
      </c>
      <c r="M107" s="59">
        <f>prev L107 + CFtS*coeff_discount</f>
        <v>-38450.167705864922</v>
      </c>
      <c r="N107" s="59">
        <f>prev M107 + CFtS*coeff_discount</f>
        <v>-37245.157671782661</v>
      </c>
      <c r="O107" s="59">
        <f>prev N107 + CFtS*coeff_discount</f>
        <v>-36147.10144966915</v>
      </c>
      <c r="P107" s="59">
        <f>prev O107 + CFtS*coeff_discount</f>
        <v>-35136.141950902238</v>
      </c>
      <c r="Q107" s="59">
        <f>prev P107 + CFtS*coeff_discount</f>
        <v>-34196.05842057788</v>
      </c>
      <c r="R107" s="59">
        <f>prev Q107 + CFtS*coeff_discount</f>
        <v>-33313.861112017847</v>
      </c>
      <c r="S107" s="59">
        <f>prev R107 + CFtS*coeff_discount</f>
        <v>-32479.394162709985</v>
      </c>
      <c r="T107" s="59">
        <f>prev S107 + CFtS*coeff_discount</f>
        <v>-31684.957128287439</v>
      </c>
      <c r="U107" s="59">
        <f>prev T107 + CFtS*coeff_discount</f>
        <v>-30924.951712742099</v>
      </c>
      <c r="V107" s="59">
        <f>prev U107 + CFtS*coeff_discount</f>
        <v>-30195.557523700969</v>
      </c>
      <c r="W107" s="59">
        <f>prev V107 + CFtS*coeff_discount</f>
        <v>-29494.438759045013</v>
      </c>
      <c r="X107" s="59">
        <f>prev W107 + CFtS*coeff_discount</f>
        <v>-28820.48235006757</v>
      </c>
      <c r="Y107" s="59">
        <f>prev X107 + CFtS*coeff_discount</f>
        <v>-28173.567095033552</v>
      </c>
      <c r="Z107" s="59">
        <f>prev Y107 + CFtS*coeff_discount</f>
        <v>-27554.362615789163</v>
      </c>
      <c r="AA107" s="59">
        <f>prev Z107 + CFtS*coeff_discount</f>
        <v>-26827.70397338663</v>
      </c>
    </row>
    <row r="108" spans="1:87" x14ac:dyDescent="0.2"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87" x14ac:dyDescent="0.2">
      <c r="D109" s="46"/>
      <c r="E109" s="77"/>
      <c r="F109" s="40"/>
      <c r="G109" s="40"/>
      <c r="H109" s="40"/>
      <c r="I109" s="41"/>
      <c r="J109" s="41"/>
      <c r="K109" s="28"/>
    </row>
    <row r="110" spans="1:87" x14ac:dyDescent="0.2">
      <c r="D110" s="46"/>
      <c r="E110" s="77"/>
      <c r="F110" s="40"/>
      <c r="G110" s="40"/>
      <c r="H110" s="40"/>
      <c r="I110" s="41"/>
      <c r="J110" s="41"/>
      <c r="K110" s="28"/>
    </row>
    <row r="111" spans="1:87" x14ac:dyDescent="0.2">
      <c r="D111" s="46"/>
      <c r="E111" s="77"/>
      <c r="F111" s="40"/>
      <c r="G111" s="40"/>
      <c r="H111" s="40"/>
      <c r="I111" s="41"/>
      <c r="J111" s="41"/>
      <c r="K111" s="28"/>
    </row>
    <row r="112" spans="1:87" x14ac:dyDescent="0.2">
      <c r="D112" s="46"/>
      <c r="E112" s="77"/>
      <c r="F112" s="41"/>
      <c r="G112" s="41"/>
      <c r="H112" s="41"/>
      <c r="I112" s="41"/>
      <c r="J112" s="41"/>
      <c r="K112" s="28"/>
    </row>
    <row r="113" spans="4:11" x14ac:dyDescent="0.2">
      <c r="D113" s="46"/>
      <c r="E113" s="77"/>
      <c r="F113" s="41"/>
      <c r="G113" s="41"/>
      <c r="H113" s="41"/>
      <c r="I113" s="41"/>
      <c r="J113" s="41"/>
      <c r="K113" s="28"/>
    </row>
    <row r="114" spans="4:11" x14ac:dyDescent="0.2">
      <c r="D114" s="46"/>
      <c r="E114" s="77"/>
      <c r="F114" s="41"/>
      <c r="G114" s="41"/>
      <c r="H114" s="41"/>
      <c r="I114" s="41"/>
      <c r="J114" s="41"/>
      <c r="K114" s="28"/>
    </row>
    <row r="115" spans="4:11" x14ac:dyDescent="0.2">
      <c r="D115" s="46"/>
      <c r="E115" s="77"/>
      <c r="F115" s="41"/>
      <c r="G115" s="41"/>
      <c r="H115" s="41"/>
      <c r="I115" s="41"/>
      <c r="J115" s="41"/>
      <c r="K115" s="28"/>
    </row>
    <row r="116" spans="4:11" x14ac:dyDescent="0.2">
      <c r="D116" s="59"/>
      <c r="E116" s="77"/>
      <c r="F116" s="28"/>
      <c r="G116" s="28"/>
      <c r="H116" s="28"/>
      <c r="I116" s="28"/>
      <c r="J116" s="41"/>
      <c r="K116" s="28"/>
    </row>
    <row r="117" spans="4:11" x14ac:dyDescent="0.2">
      <c r="D117" s="59"/>
      <c r="E117" s="77"/>
      <c r="F117" s="28"/>
      <c r="G117" s="28"/>
      <c r="H117" s="28"/>
      <c r="I117" s="28"/>
      <c r="J117" s="28"/>
      <c r="K117" s="28"/>
    </row>
    <row r="118" spans="4:11" x14ac:dyDescent="0.2">
      <c r="D118" s="59"/>
      <c r="E118" s="77"/>
      <c r="F118" s="28"/>
      <c r="G118" s="28"/>
      <c r="H118" s="28"/>
      <c r="I118" s="28"/>
      <c r="J118" s="28"/>
      <c r="K118" s="28"/>
    </row>
    <row r="119" spans="4:11" x14ac:dyDescent="0.2">
      <c r="E119" s="77"/>
    </row>
    <row r="120" spans="4:11" x14ac:dyDescent="0.2">
      <c r="E120" s="77"/>
    </row>
    <row r="121" spans="4:11" x14ac:dyDescent="0.2">
      <c r="E121" s="68"/>
    </row>
    <row r="122" spans="4:11" x14ac:dyDescent="0.2">
      <c r="E122" s="68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5"/>
  <sheetViews>
    <sheetView tabSelected="1" zoomScale="115" workbookViewId="0">
      <selection activeCell="A5" sqref="A5"/>
    </sheetView>
  </sheetViews>
  <sheetFormatPr baseColWidth="10" defaultColWidth="8.83203125" defaultRowHeight="15" x14ac:dyDescent="0.2"/>
  <sheetData>
    <row r="3" spans="1:1" x14ac:dyDescent="0.2">
      <c r="A3" t="s">
        <v>119</v>
      </c>
    </row>
    <row r="4" spans="1:1" x14ac:dyDescent="0.2">
      <c r="A4" t="s">
        <v>121</v>
      </c>
    </row>
    <row r="5" spans="1:1" x14ac:dyDescent="0.2">
      <c r="A5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workbookViewId="0">
      <selection activeCell="A7" sqref="A1:XFD7"/>
    </sheetView>
  </sheetViews>
  <sheetFormatPr baseColWidth="10" defaultColWidth="8.83203125" defaultRowHeight="15" x14ac:dyDescent="0.2"/>
  <cols>
    <col min="1" max="1" width="15.5" customWidth="1"/>
  </cols>
  <sheetData>
    <row r="2" spans="1:6" x14ac:dyDescent="0.2">
      <c r="B2" s="8">
        <v>0.01</v>
      </c>
      <c r="C2" s="8">
        <v>-0.01</v>
      </c>
    </row>
    <row r="3" spans="1:6" x14ac:dyDescent="0.2">
      <c r="A3" t="s">
        <v>116</v>
      </c>
      <c r="B3">
        <v>2789.8083666476159</v>
      </c>
      <c r="C3">
        <v>-2777.4235899010964</v>
      </c>
    </row>
    <row r="4" spans="1:6" x14ac:dyDescent="0.2">
      <c r="A4" t="s">
        <v>49</v>
      </c>
      <c r="B4">
        <v>-2583.6217591579953</v>
      </c>
      <c r="C4">
        <v>2583.6217591580098</v>
      </c>
    </row>
    <row r="5" spans="1:6" x14ac:dyDescent="0.2">
      <c r="A5" t="s">
        <v>73</v>
      </c>
      <c r="B5">
        <v>-477.05987869899036</v>
      </c>
      <c r="C5">
        <v>477.05987869900855</v>
      </c>
    </row>
    <row r="6" spans="1:6" ht="16" x14ac:dyDescent="0.2">
      <c r="A6" s="12" t="s">
        <v>27</v>
      </c>
      <c r="B6">
        <v>-183.28737540375005</v>
      </c>
      <c r="C6">
        <v>186.37098866726228</v>
      </c>
    </row>
    <row r="7" spans="1:6" x14ac:dyDescent="0.2">
      <c r="A7" t="s">
        <v>26</v>
      </c>
      <c r="B7">
        <v>182.37431878904681</v>
      </c>
      <c r="C7">
        <v>-182.37431878903953</v>
      </c>
    </row>
    <row r="11" spans="1:6" x14ac:dyDescent="0.2">
      <c r="A11" s="9"/>
      <c r="B11" s="9"/>
      <c r="C11" s="79" t="s">
        <v>117</v>
      </c>
      <c r="D11" s="79" t="s">
        <v>118</v>
      </c>
    </row>
    <row r="12" spans="1:6" ht="16" x14ac:dyDescent="0.2">
      <c r="A12" s="12" t="s">
        <v>28</v>
      </c>
      <c r="B12" s="9">
        <v>-26827.70397338663</v>
      </c>
      <c r="C12" s="9">
        <v>-27868.661353725496</v>
      </c>
      <c r="D12" s="9">
        <v>-25786.746593047781</v>
      </c>
      <c r="E12">
        <f>C12-B12</f>
        <v>-1040.9573803388666</v>
      </c>
      <c r="F12">
        <f>D12-B12</f>
        <v>1040.9573803388485</v>
      </c>
    </row>
    <row r="13" spans="1:6" ht="16" x14ac:dyDescent="0.2">
      <c r="A13" s="12" t="s">
        <v>29</v>
      </c>
      <c r="B13" s="9">
        <v>-26827.70397338663</v>
      </c>
      <c r="C13" s="9">
        <v>-26965.624452187603</v>
      </c>
      <c r="D13" s="9">
        <v>-26689.78349458563</v>
      </c>
      <c r="E13">
        <f>C13-B13</f>
        <v>-137.9204788009738</v>
      </c>
      <c r="F13">
        <f>D13-B13</f>
        <v>137.92047880099926</v>
      </c>
    </row>
    <row r="16" spans="1:6" x14ac:dyDescent="0.2">
      <c r="B16" s="79" t="s">
        <v>117</v>
      </c>
      <c r="C16" s="79" t="s">
        <v>118</v>
      </c>
    </row>
    <row r="17" spans="1:3" x14ac:dyDescent="0.2">
      <c r="A17" t="s">
        <v>28</v>
      </c>
      <c r="B17">
        <v>-1040.9573803388666</v>
      </c>
      <c r="C17">
        <v>1040.9573803388485</v>
      </c>
    </row>
    <row r="18" spans="1:3" x14ac:dyDescent="0.2">
      <c r="A18" t="s">
        <v>29</v>
      </c>
      <c r="B18">
        <v>-137.9204788009738</v>
      </c>
      <c r="C18">
        <v>137.92047880099926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79</vt:i4>
      </vt:variant>
    </vt:vector>
  </HeadingPairs>
  <TitlesOfParts>
    <vt:vector size="82" baseType="lpstr">
      <vt:lpstr>Calculation</vt:lpstr>
      <vt:lpstr>ДЗ</vt:lpstr>
      <vt:lpstr>Лист1</vt:lpstr>
      <vt:lpstr>accnt_act</vt:lpstr>
      <vt:lpstr>accnt_b_def</vt:lpstr>
      <vt:lpstr>accnt_b_res</vt:lpstr>
      <vt:lpstr>accnt_clo</vt:lpstr>
      <vt:lpstr>accnt_cur</vt:lpstr>
      <vt:lpstr>accnt_DEF</vt:lpstr>
      <vt:lpstr>accnt_dlq</vt:lpstr>
      <vt:lpstr>accnt_wro</vt:lpstr>
      <vt:lpstr>assets</vt:lpstr>
      <vt:lpstr>AT1_req</vt:lpstr>
      <vt:lpstr>Cash_flow_to_Client</vt:lpstr>
      <vt:lpstr>CFtB</vt:lpstr>
      <vt:lpstr>CFtC</vt:lpstr>
      <vt:lpstr>CFtCT</vt:lpstr>
      <vt:lpstr>CFtS</vt:lpstr>
      <vt:lpstr>CLO_Rate</vt:lpstr>
      <vt:lpstr>coeff_discount</vt:lpstr>
      <vt:lpstr>CoF</vt:lpstr>
      <vt:lpstr>collect_cost</vt:lpstr>
      <vt:lpstr>collection_cost</vt:lpstr>
      <vt:lpstr>Cost_of_AT1</vt:lpstr>
      <vt:lpstr>Cost_of_Funds</vt:lpstr>
      <vt:lpstr>cost_tax</vt:lpstr>
      <vt:lpstr>Cumulative_PV</vt:lpstr>
      <vt:lpstr>DEF_Rate</vt:lpstr>
      <vt:lpstr>discount_rate</vt:lpstr>
      <vt:lpstr>discount_rate_month</vt:lpstr>
      <vt:lpstr>DLNQ_Rate</vt:lpstr>
      <vt:lpstr>DLNQ_Ratio</vt:lpstr>
      <vt:lpstr>Eq_req</vt:lpstr>
      <vt:lpstr>Eq_req_chng</vt:lpstr>
      <vt:lpstr>Equity_Req</vt:lpstr>
      <vt:lpstr>flow_to_sharehold</vt:lpstr>
      <vt:lpstr>Fund_req</vt:lpstr>
      <vt:lpstr>Fund_req_chng</vt:lpstr>
      <vt:lpstr>GB_act</vt:lpstr>
      <vt:lpstr>GB_cur</vt:lpstr>
      <vt:lpstr>GB_DEF</vt:lpstr>
      <vt:lpstr>GB_dlq</vt:lpstr>
      <vt:lpstr>Gross_Expenses</vt:lpstr>
      <vt:lpstr>Gross_Loss</vt:lpstr>
      <vt:lpstr>Gross_profit</vt:lpstr>
      <vt:lpstr>Gross_Revenue</vt:lpstr>
      <vt:lpstr>initial_amount</vt:lpstr>
      <vt:lpstr>initial_term</vt:lpstr>
      <vt:lpstr>ins</vt:lpstr>
      <vt:lpstr>int_model</vt:lpstr>
      <vt:lpstr>interest</vt:lpstr>
      <vt:lpstr>interest_rate</vt:lpstr>
      <vt:lpstr>Loan_Loss</vt:lpstr>
      <vt:lpstr>Net_Income_Atax</vt:lpstr>
      <vt:lpstr>Net_Income_Bax</vt:lpstr>
      <vt:lpstr>Calculation!next</vt:lpstr>
      <vt:lpstr>oper_cost</vt:lpstr>
      <vt:lpstr>Operation_cost</vt:lpstr>
      <vt:lpstr>operational_cost</vt:lpstr>
      <vt:lpstr>overdue_fee</vt:lpstr>
      <vt:lpstr>PB</vt:lpstr>
      <vt:lpstr>PB_act</vt:lpstr>
      <vt:lpstr>PB_cur</vt:lpstr>
      <vt:lpstr>PB_def</vt:lpstr>
      <vt:lpstr>PB_dlq</vt:lpstr>
      <vt:lpstr>PB_model</vt:lpstr>
      <vt:lpstr>pclo</vt:lpstr>
      <vt:lpstr>pd</vt:lpstr>
      <vt:lpstr>Perp_Serv</vt:lpstr>
      <vt:lpstr>prev</vt:lpstr>
      <vt:lpstr>prev_</vt:lpstr>
      <vt:lpstr>PV</vt:lpstr>
      <vt:lpstr>px</vt:lpstr>
      <vt:lpstr>recov</vt:lpstr>
      <vt:lpstr>recovery</vt:lpstr>
      <vt:lpstr>regular_payment</vt:lpstr>
      <vt:lpstr>repayment</vt:lpstr>
      <vt:lpstr>shareholders</vt:lpstr>
      <vt:lpstr>statement_no</vt:lpstr>
      <vt:lpstr>Tax</vt:lpstr>
      <vt:lpstr>tax_rate</vt:lpstr>
      <vt:lpstr>to_bondholders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2022-04-22T13:57:28Z</dcterms:modified>
</cp:coreProperties>
</file>