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Model" sheetId="4" r:id="rId1"/>
    <sheet name="Calculation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9" i="4" l="1"/>
  <c r="T48" i="4" s="1"/>
  <c r="T54" i="4"/>
  <c r="T53" i="4" s="1"/>
  <c r="S49" i="4"/>
  <c r="S55" i="4"/>
  <c r="S48" i="4"/>
  <c r="S54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46" i="4"/>
  <c r="O47" i="4"/>
  <c r="P47" i="4" s="1"/>
  <c r="Q47" i="4" s="1"/>
  <c r="O48" i="4"/>
  <c r="P48" i="4" s="1"/>
  <c r="Q48" i="4" s="1"/>
  <c r="O49" i="4"/>
  <c r="P49" i="4" s="1"/>
  <c r="Q49" i="4" s="1"/>
  <c r="O50" i="4"/>
  <c r="P50" i="4" s="1"/>
  <c r="Q50" i="4" s="1"/>
  <c r="O51" i="4"/>
  <c r="P51" i="4" s="1"/>
  <c r="Q51" i="4" s="1"/>
  <c r="O52" i="4"/>
  <c r="P52" i="4" s="1"/>
  <c r="Q52" i="4" s="1"/>
  <c r="O53" i="4"/>
  <c r="P53" i="4" s="1"/>
  <c r="Q53" i="4" s="1"/>
  <c r="O54" i="4"/>
  <c r="P54" i="4" s="1"/>
  <c r="Q54" i="4" s="1"/>
  <c r="O55" i="4"/>
  <c r="P55" i="4" s="1"/>
  <c r="Q55" i="4" s="1"/>
  <c r="O56" i="4"/>
  <c r="P56" i="4" s="1"/>
  <c r="Q56" i="4" s="1"/>
  <c r="O57" i="4"/>
  <c r="P57" i="4" s="1"/>
  <c r="Q57" i="4" s="1"/>
  <c r="O58" i="4"/>
  <c r="P58" i="4" s="1"/>
  <c r="Q58" i="4" s="1"/>
  <c r="O59" i="4"/>
  <c r="P59" i="4" s="1"/>
  <c r="Q59" i="4" s="1"/>
  <c r="O60" i="4"/>
  <c r="P60" i="4" s="1"/>
  <c r="Q60" i="4" s="1"/>
  <c r="O61" i="4"/>
  <c r="P61" i="4" s="1"/>
  <c r="Q61" i="4" s="1"/>
  <c r="O62" i="4"/>
  <c r="P62" i="4" s="1"/>
  <c r="Q62" i="4" s="1"/>
  <c r="O63" i="4"/>
  <c r="P63" i="4" s="1"/>
  <c r="Q63" i="4" s="1"/>
  <c r="O64" i="4"/>
  <c r="P64" i="4" s="1"/>
  <c r="Q64" i="4" s="1"/>
  <c r="O65" i="4"/>
  <c r="P65" i="4" s="1"/>
  <c r="Q65" i="4" s="1"/>
  <c r="O66" i="4"/>
  <c r="P66" i="4" s="1"/>
  <c r="Q66" i="4" s="1"/>
  <c r="O67" i="4"/>
  <c r="P67" i="4" s="1"/>
  <c r="Q67" i="4" s="1"/>
  <c r="O68" i="4"/>
  <c r="P68" i="4" s="1"/>
  <c r="Q68" i="4" s="1"/>
  <c r="O69" i="4"/>
  <c r="P69" i="4" s="1"/>
  <c r="Q69" i="4" s="1"/>
  <c r="O70" i="4"/>
  <c r="P70" i="4" s="1"/>
  <c r="Q70" i="4" s="1"/>
  <c r="O71" i="4"/>
  <c r="P71" i="4" s="1"/>
  <c r="Q71" i="4" s="1"/>
  <c r="O46" i="4"/>
  <c r="P46" i="4" s="1"/>
  <c r="C3" i="4"/>
  <c r="G11" i="4" s="1"/>
  <c r="J11" i="4"/>
  <c r="J10" i="4"/>
  <c r="J9" i="4"/>
  <c r="J8" i="4"/>
  <c r="J7" i="4"/>
  <c r="B7" i="4"/>
  <c r="B8" i="4" s="1"/>
  <c r="J6" i="4"/>
  <c r="G6" i="4"/>
  <c r="C6" i="4"/>
  <c r="M47" i="4" l="1"/>
  <c r="I53" i="4"/>
  <c r="Q46" i="4"/>
  <c r="G8" i="4"/>
  <c r="G10" i="4"/>
  <c r="G7" i="4"/>
  <c r="G9" i="4"/>
  <c r="C7" i="4"/>
  <c r="D48" i="4" s="1"/>
  <c r="B60" i="4" s="1"/>
  <c r="F53" i="4"/>
  <c r="F47" i="4"/>
  <c r="H53" i="4"/>
  <c r="C8" i="4"/>
  <c r="B9" i="4"/>
  <c r="E47" i="4"/>
  <c r="I47" i="4"/>
  <c r="E53" i="4"/>
  <c r="B47" i="4"/>
  <c r="B48" i="4"/>
  <c r="B53" i="4"/>
  <c r="C47" i="4"/>
  <c r="C53" i="4"/>
  <c r="D47" i="4"/>
  <c r="G47" i="4"/>
  <c r="G53" i="4"/>
  <c r="H47" i="4"/>
  <c r="D53" i="4"/>
  <c r="F48" i="4" l="1"/>
  <c r="H48" i="4"/>
  <c r="E48" i="4"/>
  <c r="C60" i="4" s="1"/>
  <c r="I48" i="4"/>
  <c r="C48" i="4"/>
  <c r="F49" i="4"/>
  <c r="G48" i="4"/>
  <c r="I49" i="4"/>
  <c r="B58" i="4"/>
  <c r="C58" i="4"/>
  <c r="C9" i="4"/>
  <c r="B10" i="4"/>
  <c r="H49" i="4"/>
  <c r="C49" i="4"/>
  <c r="D49" i="4"/>
  <c r="B62" i="4" s="1"/>
  <c r="G49" i="4"/>
  <c r="B49" i="4"/>
  <c r="E49" i="4"/>
  <c r="C62" i="4" s="1"/>
  <c r="H50" i="4" l="1"/>
  <c r="G50" i="4"/>
  <c r="D50" i="4"/>
  <c r="B64" i="4" s="1"/>
  <c r="C50" i="4"/>
  <c r="B50" i="4"/>
  <c r="E50" i="4"/>
  <c r="C64" i="4" s="1"/>
  <c r="I50" i="4"/>
  <c r="F50" i="4"/>
  <c r="C10" i="4"/>
  <c r="B11" i="4"/>
  <c r="C11" i="4" s="1"/>
  <c r="D52" i="4" l="1"/>
  <c r="B68" i="4" s="1"/>
  <c r="G52" i="4"/>
  <c r="H52" i="4"/>
  <c r="C52" i="4"/>
  <c r="B52" i="4"/>
  <c r="E52" i="4"/>
  <c r="C68" i="4" s="1"/>
  <c r="I52" i="4"/>
  <c r="F52" i="4"/>
  <c r="H51" i="4"/>
  <c r="C51" i="4"/>
  <c r="D51" i="4"/>
  <c r="B66" i="4" s="1"/>
  <c r="G51" i="4"/>
  <c r="B51" i="4"/>
  <c r="E51" i="4"/>
  <c r="C66" i="4" s="1"/>
  <c r="I51" i="4"/>
  <c r="F51" i="4"/>
  <c r="I54" i="4" l="1"/>
  <c r="F58" i="4" s="1"/>
  <c r="C70" i="4" s="1"/>
  <c r="H54" i="4"/>
  <c r="F57" i="4" s="1"/>
  <c r="F59" i="4" l="1"/>
  <c r="F60" i="4"/>
  <c r="F61" i="4" s="1"/>
  <c r="F64" i="4" s="1"/>
  <c r="B70" i="4"/>
  <c r="F76" i="4"/>
  <c r="F67" i="4" l="1"/>
  <c r="F65" i="4"/>
  <c r="F62" i="4"/>
  <c r="F63" i="4"/>
  <c r="F66" i="4"/>
  <c r="F69" i="4" l="1"/>
  <c r="F73" i="4" s="1"/>
  <c r="F68" i="4"/>
  <c r="J59" i="4" l="1"/>
  <c r="F72" i="4"/>
  <c r="F71" i="4"/>
  <c r="F70" i="4"/>
  <c r="J58" i="4"/>
  <c r="F74" i="4" l="1"/>
  <c r="F75" i="4" s="1"/>
  <c r="G57" i="4" s="1"/>
  <c r="G58" i="4" s="1"/>
  <c r="G76" i="4" s="1"/>
  <c r="J60" i="4"/>
  <c r="J61" i="4" l="1"/>
  <c r="G59" i="4"/>
  <c r="P6" i="4" s="1"/>
  <c r="G60" i="4"/>
  <c r="G61" i="4" s="1"/>
  <c r="P7" i="4" l="1"/>
  <c r="M6" i="4"/>
  <c r="M8" i="4"/>
  <c r="M9" i="4"/>
  <c r="M7" i="4"/>
  <c r="M10" i="4"/>
  <c r="M5" i="4"/>
  <c r="J56" i="4"/>
  <c r="J57" i="4" s="1"/>
  <c r="G63" i="4"/>
  <c r="G64" i="4"/>
  <c r="G67" i="4"/>
  <c r="G66" i="4"/>
  <c r="G65" i="4"/>
  <c r="G62" i="4"/>
  <c r="P8" i="4" l="1"/>
  <c r="P9" i="4" s="1"/>
  <c r="G68" i="4"/>
  <c r="G69" i="4"/>
  <c r="G72" i="4" l="1"/>
  <c r="G73" i="4"/>
  <c r="G70" i="4"/>
  <c r="G71" i="4"/>
  <c r="G74" i="4" l="1"/>
  <c r="G75" i="4" s="1"/>
  <c r="T47" i="4"/>
</calcChain>
</file>

<file path=xl/comments1.xml><?xml version="1.0" encoding="utf-8"?>
<comments xmlns="http://schemas.openxmlformats.org/spreadsheetml/2006/main">
  <authors>
    <author>Xavier van Heule</author>
  </authors>
  <commentList>
    <comment ref="M4" authorId="0">
      <text>
        <r>
          <rPr>
            <sz val="9"/>
            <color indexed="81"/>
            <rFont val="Tahoma"/>
            <family val="2"/>
          </rPr>
          <t>Gained experience per element</t>
        </r>
      </text>
    </comment>
    <comment ref="F6" authorId="0">
      <text>
        <r>
          <rPr>
            <sz val="9"/>
            <color indexed="81"/>
            <rFont val="Tahoma"/>
            <family val="2"/>
          </rPr>
          <t>Set the LIFE level (1 - 10)</t>
        </r>
      </text>
    </comment>
    <comment ref="H6" authorId="0">
      <text>
        <r>
          <rPr>
            <sz val="9"/>
            <color indexed="81"/>
            <rFont val="Tahoma"/>
            <family val="2"/>
          </rPr>
          <t>Set the amount of LIFE charges</t>
        </r>
      </text>
    </comment>
    <comment ref="I6" authorId="0">
      <text>
        <r>
          <rPr>
            <sz val="9"/>
            <color indexed="81"/>
            <rFont val="Tahoma"/>
            <family val="2"/>
          </rPr>
          <t>Set the potency of the LIFE charges</t>
        </r>
      </text>
    </comment>
    <comment ref="T6" authorId="0">
      <text>
        <r>
          <rPr>
            <sz val="9"/>
            <color indexed="81"/>
            <rFont val="Tahoma"/>
            <family val="2"/>
          </rPr>
          <t>The growth factor of the fizzling chance</t>
        </r>
      </text>
    </comment>
    <comment ref="F7" authorId="0">
      <text>
        <r>
          <rPr>
            <sz val="9"/>
            <color indexed="81"/>
            <rFont val="Tahoma"/>
            <family val="2"/>
          </rPr>
          <t>Set the AIR level (1 - 10)</t>
        </r>
      </text>
    </comment>
    <comment ref="H7" authorId="0">
      <text>
        <r>
          <rPr>
            <sz val="9"/>
            <color indexed="81"/>
            <rFont val="Tahoma"/>
            <family val="2"/>
          </rPr>
          <t>Set the amount of AIR charges</t>
        </r>
      </text>
    </comment>
    <comment ref="I7" authorId="0">
      <text>
        <r>
          <rPr>
            <sz val="9"/>
            <color indexed="81"/>
            <rFont val="Tahoma"/>
            <family val="2"/>
          </rPr>
          <t>Set the potency of the AIR charges</t>
        </r>
      </text>
    </comment>
    <comment ref="O7" authorId="0">
      <text>
        <r>
          <rPr>
            <sz val="9"/>
            <color indexed="81"/>
            <rFont val="Tahoma"/>
            <family val="2"/>
          </rPr>
          <t>Chance of fizzle each tick</t>
        </r>
      </text>
    </comment>
    <comment ref="T7" authorId="0">
      <text>
        <r>
          <rPr>
            <sz val="9"/>
            <color indexed="81"/>
            <rFont val="Tahoma"/>
            <family val="2"/>
          </rPr>
          <t>The growth factor for the experience gain</t>
        </r>
      </text>
    </comment>
    <comment ref="F8" authorId="0">
      <text>
        <r>
          <rPr>
            <sz val="9"/>
            <color indexed="81"/>
            <rFont val="Tahoma"/>
            <family val="2"/>
          </rPr>
          <t>Set the FIRE level (1 - 10)</t>
        </r>
      </text>
    </comment>
    <comment ref="H8" authorId="0">
      <text>
        <r>
          <rPr>
            <sz val="9"/>
            <color indexed="81"/>
            <rFont val="Tahoma"/>
            <family val="2"/>
          </rPr>
          <t>Set the amount of FIRE charges</t>
        </r>
      </text>
    </comment>
    <comment ref="I8" authorId="0">
      <text>
        <r>
          <rPr>
            <sz val="9"/>
            <color indexed="81"/>
            <rFont val="Tahoma"/>
            <family val="2"/>
          </rPr>
          <t>Set the potency of the FIRE charges</t>
        </r>
      </text>
    </comment>
    <comment ref="O8" authorId="0">
      <text>
        <r>
          <rPr>
            <sz val="9"/>
            <color indexed="81"/>
            <rFont val="Tahoma"/>
            <family val="2"/>
          </rPr>
          <t>Expected time until fizzling in ticks</t>
        </r>
      </text>
    </comment>
    <comment ref="T8" authorId="0">
      <text>
        <r>
          <rPr>
            <sz val="9"/>
            <color indexed="81"/>
            <rFont val="Tahoma"/>
            <family val="2"/>
          </rPr>
          <t>Experience multiplier</t>
        </r>
      </text>
    </comment>
    <comment ref="F9" authorId="0">
      <text>
        <r>
          <rPr>
            <sz val="9"/>
            <color indexed="81"/>
            <rFont val="Tahoma"/>
            <family val="2"/>
          </rPr>
          <t>Set the DEATH level (1 - 10)</t>
        </r>
      </text>
    </comment>
    <comment ref="H9" authorId="0">
      <text>
        <r>
          <rPr>
            <sz val="9"/>
            <color indexed="81"/>
            <rFont val="Tahoma"/>
            <family val="2"/>
          </rPr>
          <t>Set the amount of DEATH charges</t>
        </r>
      </text>
    </comment>
    <comment ref="I9" authorId="0">
      <text>
        <r>
          <rPr>
            <sz val="9"/>
            <color indexed="81"/>
            <rFont val="Tahoma"/>
            <family val="2"/>
          </rPr>
          <t>Set thepotency of the DEATH charges</t>
        </r>
      </text>
    </comment>
    <comment ref="O9" authorId="0">
      <text>
        <r>
          <rPr>
            <sz val="9"/>
            <color indexed="81"/>
            <rFont val="Tahoma"/>
            <family val="2"/>
          </rPr>
          <t>Expected time until fizzling in seconds</t>
        </r>
      </text>
    </comment>
    <comment ref="T9" authorId="0">
      <text>
        <r>
          <rPr>
            <sz val="9"/>
            <color indexed="81"/>
            <rFont val="Tahoma"/>
            <family val="2"/>
          </rPr>
          <t>Experience coefficient</t>
        </r>
      </text>
    </comment>
    <comment ref="F10" authorId="0">
      <text>
        <r>
          <rPr>
            <sz val="9"/>
            <color indexed="81"/>
            <rFont val="Tahoma"/>
            <family val="2"/>
          </rPr>
          <t>Set the EARTH level (1 - 10)</t>
        </r>
      </text>
    </comment>
    <comment ref="H10" authorId="0">
      <text>
        <r>
          <rPr>
            <sz val="9"/>
            <color indexed="81"/>
            <rFont val="Tahoma"/>
            <family val="2"/>
          </rPr>
          <t>Set the amount of EARTH charges</t>
        </r>
      </text>
    </comment>
    <comment ref="I10" authorId="0">
      <text>
        <r>
          <rPr>
            <sz val="9"/>
            <color indexed="81"/>
            <rFont val="Tahoma"/>
            <family val="2"/>
          </rPr>
          <t>Set the potency of the EARTH charges</t>
        </r>
      </text>
    </comment>
    <comment ref="F11" authorId="0">
      <text>
        <r>
          <rPr>
            <sz val="9"/>
            <color indexed="81"/>
            <rFont val="Tahoma"/>
            <family val="2"/>
          </rPr>
          <t>Set the WATER level (1 - 10)</t>
        </r>
      </text>
    </comment>
    <comment ref="H11" authorId="0">
      <text>
        <r>
          <rPr>
            <sz val="9"/>
            <color indexed="81"/>
            <rFont val="Tahoma"/>
            <family val="2"/>
          </rPr>
          <t>Set the amount of WATER charges</t>
        </r>
      </text>
    </comment>
    <comment ref="I11" authorId="0">
      <text>
        <r>
          <rPr>
            <sz val="9"/>
            <color indexed="81"/>
            <rFont val="Tahoma"/>
            <family val="2"/>
          </rPr>
          <t>Set thepotency of the WATER charges</t>
        </r>
      </text>
    </comment>
  </commentList>
</comments>
</file>

<file path=xl/sharedStrings.xml><?xml version="1.0" encoding="utf-8"?>
<sst xmlns="http://schemas.openxmlformats.org/spreadsheetml/2006/main" count="121" uniqueCount="66">
  <si>
    <t>Min</t>
  </si>
  <si>
    <t>Max</t>
  </si>
  <si>
    <t>FIRE</t>
  </si>
  <si>
    <t>WATER</t>
  </si>
  <si>
    <t>EARTH</t>
  </si>
  <si>
    <t>AIR</t>
  </si>
  <si>
    <t>DEATH</t>
  </si>
  <si>
    <t>LIFE</t>
  </si>
  <si>
    <t>angle [°]</t>
  </si>
  <si>
    <t>angle [rad]</t>
  </si>
  <si>
    <t>Scaled</t>
  </si>
  <si>
    <t>Amount</t>
  </si>
  <si>
    <t>Point 1</t>
  </si>
  <si>
    <t>Point</t>
  </si>
  <si>
    <t>x</t>
  </si>
  <si>
    <t>y</t>
  </si>
  <si>
    <t>Total</t>
  </si>
  <si>
    <t>factor</t>
  </si>
  <si>
    <t>Intercept 1</t>
  </si>
  <si>
    <t>Inside</t>
  </si>
  <si>
    <t>Delta</t>
  </si>
  <si>
    <t>d</t>
  </si>
  <si>
    <t>da_el</t>
  </si>
  <si>
    <t>a [rad]</t>
  </si>
  <si>
    <t>da_pt</t>
  </si>
  <si>
    <t>a [°]</t>
  </si>
  <si>
    <t>El1</t>
  </si>
  <si>
    <t>Target 1</t>
  </si>
  <si>
    <t>El2</t>
  </si>
  <si>
    <t>x1</t>
  </si>
  <si>
    <t>y1</t>
  </si>
  <si>
    <t>x2</t>
  </si>
  <si>
    <t>y2</t>
  </si>
  <si>
    <t>m1</t>
  </si>
  <si>
    <t>c1</t>
  </si>
  <si>
    <t>m2</t>
  </si>
  <si>
    <t>f_el1</t>
  </si>
  <si>
    <t>f_el2</t>
  </si>
  <si>
    <t>Level</t>
  </si>
  <si>
    <t>Instability</t>
  </si>
  <si>
    <t>T</t>
  </si>
  <si>
    <t>P</t>
  </si>
  <si>
    <t>Distance</t>
  </si>
  <si>
    <t>Charge</t>
  </si>
  <si>
    <t>Instability curve</t>
  </si>
  <si>
    <t>s</t>
  </si>
  <si>
    <t>Experience</t>
  </si>
  <si>
    <t>Exp multiplier</t>
  </si>
  <si>
    <t>Exp</t>
  </si>
  <si>
    <t>Experience curve</t>
  </si>
  <si>
    <t>Lambda_E</t>
  </si>
  <si>
    <t>Ticks</t>
  </si>
  <si>
    <t>%</t>
  </si>
  <si>
    <t>ticks</t>
  </si>
  <si>
    <t>Potency</t>
  </si>
  <si>
    <t>Value</t>
  </si>
  <si>
    <t>Charges</t>
  </si>
  <si>
    <t>Lambda_F</t>
  </si>
  <si>
    <t>Ca</t>
  </si>
  <si>
    <t>Fizzle point</t>
  </si>
  <si>
    <t>Experience point</t>
  </si>
  <si>
    <t>(Fizzle growth factor)</t>
  </si>
  <si>
    <t>(Experience growth factor)</t>
  </si>
  <si>
    <t>Exp base</t>
  </si>
  <si>
    <t>Configuration</t>
  </si>
  <si>
    <t>(Experience multiplier)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</si>
</sst>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thin">
        <color rgb="FF7F7F7F"/>
      </bottom>
      <diagonal/>
    </border>
    <border>
      <left/>
      <right style="thin">
        <color rgb="FF7F7F7F"/>
      </right>
      <top style="double">
        <color rgb="FF3F3F3F"/>
      </top>
      <bottom style="thin">
        <color rgb="FF7F7F7F"/>
      </bottom>
      <diagonal/>
    </border>
    <border>
      <left style="double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3" applyNumberFormat="0" applyFont="0" applyAlignment="0" applyProtection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4" fillId="4" borderId="1" xfId="3"/>
    <xf numFmtId="0" fontId="6" fillId="6" borderId="3" xfId="5" applyFont="1"/>
    <xf numFmtId="164" fontId="6" fillId="6" borderId="3" xfId="5" applyNumberFormat="1" applyFont="1"/>
    <xf numFmtId="0" fontId="0" fillId="6" borderId="3" xfId="5" applyFont="1"/>
    <xf numFmtId="164" fontId="0" fillId="6" borderId="3" xfId="5" applyNumberFormat="1" applyFont="1"/>
    <xf numFmtId="0" fontId="5" fillId="5" borderId="2" xfId="4"/>
    <xf numFmtId="0" fontId="3" fillId="3" borderId="1" xfId="2" applyProtection="1">
      <protection locked="0"/>
    </xf>
    <xf numFmtId="0" fontId="5" fillId="5" borderId="2" xfId="4" applyAlignment="1">
      <alignment horizontal="center"/>
    </xf>
    <xf numFmtId="0" fontId="3" fillId="3" borderId="1" xfId="2" applyAlignment="1" applyProtection="1">
      <alignment horizontal="center"/>
      <protection locked="0"/>
    </xf>
    <xf numFmtId="0" fontId="4" fillId="4" borderId="1" xfId="3" applyAlignment="1">
      <alignment horizontal="center"/>
    </xf>
    <xf numFmtId="2" fontId="4" fillId="4" borderId="1" xfId="3" applyNumberFormat="1" applyAlignment="1">
      <alignment horizontal="center"/>
    </xf>
    <xf numFmtId="0" fontId="2" fillId="2" borderId="0" xfId="1"/>
    <xf numFmtId="2" fontId="4" fillId="4" borderId="1" xfId="3" applyNumberFormat="1"/>
    <xf numFmtId="0" fontId="6" fillId="7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4" fillId="4" borderId="1" xfId="3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4" fillId="4" borderId="13" xfId="3" applyNumberFormat="1" applyBorder="1"/>
    <xf numFmtId="0" fontId="4" fillId="4" borderId="14" xfId="3" applyBorder="1"/>
    <xf numFmtId="2" fontId="4" fillId="4" borderId="15" xfId="3" applyNumberFormat="1" applyBorder="1"/>
    <xf numFmtId="0" fontId="4" fillId="4" borderId="16" xfId="3" applyBorder="1"/>
    <xf numFmtId="166" fontId="4" fillId="4" borderId="15" xfId="3" applyNumberFormat="1" applyBorder="1"/>
    <xf numFmtId="2" fontId="0" fillId="0" borderId="1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4" fillId="4" borderId="1" xfId="3" applyProtection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5" fillId="5" borderId="2" xfId="4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5" borderId="2" xfId="4" applyAlignment="1">
      <alignment horizontal="center"/>
    </xf>
    <xf numFmtId="1" fontId="0" fillId="0" borderId="11" xfId="0" applyNumberFormat="1" applyBorder="1" applyAlignment="1">
      <alignment horizontal="center"/>
    </xf>
  </cellXfs>
  <cellStyles count="7">
    <cellStyle name="Calculation" xfId="3" builtinId="22"/>
    <cellStyle name="Check Cell" xfId="4" builtinId="23"/>
    <cellStyle name="Comma 2" xfId="6"/>
    <cellStyle name="Input" xfId="2" builtinId="20"/>
    <cellStyle name="Neutral" xfId="1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302691650561577E-2"/>
          <c:y val="3.2337962962962964E-2"/>
          <c:w val="0.9373946166988768"/>
          <c:h val="0.93532407407407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Model!$B$45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Model!$B$47:$B$53</c:f>
              <c:numCache>
                <c:formatCode>0.00</c:formatCode>
                <c:ptCount val="7"/>
                <c:pt idx="0">
                  <c:v>0.86602540378443871</c:v>
                </c:pt>
                <c:pt idx="1">
                  <c:v>6.1257422745431001E-17</c:v>
                </c:pt>
                <c:pt idx="2">
                  <c:v>-0.86602540378443871</c:v>
                </c:pt>
                <c:pt idx="3">
                  <c:v>-0.8660254037844386</c:v>
                </c:pt>
                <c:pt idx="4">
                  <c:v>-1.83772268236293E-16</c:v>
                </c:pt>
                <c:pt idx="5">
                  <c:v>0.86602540378443837</c:v>
                </c:pt>
                <c:pt idx="6">
                  <c:v>0.86602540378443871</c:v>
                </c:pt>
              </c:numCache>
            </c:numRef>
          </c:xVal>
          <c:yVal>
            <c:numRef>
              <c:f>Model!$C$47:$C$53</c:f>
              <c:numCache>
                <c:formatCode>0.00</c:formatCode>
                <c:ptCount val="7"/>
                <c:pt idx="0">
                  <c:v>0.49999999999999994</c:v>
                </c:pt>
                <c:pt idx="1">
                  <c:v>1</c:v>
                </c:pt>
                <c:pt idx="2">
                  <c:v>0.49999999999999994</c:v>
                </c:pt>
                <c:pt idx="3">
                  <c:v>-0.50000000000000011</c:v>
                </c:pt>
                <c:pt idx="4">
                  <c:v>-1</c:v>
                </c:pt>
                <c:pt idx="5">
                  <c:v>-0.50000000000000044</c:v>
                </c:pt>
                <c:pt idx="6">
                  <c:v>0.49999999999999994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E0-4A8E-BD70-5CAF97D92C16}"/>
            </c:ext>
          </c:extLst>
        </c:ser>
        <c:ser>
          <c:idx val="1"/>
          <c:order val="1"/>
          <c:tx>
            <c:strRef>
              <c:f>Model!$D$45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Model!$D$47:$D$53</c:f>
              <c:numCache>
                <c:formatCode>0.00</c:formatCode>
                <c:ptCount val="7"/>
                <c:pt idx="0">
                  <c:v>21.650635094610969</c:v>
                </c:pt>
                <c:pt idx="1">
                  <c:v>1.531435568635775E-15</c:v>
                </c:pt>
                <c:pt idx="2">
                  <c:v>-21.650635094610969</c:v>
                </c:pt>
                <c:pt idx="3">
                  <c:v>-21.650635094610966</c:v>
                </c:pt>
                <c:pt idx="4">
                  <c:v>-4.594306705907325E-15</c:v>
                </c:pt>
                <c:pt idx="5">
                  <c:v>21.650635094610958</c:v>
                </c:pt>
                <c:pt idx="6">
                  <c:v>21.650635094610969</c:v>
                </c:pt>
              </c:numCache>
            </c:numRef>
          </c:xVal>
          <c:yVal>
            <c:numRef>
              <c:f>Model!$E$47:$E$53</c:f>
              <c:numCache>
                <c:formatCode>0.00</c:formatCode>
                <c:ptCount val="7"/>
                <c:pt idx="0">
                  <c:v>12.499999999999998</c:v>
                </c:pt>
                <c:pt idx="1">
                  <c:v>25</c:v>
                </c:pt>
                <c:pt idx="2">
                  <c:v>12.499999999999998</c:v>
                </c:pt>
                <c:pt idx="3">
                  <c:v>-12.500000000000004</c:v>
                </c:pt>
                <c:pt idx="4">
                  <c:v>-25</c:v>
                </c:pt>
                <c:pt idx="5">
                  <c:v>-12.500000000000011</c:v>
                </c:pt>
                <c:pt idx="6">
                  <c:v>12.499999999999998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E0-4A8E-BD70-5CAF97D92C16}"/>
            </c:ext>
          </c:extLst>
        </c:ser>
        <c:ser>
          <c:idx val="2"/>
          <c:order val="2"/>
          <c:tx>
            <c:strRef>
              <c:f>Model!$F$45</c:f>
              <c:strCache>
                <c:ptCount val="1"/>
                <c:pt idx="0">
                  <c:v>Level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Model!$F$47:$F$53</c:f>
              <c:numCache>
                <c:formatCode>0.00</c:formatCode>
                <c:ptCount val="7"/>
                <c:pt idx="0">
                  <c:v>10.825317547305485</c:v>
                </c:pt>
                <c:pt idx="1">
                  <c:v>9.1886134118146501E-16</c:v>
                </c:pt>
                <c:pt idx="2">
                  <c:v>-19.48557158514987</c:v>
                </c:pt>
                <c:pt idx="3">
                  <c:v>-10.825317547305483</c:v>
                </c:pt>
                <c:pt idx="4">
                  <c:v>-2.756584023544395E-15</c:v>
                </c:pt>
                <c:pt idx="5">
                  <c:v>15.155444566227672</c:v>
                </c:pt>
                <c:pt idx="6">
                  <c:v>10.825317547305485</c:v>
                </c:pt>
              </c:numCache>
            </c:numRef>
          </c:xVal>
          <c:yVal>
            <c:numRef>
              <c:f>Model!$G$47:$G$53</c:f>
              <c:numCache>
                <c:formatCode>0.00</c:formatCode>
                <c:ptCount val="7"/>
                <c:pt idx="0">
                  <c:v>6.2499999999999991</c:v>
                </c:pt>
                <c:pt idx="1">
                  <c:v>15</c:v>
                </c:pt>
                <c:pt idx="2">
                  <c:v>11.249999999999998</c:v>
                </c:pt>
                <c:pt idx="3">
                  <c:v>-6.2500000000000018</c:v>
                </c:pt>
                <c:pt idx="4">
                  <c:v>-15</c:v>
                </c:pt>
                <c:pt idx="5">
                  <c:v>-8.7500000000000071</c:v>
                </c:pt>
                <c:pt idx="6">
                  <c:v>6.2499999999999991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E0-4A8E-BD70-5CAF97D92C16}"/>
            </c:ext>
          </c:extLst>
        </c:ser>
        <c:ser>
          <c:idx val="3"/>
          <c:order val="3"/>
          <c:tx>
            <c:strRef>
              <c:f>Model!$A$57</c:f>
              <c:strCache>
                <c:ptCount val="1"/>
                <c:pt idx="0">
                  <c:v>LIFE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Model!$B$57:$B$58</c:f>
              <c:numCache>
                <c:formatCode>0.00</c:formatCode>
                <c:ptCount val="2"/>
                <c:pt idx="0">
                  <c:v>0</c:v>
                </c:pt>
                <c:pt idx="1">
                  <c:v>108.25317547305485</c:v>
                </c:pt>
              </c:numCache>
            </c:numRef>
          </c:xVal>
          <c:yVal>
            <c:numRef>
              <c:f>Model!$C$57:$C$58</c:f>
              <c:numCache>
                <c:formatCode>0.00</c:formatCode>
                <c:ptCount val="2"/>
                <c:pt idx="0">
                  <c:v>0</c:v>
                </c:pt>
                <c:pt idx="1">
                  <c:v>62.499999999999993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E0-4A8E-BD70-5CAF97D92C16}"/>
            </c:ext>
          </c:extLst>
        </c:ser>
        <c:ser>
          <c:idx val="4"/>
          <c:order val="4"/>
          <c:tx>
            <c:strRef>
              <c:f>Model!$A$59</c:f>
              <c:strCache>
                <c:ptCount val="1"/>
                <c:pt idx="0">
                  <c:v>AIR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83E0-4A8E-BD70-5CAF97D92C16}"/>
              </c:ext>
            </c:extLst>
          </c:dPt>
          <c:xVal>
            <c:numRef>
              <c:f>Model!$B$59:$B$60</c:f>
              <c:numCache>
                <c:formatCode>0.00</c:formatCode>
                <c:ptCount val="2"/>
                <c:pt idx="0">
                  <c:v>0</c:v>
                </c:pt>
                <c:pt idx="1">
                  <c:v>7.6571778431788751E-15</c:v>
                </c:pt>
              </c:numCache>
            </c:numRef>
          </c:xVal>
          <c:yVal>
            <c:numRef>
              <c:f>Model!$C$59:$C$60</c:f>
              <c:numCache>
                <c:formatCode>0.00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E0-4A8E-BD70-5CAF97D92C16}"/>
            </c:ext>
          </c:extLst>
        </c:ser>
        <c:ser>
          <c:idx val="5"/>
          <c:order val="5"/>
          <c:tx>
            <c:strRef>
              <c:f>Model!$A$61</c:f>
              <c:strCache>
                <c:ptCount val="1"/>
                <c:pt idx="0">
                  <c:v>FIRE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Model!$B$61:$B$62</c:f>
              <c:numCache>
                <c:formatCode>0.00</c:formatCode>
                <c:ptCount val="2"/>
                <c:pt idx="0">
                  <c:v>0</c:v>
                </c:pt>
                <c:pt idx="1">
                  <c:v>-108.25317547305485</c:v>
                </c:pt>
              </c:numCache>
            </c:numRef>
          </c:xVal>
          <c:yVal>
            <c:numRef>
              <c:f>Model!$C$61:$C$62</c:f>
              <c:numCache>
                <c:formatCode>0.00</c:formatCode>
                <c:ptCount val="2"/>
                <c:pt idx="0">
                  <c:v>0</c:v>
                </c:pt>
                <c:pt idx="1">
                  <c:v>62.499999999999993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3E0-4A8E-BD70-5CAF97D92C16}"/>
            </c:ext>
          </c:extLst>
        </c:ser>
        <c:ser>
          <c:idx val="6"/>
          <c:order val="6"/>
          <c:tx>
            <c:strRef>
              <c:f>Model!$A$63</c:f>
              <c:strCache>
                <c:ptCount val="1"/>
                <c:pt idx="0">
                  <c:v>DEATH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Model!$B$63:$B$64</c:f>
              <c:numCache>
                <c:formatCode>0.00</c:formatCode>
                <c:ptCount val="2"/>
                <c:pt idx="0">
                  <c:v>0</c:v>
                </c:pt>
                <c:pt idx="1">
                  <c:v>-108.25317547305482</c:v>
                </c:pt>
              </c:numCache>
            </c:numRef>
          </c:xVal>
          <c:yVal>
            <c:numRef>
              <c:f>Model!$C$63:$C$64</c:f>
              <c:numCache>
                <c:formatCode>0.00</c:formatCode>
                <c:ptCount val="2"/>
                <c:pt idx="0">
                  <c:v>0</c:v>
                </c:pt>
                <c:pt idx="1">
                  <c:v>-62.500000000000014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3E0-4A8E-BD70-5CAF97D92C16}"/>
            </c:ext>
          </c:extLst>
        </c:ser>
        <c:ser>
          <c:idx val="7"/>
          <c:order val="7"/>
          <c:tx>
            <c:strRef>
              <c:f>Model!$A$65</c:f>
              <c:strCache>
                <c:ptCount val="1"/>
                <c:pt idx="0">
                  <c:v>EARTH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Model!$B$65:$B$66</c:f>
              <c:numCache>
                <c:formatCode>0.00</c:formatCode>
                <c:ptCount val="2"/>
                <c:pt idx="0">
                  <c:v>0</c:v>
                </c:pt>
                <c:pt idx="1">
                  <c:v>-2.2971533529536625E-14</c:v>
                </c:pt>
              </c:numCache>
            </c:numRef>
          </c:xVal>
          <c:yVal>
            <c:numRef>
              <c:f>Model!$C$65:$C$66</c:f>
              <c:numCache>
                <c:formatCode>0.00</c:formatCode>
                <c:ptCount val="2"/>
                <c:pt idx="0">
                  <c:v>0</c:v>
                </c:pt>
                <c:pt idx="1">
                  <c:v>-125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3E0-4A8E-BD70-5CAF97D92C16}"/>
            </c:ext>
          </c:extLst>
        </c:ser>
        <c:ser>
          <c:idx val="8"/>
          <c:order val="8"/>
          <c:tx>
            <c:strRef>
              <c:f>Model!$A$67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Model!$B$67:$B$68</c:f>
              <c:numCache>
                <c:formatCode>0.00</c:formatCode>
                <c:ptCount val="2"/>
                <c:pt idx="0">
                  <c:v>0</c:v>
                </c:pt>
                <c:pt idx="1">
                  <c:v>108.2531754730548</c:v>
                </c:pt>
              </c:numCache>
            </c:numRef>
          </c:xVal>
          <c:yVal>
            <c:numRef>
              <c:f>Model!$C$67:$C$68</c:f>
              <c:numCache>
                <c:formatCode>0.00</c:formatCode>
                <c:ptCount val="2"/>
                <c:pt idx="0">
                  <c:v>0</c:v>
                </c:pt>
                <c:pt idx="1">
                  <c:v>-62.500000000000057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3E0-4A8E-BD70-5CAF97D92C16}"/>
            </c:ext>
          </c:extLst>
        </c:ser>
        <c:ser>
          <c:idx val="10"/>
          <c:order val="9"/>
          <c:tx>
            <c:strRef>
              <c:f>Model!$A$69</c:f>
              <c:strCache>
                <c:ptCount val="1"/>
                <c:pt idx="0">
                  <c:v>Target 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Model!$B$69:$B$70</c:f>
              <c:numCache>
                <c:formatCode>0.00</c:formatCode>
                <c:ptCount val="2"/>
                <c:pt idx="0">
                  <c:v>0</c:v>
                </c:pt>
                <c:pt idx="1">
                  <c:v>-90.93266739736606</c:v>
                </c:pt>
              </c:numCache>
            </c:numRef>
          </c:xVal>
          <c:yVal>
            <c:numRef>
              <c:f>Model!$C$69:$C$70</c:f>
              <c:numCache>
                <c:formatCode>0.00</c:formatCode>
                <c:ptCount val="2"/>
                <c:pt idx="0">
                  <c:v>0</c:v>
                </c:pt>
                <c:pt idx="1">
                  <c:v>22.499999999999993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3E0-4A8E-BD70-5CAF97D92C16}"/>
            </c:ext>
          </c:extLst>
        </c:ser>
        <c:ser>
          <c:idx val="11"/>
          <c:order val="10"/>
          <c:tx>
            <c:strRef>
              <c:f>Model!$F$56</c:f>
              <c:strCache>
                <c:ptCount val="1"/>
                <c:pt idx="0">
                  <c:v>Point 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Model!$F$57</c:f>
              <c:numCache>
                <c:formatCode>0.00</c:formatCode>
                <c:ptCount val="1"/>
                <c:pt idx="0">
                  <c:v>-18.186533479473212</c:v>
                </c:pt>
              </c:numCache>
            </c:numRef>
          </c:xVal>
          <c:yVal>
            <c:numRef>
              <c:f>Model!$F$58</c:f>
              <c:numCache>
                <c:formatCode>0.00</c:formatCode>
                <c:ptCount val="1"/>
                <c:pt idx="0">
                  <c:v>4.4999999999999982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83E0-4A8E-BD70-5CAF97D92C16}"/>
            </c:ext>
          </c:extLst>
        </c:ser>
        <c:ser>
          <c:idx val="9"/>
          <c:order val="11"/>
          <c:tx>
            <c:strRef>
              <c:f>Model!$G$56</c:f>
              <c:strCache>
                <c:ptCount val="1"/>
                <c:pt idx="0">
                  <c:v>Intercept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Model!$G$57</c:f>
              <c:numCache>
                <c:formatCode>General</c:formatCode>
                <c:ptCount val="1"/>
                <c:pt idx="0">
                  <c:v>-15.860348964656872</c:v>
                </c:pt>
              </c:numCache>
            </c:numRef>
          </c:xVal>
          <c:yVal>
            <c:numRef>
              <c:f>Model!$G$58</c:f>
              <c:numCache>
                <c:formatCode>General</c:formatCode>
                <c:ptCount val="1"/>
                <c:pt idx="0">
                  <c:v>3.9244186046511613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83E0-4A8E-BD70-5CAF97D9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1008"/>
        <c:axId val="77491584"/>
      </c:scatterChart>
      <c:valAx>
        <c:axId val="77491008"/>
        <c:scaling>
          <c:orientation val="minMax"/>
          <c:max val="30"/>
          <c:min val="-30"/>
        </c:scaling>
        <c:delete val="1"/>
        <c:axPos val="b"/>
        <c:numFmt formatCode="0.00" sourceLinked="1"/>
        <c:majorTickMark val="out"/>
        <c:minorTickMark val="none"/>
        <c:tickLblPos val="nextTo"/>
        <c:crossAx val="77491584"/>
        <c:crosses val="autoZero"/>
        <c:crossBetween val="midCat"/>
      </c:valAx>
      <c:valAx>
        <c:axId val="77491584"/>
        <c:scaling>
          <c:orientation val="minMax"/>
          <c:max val="30"/>
          <c:min val="-30"/>
        </c:scaling>
        <c:delete val="1"/>
        <c:axPos val="l"/>
        <c:numFmt formatCode="0.00" sourceLinked="1"/>
        <c:majorTickMark val="out"/>
        <c:minorTickMark val="none"/>
        <c:tickLblPos val="nextTo"/>
        <c:crossAx val="7749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Experience on cast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874074074074077E-2"/>
          <c:y val="0.16670039682539681"/>
          <c:w val="0.88933166666666663"/>
          <c:h val="0.70704722222222216"/>
        </c:manualLayout>
      </c:layout>
      <c:scatterChart>
        <c:scatterStyle val="lineMarker"/>
        <c:varyColors val="0"/>
        <c:ser>
          <c:idx val="2"/>
          <c:order val="2"/>
          <c:tx>
            <c:v>Point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Model!$S$47:$S$49</c:f>
              <c:numCache>
                <c:formatCode>0.00</c:formatCode>
                <c:ptCount val="3"/>
                <c:pt idx="0">
                  <c:v>0</c:v>
                </c:pt>
                <c:pt idx="1">
                  <c:v>2.396336441245893</c:v>
                </c:pt>
                <c:pt idx="2">
                  <c:v>2.396336441245893</c:v>
                </c:pt>
              </c:numCache>
            </c:numRef>
          </c:xVal>
          <c:yVal>
            <c:numRef>
              <c:f>Model!$T$47:$T$49</c:f>
              <c:numCache>
                <c:formatCode>0.00</c:formatCode>
                <c:ptCount val="3"/>
                <c:pt idx="0">
                  <c:v>21.308390039906666</c:v>
                </c:pt>
                <c:pt idx="1">
                  <c:v>21.308390039906666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4464"/>
        <c:axId val="77495040"/>
      </c:scatterChart>
      <c:scatterChart>
        <c:scatterStyle val="smoothMarker"/>
        <c:varyColors val="0"/>
        <c:ser>
          <c:idx val="0"/>
          <c:order val="0"/>
          <c:tx>
            <c:strRef>
              <c:f>Model!$N$45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xVal>
            <c:numRef>
              <c:f>Model!$L$46:$L$71</c:f>
              <c:numCache>
                <c:formatCode>General</c:formatCode>
                <c:ptCount val="26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Model!$N$46:$N$71</c:f>
              <c:numCache>
                <c:formatCode>General</c:formatCode>
                <c:ptCount val="26"/>
                <c:pt idx="0">
                  <c:v>9.9999949998430537E-5</c:v>
                </c:pt>
                <c:pt idx="1">
                  <c:v>9.5162581964040491</c:v>
                </c:pt>
                <c:pt idx="2">
                  <c:v>18.126924692201818</c:v>
                </c:pt>
                <c:pt idx="3">
                  <c:v>25.918177931828211</c:v>
                </c:pt>
                <c:pt idx="4">
                  <c:v>32.967995396436066</c:v>
                </c:pt>
                <c:pt idx="5">
                  <c:v>39.346934028736655</c:v>
                </c:pt>
                <c:pt idx="6">
                  <c:v>45.118836390597359</c:v>
                </c:pt>
                <c:pt idx="7">
                  <c:v>50.341469620859044</c:v>
                </c:pt>
                <c:pt idx="8">
                  <c:v>55.067103588277845</c:v>
                </c:pt>
                <c:pt idx="9">
                  <c:v>59.343034025940092</c:v>
                </c:pt>
                <c:pt idx="10">
                  <c:v>63.212055882855765</c:v>
                </c:pt>
                <c:pt idx="11">
                  <c:v>66.712891630192047</c:v>
                </c:pt>
                <c:pt idx="12">
                  <c:v>69.880578808779774</c:v>
                </c:pt>
                <c:pt idx="13">
                  <c:v>72.746820696598746</c:v>
                </c:pt>
                <c:pt idx="14">
                  <c:v>75.340303605839352</c:v>
                </c:pt>
                <c:pt idx="15">
                  <c:v>77.686983985157028</c:v>
                </c:pt>
                <c:pt idx="16">
                  <c:v>79.810348200534463</c:v>
                </c:pt>
                <c:pt idx="17">
                  <c:v>81.731647594726525</c:v>
                </c:pt>
                <c:pt idx="18">
                  <c:v>83.470111177841346</c:v>
                </c:pt>
                <c:pt idx="19">
                  <c:v>85.043138077736486</c:v>
                </c:pt>
                <c:pt idx="20">
                  <c:v>86.466471676338728</c:v>
                </c:pt>
                <c:pt idx="21">
                  <c:v>87.754357174701809</c:v>
                </c:pt>
                <c:pt idx="22">
                  <c:v>88.919684163766604</c:v>
                </c:pt>
                <c:pt idx="23">
                  <c:v>89.974115627719613</c:v>
                </c:pt>
                <c:pt idx="24">
                  <c:v>90.928204671058751</c:v>
                </c:pt>
                <c:pt idx="25">
                  <c:v>91.791500137610115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Model!$M$45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Model!$L$46:$L$71</c:f>
              <c:numCache>
                <c:formatCode>General</c:formatCode>
                <c:ptCount val="26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Model!$M$46:$M$71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4464"/>
        <c:axId val="77495040"/>
      </c:scatterChart>
      <c:valAx>
        <c:axId val="77494464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77495040"/>
        <c:crosses val="autoZero"/>
        <c:crossBetween val="midCat"/>
        <c:majorUnit val="1"/>
        <c:minorUnit val="1"/>
      </c:valAx>
      <c:valAx>
        <c:axId val="7749504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749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Average</a:t>
            </a:r>
            <a:r>
              <a:rPr lang="nl-BE" baseline="0"/>
              <a:t> time until fizzle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874074074074077E-2"/>
          <c:y val="0.14654166666666665"/>
          <c:w val="0.88933166666666663"/>
          <c:h val="0.72720595238095243"/>
        </c:manualLayout>
      </c:layout>
      <c:scatterChart>
        <c:scatterStyle val="lineMarker"/>
        <c:varyColors val="0"/>
        <c:ser>
          <c:idx val="1"/>
          <c:order val="1"/>
          <c:tx>
            <c:v>Point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Model!$S$53:$S$55</c:f>
              <c:numCache>
                <c:formatCode>0.00</c:formatCode>
                <c:ptCount val="3"/>
                <c:pt idx="0">
                  <c:v>0</c:v>
                </c:pt>
                <c:pt idx="1">
                  <c:v>2.396336441245893</c:v>
                </c:pt>
                <c:pt idx="2">
                  <c:v>2.396336441245893</c:v>
                </c:pt>
              </c:numCache>
            </c:numRef>
          </c:xVal>
          <c:yVal>
            <c:numRef>
              <c:f>Model!$T$53:$T$55</c:f>
              <c:numCache>
                <c:formatCode>0.00</c:formatCode>
                <c:ptCount val="3"/>
                <c:pt idx="0">
                  <c:v>20.890193662366794</c:v>
                </c:pt>
                <c:pt idx="1">
                  <c:v>20.890193662366794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1392"/>
        <c:axId val="106251968"/>
      </c:scatterChart>
      <c:scatterChart>
        <c:scatterStyle val="smoothMarker"/>
        <c:varyColors val="0"/>
        <c:ser>
          <c:idx val="0"/>
          <c:order val="0"/>
          <c:tx>
            <c:v>Time until fizzle</c:v>
          </c:tx>
          <c:marker>
            <c:symbol val="none"/>
          </c:marker>
          <c:xVal>
            <c:numRef>
              <c:f>Model!$L$46:$L$71</c:f>
              <c:numCache>
                <c:formatCode>General</c:formatCode>
                <c:ptCount val="26"/>
                <c:pt idx="0" formatCode="0">
                  <c:v>1.0000000000000001E-5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Model!$Q$46:$Q$71</c:f>
              <c:numCache>
                <c:formatCode>0.00</c:formatCode>
                <c:ptCount val="26"/>
                <c:pt idx="0">
                  <c:v>5000000.030387355</c:v>
                </c:pt>
                <c:pt idx="1">
                  <c:v>50.025004166668111</c:v>
                </c:pt>
                <c:pt idx="2">
                  <c:v>25.025008333332931</c:v>
                </c:pt>
                <c:pt idx="3">
                  <c:v>16.69167916666493</c:v>
                </c:pt>
                <c:pt idx="4">
                  <c:v>12.52501666666226</c:v>
                </c:pt>
                <c:pt idx="5">
                  <c:v>10.025020833324666</c:v>
                </c:pt>
                <c:pt idx="6">
                  <c:v>8.3583583333183498</c:v>
                </c:pt>
                <c:pt idx="7">
                  <c:v>7.1678863094999929</c:v>
                </c:pt>
                <c:pt idx="8">
                  <c:v>6.2750333332977997</c:v>
                </c:pt>
                <c:pt idx="9">
                  <c:v>5.5805930555049201</c:v>
                </c:pt>
                <c:pt idx="10">
                  <c:v>5.0250416665972493</c:v>
                </c:pt>
                <c:pt idx="11">
                  <c:v>4.5705003786954617</c:v>
                </c:pt>
                <c:pt idx="12">
                  <c:v>4.1917166665466592</c:v>
                </c:pt>
                <c:pt idx="13">
                  <c:v>3.8712080126679425</c:v>
                </c:pt>
                <c:pt idx="14">
                  <c:v>3.5964869045713472</c:v>
                </c:pt>
                <c:pt idx="15">
                  <c:v>3.3583958330989567</c:v>
                </c:pt>
                <c:pt idx="16">
                  <c:v>3.1500666663822283</c:v>
                </c:pt>
                <c:pt idx="17">
                  <c:v>2.9662473035803916</c:v>
                </c:pt>
                <c:pt idx="18">
                  <c:v>2.8028527773727889</c:v>
                </c:pt>
                <c:pt idx="19">
                  <c:v>2.656658113558771</c:v>
                </c:pt>
                <c:pt idx="20">
                  <c:v>2.5250833327777764</c:v>
                </c:pt>
                <c:pt idx="21">
                  <c:v>2.4060398803092595</c:v>
                </c:pt>
                <c:pt idx="22">
                  <c:v>2.2978189386545038</c:v>
                </c:pt>
                <c:pt idx="23">
                  <c:v>2.1990088759666735</c:v>
                </c:pt>
                <c:pt idx="24">
                  <c:v>2.1084333323733446</c:v>
                </c:pt>
                <c:pt idx="25">
                  <c:v>2.0251041655816087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1392"/>
        <c:axId val="106251968"/>
      </c:scatterChart>
      <c:valAx>
        <c:axId val="106251392"/>
        <c:scaling>
          <c:orientation val="minMax"/>
          <c:max val="25"/>
        </c:scaling>
        <c:delete val="0"/>
        <c:axPos val="b"/>
        <c:numFmt formatCode="0" sourceLinked="0"/>
        <c:majorTickMark val="out"/>
        <c:minorTickMark val="none"/>
        <c:tickLblPos val="nextTo"/>
        <c:crossAx val="106251968"/>
        <c:crosses val="autoZero"/>
        <c:crossBetween val="midCat"/>
        <c:majorUnit val="1"/>
        <c:minorUnit val="1"/>
      </c:valAx>
      <c:valAx>
        <c:axId val="106251968"/>
        <c:scaling>
          <c:orientation val="minMax"/>
          <c:max val="15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0625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85724</xdr:rowOff>
    </xdr:from>
    <xdr:to>
      <xdr:col>8</xdr:col>
      <xdr:colOff>475575</xdr:colOff>
      <xdr:row>41</xdr:row>
      <xdr:rowOff>56474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8BEFA9B-A9EF-470C-99B1-444DB63A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11</xdr:row>
      <xdr:rowOff>100012</xdr:rowOff>
    </xdr:from>
    <xdr:to>
      <xdr:col>17</xdr:col>
      <xdr:colOff>447000</xdr:colOff>
      <xdr:row>25</xdr:row>
      <xdr:rowOff>86362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25</xdr:row>
      <xdr:rowOff>171450</xdr:rowOff>
    </xdr:from>
    <xdr:to>
      <xdr:col>17</xdr:col>
      <xdr:colOff>466050</xdr:colOff>
      <xdr:row>39</xdr:row>
      <xdr:rowOff>157800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7"/>
  <sheetViews>
    <sheetView tabSelected="1" topLeftCell="A16" workbookViewId="0">
      <selection activeCell="U27" sqref="U27"/>
    </sheetView>
  </sheetViews>
  <sheetFormatPr defaultRowHeight="15" x14ac:dyDescent="0.25"/>
  <cols>
    <col min="1" max="2" width="9.140625" style="1"/>
    <col min="3" max="3" width="10.5703125" style="1" bestFit="1" customWidth="1"/>
    <col min="4" max="6" width="9.140625" style="1"/>
    <col min="7" max="7" width="10.140625" style="1" customWidth="1"/>
    <col min="8" max="8" width="9" style="1" customWidth="1"/>
    <col min="9" max="11" width="9.140625" style="1"/>
    <col min="12" max="12" width="13.5703125" style="1" bestFit="1" customWidth="1"/>
    <col min="13" max="13" width="10.5703125" style="1" customWidth="1"/>
    <col min="14" max="15" width="9.140625" style="1"/>
    <col min="16" max="16" width="8.42578125" style="1" customWidth="1"/>
    <col min="17" max="17" width="9" style="1" customWidth="1"/>
    <col min="18" max="18" width="9.140625" style="1"/>
    <col min="19" max="19" width="13.5703125" style="1" bestFit="1" customWidth="1"/>
    <col min="20" max="20" width="7" style="1" customWidth="1"/>
    <col min="21" max="24" width="9.140625" style="2"/>
    <col min="25" max="26" width="8.85546875" style="2" customWidth="1"/>
    <col min="27" max="16384" width="9.140625" style="1"/>
  </cols>
  <sheetData>
    <row r="1" spans="1:22" ht="16.5" thickTop="1" thickBot="1" x14ac:dyDescent="0.3">
      <c r="B1" s="17" t="s">
        <v>43</v>
      </c>
      <c r="C1" s="17" t="s">
        <v>42</v>
      </c>
      <c r="D1" s="17" t="s">
        <v>38</v>
      </c>
    </row>
    <row r="2" spans="1:22" ht="16.5" thickTop="1" thickBot="1" x14ac:dyDescent="0.3">
      <c r="A2" s="17" t="s">
        <v>0</v>
      </c>
      <c r="B2" s="15">
        <v>1</v>
      </c>
      <c r="C2" s="15">
        <v>1</v>
      </c>
      <c r="D2" s="15">
        <v>1</v>
      </c>
    </row>
    <row r="3" spans="1:22" ht="16.5" thickTop="1" thickBot="1" x14ac:dyDescent="0.3">
      <c r="A3" s="17" t="s">
        <v>1</v>
      </c>
      <c r="B3" s="15">
        <v>5</v>
      </c>
      <c r="C3" s="15">
        <f>B3*5</f>
        <v>25</v>
      </c>
      <c r="D3" s="15">
        <v>10</v>
      </c>
    </row>
    <row r="4" spans="1:22" ht="16.5" thickTop="1" thickBot="1" x14ac:dyDescent="0.3">
      <c r="H4" s="58" t="s">
        <v>56</v>
      </c>
      <c r="I4" s="58"/>
      <c r="M4" s="17" t="s">
        <v>46</v>
      </c>
    </row>
    <row r="5" spans="1:22" ht="16.5" thickTop="1" thickBot="1" x14ac:dyDescent="0.3">
      <c r="B5" s="17" t="s">
        <v>8</v>
      </c>
      <c r="C5" s="17" t="s">
        <v>9</v>
      </c>
      <c r="F5" s="19" t="s">
        <v>38</v>
      </c>
      <c r="G5" s="19" t="s">
        <v>10</v>
      </c>
      <c r="H5" s="19" t="s">
        <v>11</v>
      </c>
      <c r="I5" s="19" t="s">
        <v>54</v>
      </c>
      <c r="J5" s="19" t="s">
        <v>55</v>
      </c>
      <c r="L5" s="6" t="s">
        <v>7</v>
      </c>
      <c r="M5" s="12">
        <f>ROUNDDOWN(IF(L5=$F$68,$J$60,IF(L5=$F$69,$J$61,0))*IF($F$59&lt;$G$59,0,1-EXP(-($F$59-$G$59)/$T$7))*$T$9,0)</f>
        <v>0</v>
      </c>
      <c r="O5" s="58" t="s">
        <v>39</v>
      </c>
      <c r="P5" s="58"/>
      <c r="Q5" s="58"/>
      <c r="S5" s="58" t="s">
        <v>64</v>
      </c>
      <c r="T5" s="58"/>
    </row>
    <row r="6" spans="1:22" ht="16.5" thickTop="1" thickBot="1" x14ac:dyDescent="0.3">
      <c r="A6" s="6" t="s">
        <v>7</v>
      </c>
      <c r="B6" s="13">
        <v>30</v>
      </c>
      <c r="C6" s="14">
        <f>B6*PI()/180</f>
        <v>0.52359877559829882</v>
      </c>
      <c r="D6" s="5"/>
      <c r="E6" s="6" t="s">
        <v>7</v>
      </c>
      <c r="F6" s="20">
        <v>5</v>
      </c>
      <c r="G6" s="21">
        <f t="shared" ref="G6:G11" si="0">F6*$C$3/$D$3</f>
        <v>12.5</v>
      </c>
      <c r="H6" s="20">
        <v>0</v>
      </c>
      <c r="I6" s="20">
        <v>2</v>
      </c>
      <c r="J6" s="21">
        <f>PRODUCT(H6:I6)</f>
        <v>0</v>
      </c>
      <c r="L6" s="7" t="s">
        <v>5</v>
      </c>
      <c r="M6" s="12">
        <f>ROUNDDOWN(IF(L6=$F$68,$J$60,IF(L6=$F$69,$J$61,0))*IF($F$59&lt;$G$59,0,1-EXP(-($F$59-$G$59)/$T$7))*$T$9,0)</f>
        <v>0</v>
      </c>
      <c r="O6" s="17" t="s">
        <v>14</v>
      </c>
      <c r="P6" s="42">
        <f>IF($F$59&gt;$G$59,$F$59-$G$59,0)</f>
        <v>2.396336441245893</v>
      </c>
      <c r="Q6" s="43"/>
      <c r="S6" s="17" t="s">
        <v>57</v>
      </c>
      <c r="T6" s="18">
        <v>1000</v>
      </c>
      <c r="U6" s="1" t="s">
        <v>61</v>
      </c>
    </row>
    <row r="7" spans="1:22" ht="16.5" thickTop="1" thickBot="1" x14ac:dyDescent="0.3">
      <c r="A7" s="7" t="s">
        <v>5</v>
      </c>
      <c r="B7" s="15">
        <f>B6+60</f>
        <v>90</v>
      </c>
      <c r="C7" s="16">
        <f t="shared" ref="C7:C11" si="1">B7*PI()/180</f>
        <v>1.5707963267948966</v>
      </c>
      <c r="E7" s="7" t="s">
        <v>5</v>
      </c>
      <c r="F7" s="20">
        <v>6</v>
      </c>
      <c r="G7" s="21">
        <f t="shared" si="0"/>
        <v>15</v>
      </c>
      <c r="H7" s="20">
        <v>0</v>
      </c>
      <c r="I7" s="20">
        <v>4</v>
      </c>
      <c r="J7" s="21">
        <f t="shared" ref="J7:J11" si="2">PRODUCT(H7:I7)</f>
        <v>0</v>
      </c>
      <c r="L7" s="8" t="s">
        <v>2</v>
      </c>
      <c r="M7" s="12">
        <f>ROUNDDOWN(IF(L7=$F$68,$J$60,IF(L7=$F$69,$J$61,0))*IF($F$59&lt;$G$59,0,1-EXP(-($F$59-$G$59)/$T$7))*$T$9,0)</f>
        <v>15</v>
      </c>
      <c r="O7" s="17" t="s">
        <v>41</v>
      </c>
      <c r="P7" s="44">
        <f>IF($F$59&lt;$G$59,0,1-EXP(-($F$59-$G$59)/$T$6))*100</f>
        <v>0.23934675191678023</v>
      </c>
      <c r="Q7" s="45" t="s">
        <v>52</v>
      </c>
      <c r="S7" s="17" t="s">
        <v>50</v>
      </c>
      <c r="T7" s="18">
        <v>10</v>
      </c>
      <c r="U7" s="1" t="s">
        <v>62</v>
      </c>
    </row>
    <row r="8" spans="1:22" ht="16.5" thickTop="1" thickBot="1" x14ac:dyDescent="0.3">
      <c r="A8" s="8" t="s">
        <v>2</v>
      </c>
      <c r="B8" s="15">
        <f t="shared" ref="B8:B11" si="3">B7+60</f>
        <v>150</v>
      </c>
      <c r="C8" s="16">
        <f t="shared" si="1"/>
        <v>2.6179938779914944</v>
      </c>
      <c r="E8" s="8" t="s">
        <v>2</v>
      </c>
      <c r="F8" s="20">
        <v>9</v>
      </c>
      <c r="G8" s="21">
        <f t="shared" si="0"/>
        <v>22.5</v>
      </c>
      <c r="H8" s="20">
        <v>3</v>
      </c>
      <c r="I8" s="20">
        <v>5</v>
      </c>
      <c r="J8" s="21">
        <f t="shared" si="2"/>
        <v>15</v>
      </c>
      <c r="L8" s="9" t="s">
        <v>6</v>
      </c>
      <c r="M8" s="12">
        <f>ROUNDDOWN(IF(L8=$F$68,$J$60,IF(L8=$F$69,$J$61,0))*IF($F$59&lt;$G$59,0,1-EXP(-($F$59-$G$59)/$T$7))*$T$9,0)</f>
        <v>5</v>
      </c>
      <c r="O8" s="17" t="s">
        <v>40</v>
      </c>
      <c r="P8" s="46">
        <f>IF(P7=0,100000000,100/P7)</f>
        <v>417.8038732473359</v>
      </c>
      <c r="Q8" s="45" t="s">
        <v>53</v>
      </c>
      <c r="S8" s="17" t="s">
        <v>47</v>
      </c>
      <c r="T8" s="18">
        <v>1</v>
      </c>
      <c r="U8" s="1" t="s">
        <v>65</v>
      </c>
    </row>
    <row r="9" spans="1:22" ht="16.5" thickTop="1" thickBot="1" x14ac:dyDescent="0.3">
      <c r="A9" s="9" t="s">
        <v>6</v>
      </c>
      <c r="B9" s="15">
        <f t="shared" si="3"/>
        <v>210</v>
      </c>
      <c r="C9" s="16">
        <f t="shared" si="1"/>
        <v>3.6651914291880923</v>
      </c>
      <c r="E9" s="9" t="s">
        <v>6</v>
      </c>
      <c r="F9" s="20">
        <v>5</v>
      </c>
      <c r="G9" s="21">
        <f t="shared" si="0"/>
        <v>12.5</v>
      </c>
      <c r="H9" s="20">
        <v>2</v>
      </c>
      <c r="I9" s="20">
        <v>3</v>
      </c>
      <c r="J9" s="21">
        <f t="shared" si="2"/>
        <v>6</v>
      </c>
      <c r="L9" s="10" t="s">
        <v>4</v>
      </c>
      <c r="M9" s="12">
        <f>ROUNDDOWN(IF(L9=$F$68,$J$60,IF(L9=$F$69,$J$61,0))*IF($F$59&lt;$G$59,0,1-EXP(-($F$59-$G$59)/$T$7))*$T$9,0)</f>
        <v>0</v>
      </c>
      <c r="O9" s="17" t="s">
        <v>40</v>
      </c>
      <c r="P9" s="44">
        <f>P8/20</f>
        <v>20.890193662366794</v>
      </c>
      <c r="Q9" s="45" t="s">
        <v>45</v>
      </c>
      <c r="S9" s="17" t="s">
        <v>63</v>
      </c>
      <c r="T9" s="49">
        <f>100*T8</f>
        <v>100</v>
      </c>
    </row>
    <row r="10" spans="1:22" ht="15.75" thickTop="1" x14ac:dyDescent="0.25">
      <c r="A10" s="10" t="s">
        <v>4</v>
      </c>
      <c r="B10" s="15">
        <f t="shared" si="3"/>
        <v>270</v>
      </c>
      <c r="C10" s="16">
        <f t="shared" si="1"/>
        <v>4.7123889803846897</v>
      </c>
      <c r="E10" s="10" t="s">
        <v>4</v>
      </c>
      <c r="F10" s="20">
        <v>6</v>
      </c>
      <c r="G10" s="21">
        <f t="shared" si="0"/>
        <v>15</v>
      </c>
      <c r="H10" s="20">
        <v>0</v>
      </c>
      <c r="I10" s="20">
        <v>2</v>
      </c>
      <c r="J10" s="21">
        <f t="shared" si="2"/>
        <v>0</v>
      </c>
      <c r="L10" s="11" t="s">
        <v>3</v>
      </c>
      <c r="M10" s="12">
        <f>ROUNDDOWN(IF(L10=$F$68,$J$60,IF(L10=$F$69,$J$61,0))*IF($F$59&lt;$G$59,0,1-EXP(-($F$59-$G$59)/$T$7))*$T$9,0)</f>
        <v>0</v>
      </c>
    </row>
    <row r="11" spans="1:22" x14ac:dyDescent="0.25">
      <c r="A11" s="11" t="s">
        <v>3</v>
      </c>
      <c r="B11" s="15">
        <f t="shared" si="3"/>
        <v>330</v>
      </c>
      <c r="C11" s="16">
        <f t="shared" si="1"/>
        <v>5.7595865315812871</v>
      </c>
      <c r="E11" s="11" t="s">
        <v>3</v>
      </c>
      <c r="F11" s="20">
        <v>7</v>
      </c>
      <c r="G11" s="21">
        <f t="shared" si="0"/>
        <v>17.5</v>
      </c>
      <c r="H11" s="20">
        <v>0</v>
      </c>
      <c r="I11" s="20">
        <v>4</v>
      </c>
      <c r="J11" s="21">
        <f t="shared" si="2"/>
        <v>0</v>
      </c>
    </row>
    <row r="12" spans="1:22" ht="14.25" customHeight="1" x14ac:dyDescent="0.25"/>
    <row r="13" spans="1:22" ht="14.25" customHeight="1" x14ac:dyDescent="0.25"/>
    <row r="14" spans="1:22" ht="14.25" customHeight="1" x14ac:dyDescent="0.25">
      <c r="V14" s="1"/>
    </row>
    <row r="15" spans="1:22" ht="14.25" customHeight="1" x14ac:dyDescent="0.25"/>
    <row r="16" spans="1:22" ht="14.25" customHeight="1" x14ac:dyDescent="0.25"/>
    <row r="17" spans="22:22" ht="14.25" customHeight="1" x14ac:dyDescent="0.25"/>
    <row r="18" spans="22:22" ht="14.25" customHeight="1" x14ac:dyDescent="0.25">
      <c r="V18" s="1"/>
    </row>
    <row r="19" spans="22:22" ht="14.25" customHeight="1" x14ac:dyDescent="0.25"/>
    <row r="20" spans="22:22" ht="14.25" customHeight="1" x14ac:dyDescent="0.25"/>
    <row r="21" spans="22:22" ht="14.25" customHeight="1" x14ac:dyDescent="0.25"/>
    <row r="22" spans="22:22" ht="14.25" customHeight="1" x14ac:dyDescent="0.25"/>
    <row r="23" spans="22:22" ht="14.25" customHeight="1" x14ac:dyDescent="0.25"/>
    <row r="24" spans="22:22" ht="14.25" customHeight="1" x14ac:dyDescent="0.25"/>
    <row r="25" spans="22:22" ht="14.25" customHeight="1" x14ac:dyDescent="0.25"/>
    <row r="26" spans="22:22" ht="14.25" customHeight="1" x14ac:dyDescent="0.25"/>
    <row r="27" spans="22:22" ht="14.25" customHeight="1" x14ac:dyDescent="0.25"/>
    <row r="28" spans="22:22" ht="14.25" customHeight="1" x14ac:dyDescent="0.25"/>
    <row r="29" spans="22:22" ht="14.25" customHeight="1" x14ac:dyDescent="0.25"/>
    <row r="30" spans="22:22" ht="14.25" customHeight="1" x14ac:dyDescent="0.25"/>
    <row r="31" spans="22:22" ht="14.25" customHeight="1" x14ac:dyDescent="0.25"/>
    <row r="32" spans="22:22" ht="14.25" customHeight="1" x14ac:dyDescent="0.25"/>
    <row r="33" spans="1:20" ht="14.25" customHeight="1" x14ac:dyDescent="0.25"/>
    <row r="34" spans="1:20" ht="14.25" customHeight="1" x14ac:dyDescent="0.25"/>
    <row r="35" spans="1:20" ht="14.25" customHeight="1" x14ac:dyDescent="0.25"/>
    <row r="36" spans="1:20" ht="14.25" customHeight="1" x14ac:dyDescent="0.25"/>
    <row r="37" spans="1:20" ht="14.25" customHeight="1" x14ac:dyDescent="0.25"/>
    <row r="38" spans="1:20" ht="14.25" customHeight="1" x14ac:dyDescent="0.25"/>
    <row r="39" spans="1:20" ht="14.25" customHeight="1" x14ac:dyDescent="0.25"/>
    <row r="40" spans="1:20" ht="14.25" customHeight="1" x14ac:dyDescent="0.25"/>
    <row r="41" spans="1:20" ht="14.25" customHeight="1" x14ac:dyDescent="0.25"/>
    <row r="42" spans="1:20" ht="14.25" customHeight="1" x14ac:dyDescent="0.25"/>
    <row r="43" spans="1:20" ht="14.25" customHeight="1" x14ac:dyDescent="0.25"/>
    <row r="44" spans="1:20" ht="15.75" thickBot="1" x14ac:dyDescent="0.3">
      <c r="L44" s="2"/>
      <c r="M44" s="55" t="s">
        <v>49</v>
      </c>
      <c r="N44" s="57"/>
      <c r="O44" s="55" t="s">
        <v>44</v>
      </c>
      <c r="P44" s="56"/>
      <c r="Q44" s="57"/>
    </row>
    <row r="45" spans="1:20" ht="16.5" thickTop="1" thickBot="1" x14ac:dyDescent="0.3">
      <c r="B45" s="58" t="s">
        <v>0</v>
      </c>
      <c r="C45" s="58"/>
      <c r="D45" s="58" t="s">
        <v>1</v>
      </c>
      <c r="E45" s="58"/>
      <c r="F45" s="58" t="s">
        <v>38</v>
      </c>
      <c r="G45" s="58"/>
      <c r="H45" s="58" t="s">
        <v>13</v>
      </c>
      <c r="I45" s="58"/>
      <c r="L45" s="32" t="s">
        <v>14</v>
      </c>
      <c r="M45" s="32" t="s">
        <v>1</v>
      </c>
      <c r="N45" s="32" t="s">
        <v>48</v>
      </c>
      <c r="O45" s="32" t="s">
        <v>41</v>
      </c>
      <c r="P45" s="32" t="s">
        <v>51</v>
      </c>
      <c r="Q45" s="32" t="s">
        <v>45</v>
      </c>
      <c r="S45" s="50" t="s">
        <v>60</v>
      </c>
      <c r="T45" s="51"/>
    </row>
    <row r="46" spans="1:20" ht="16.5" thickTop="1" thickBot="1" x14ac:dyDescent="0.3">
      <c r="B46" s="19" t="s">
        <v>14</v>
      </c>
      <c r="C46" s="19" t="s">
        <v>15</v>
      </c>
      <c r="D46" s="19" t="s">
        <v>14</v>
      </c>
      <c r="E46" s="19" t="s">
        <v>15</v>
      </c>
      <c r="F46" s="19" t="s">
        <v>14</v>
      </c>
      <c r="G46" s="19" t="s">
        <v>15</v>
      </c>
      <c r="H46" s="19" t="s">
        <v>14</v>
      </c>
      <c r="I46" s="19" t="s">
        <v>15</v>
      </c>
      <c r="L46" s="59">
        <v>1.0000000000000001E-5</v>
      </c>
      <c r="M46" s="41">
        <f>$T$9</f>
        <v>100</v>
      </c>
      <c r="N46" s="41">
        <f>(1-EXP(-L46/$T$7))*$T$9</f>
        <v>9.9999949998430537E-5</v>
      </c>
      <c r="O46" s="39">
        <f>1-EXP(-L46/$T$6)</f>
        <v>9.9999999392252903E-9</v>
      </c>
      <c r="P46" s="35">
        <f>IF(O46=0,10000000000000,1/O46)</f>
        <v>100000000.60774711</v>
      </c>
      <c r="Q46" s="36">
        <f>P46/20</f>
        <v>5000000.030387355</v>
      </c>
      <c r="S46" s="32" t="s">
        <v>14</v>
      </c>
      <c r="T46" s="32" t="s">
        <v>15</v>
      </c>
    </row>
    <row r="47" spans="1:20" ht="16.5" thickTop="1" thickBot="1" x14ac:dyDescent="0.3">
      <c r="A47" s="17" t="s">
        <v>7</v>
      </c>
      <c r="B47" s="22">
        <f t="shared" ref="B47:B53" si="4">$C$2*COS(VLOOKUP($A47,$A$6:$C$11,3,FALSE))</f>
        <v>0.86602540378443871</v>
      </c>
      <c r="C47" s="22">
        <f t="shared" ref="C47:C53" si="5">$C$2*SIN(VLOOKUP($A47,$A$6:$C$11,3,FALSE))</f>
        <v>0.49999999999999994</v>
      </c>
      <c r="D47" s="22">
        <f t="shared" ref="D47:D53" si="6">$C$3*COS(VLOOKUP($A47,$A$6:$C$11,3,FALSE))</f>
        <v>21.650635094610969</v>
      </c>
      <c r="E47" s="22">
        <f t="shared" ref="E47:E53" si="7">$C$3*SIN(VLOOKUP($A47,$A$6:$C$11,3,FALSE))</f>
        <v>12.499999999999998</v>
      </c>
      <c r="F47" s="22">
        <f t="shared" ref="F47:F53" si="8">VLOOKUP($A47,$E$6:$J$11,3,FALSE)*COS(VLOOKUP($A47,$A$6:$C$11,3,FALSE))</f>
        <v>10.825317547305485</v>
      </c>
      <c r="G47" s="22">
        <f t="shared" ref="G47:G53" si="9">VLOOKUP($A47,$E$6:$J$11,3,FALSE)*SIN(VLOOKUP($A47,$A$6:$C$11,3,FALSE))</f>
        <v>6.2499999999999991</v>
      </c>
      <c r="H47" s="22">
        <f t="shared" ref="H47:H53" si="10">VLOOKUP($A47,$E$6:$J$11,6,FALSE)*COS(VLOOKUP($A47,$A$6:$C$11,3,FALSE))</f>
        <v>0</v>
      </c>
      <c r="I47" s="22">
        <f t="shared" ref="I47:I53" si="11">VLOOKUP($A47,$E$6:$J$11,6,FALSE)*SIN(VLOOKUP($A47,$A$6:$C$11,3,FALSE))</f>
        <v>0</v>
      </c>
      <c r="L47" s="33">
        <v>1</v>
      </c>
      <c r="M47" s="33">
        <f>$T$9</f>
        <v>100</v>
      </c>
      <c r="N47" s="33">
        <f>(1-EXP(-L47/$T$7))*$T$9</f>
        <v>9.5162581964040491</v>
      </c>
      <c r="O47" s="39">
        <f>1-EXP(-L47/$T$6)</f>
        <v>9.9950016662497809E-4</v>
      </c>
      <c r="P47" s="35">
        <f t="shared" ref="P47:P70" si="12">1/O47</f>
        <v>1000.5000833333622</v>
      </c>
      <c r="Q47" s="36">
        <f t="shared" ref="Q47:Q71" si="13">P47/20</f>
        <v>50.025004166668111</v>
      </c>
      <c r="S47" s="47">
        <v>0</v>
      </c>
      <c r="T47" s="47">
        <f>T48</f>
        <v>21.308390039906666</v>
      </c>
    </row>
    <row r="48" spans="1:20" ht="16.5" thickTop="1" thickBot="1" x14ac:dyDescent="0.3">
      <c r="A48" s="17" t="s">
        <v>5</v>
      </c>
      <c r="B48" s="22">
        <f t="shared" si="4"/>
        <v>6.1257422745431001E-17</v>
      </c>
      <c r="C48" s="22">
        <f t="shared" si="5"/>
        <v>1</v>
      </c>
      <c r="D48" s="22">
        <f t="shared" si="6"/>
        <v>1.531435568635775E-15</v>
      </c>
      <c r="E48" s="22">
        <f t="shared" si="7"/>
        <v>25</v>
      </c>
      <c r="F48" s="22">
        <f t="shared" si="8"/>
        <v>9.1886134118146501E-16</v>
      </c>
      <c r="G48" s="22">
        <f t="shared" si="9"/>
        <v>15</v>
      </c>
      <c r="H48" s="22">
        <f t="shared" si="10"/>
        <v>0</v>
      </c>
      <c r="I48" s="22">
        <f t="shared" si="11"/>
        <v>0</v>
      </c>
      <c r="L48" s="33">
        <v>2</v>
      </c>
      <c r="M48" s="33">
        <f>$T$9</f>
        <v>100</v>
      </c>
      <c r="N48" s="33">
        <f>(1-EXP(-L48/$T$7))*$T$9</f>
        <v>18.126924692201818</v>
      </c>
      <c r="O48" s="39">
        <f>1-EXP(-L48/$T$6)</f>
        <v>1.998001332666921E-3</v>
      </c>
      <c r="P48" s="35">
        <f t="shared" si="12"/>
        <v>500.50016666665863</v>
      </c>
      <c r="Q48" s="36">
        <f t="shared" si="13"/>
        <v>25.025008333332931</v>
      </c>
      <c r="S48" s="35">
        <f>J57</f>
        <v>2.396336441245893</v>
      </c>
      <c r="T48" s="35">
        <f>(1-EXP(-S48/$T$7))*$T$9</f>
        <v>21.308390039906666</v>
      </c>
    </row>
    <row r="49" spans="1:24" ht="16.5" thickTop="1" thickBot="1" x14ac:dyDescent="0.3">
      <c r="A49" s="17" t="s">
        <v>2</v>
      </c>
      <c r="B49" s="22">
        <f t="shared" si="4"/>
        <v>-0.86602540378443871</v>
      </c>
      <c r="C49" s="22">
        <f t="shared" si="5"/>
        <v>0.49999999999999994</v>
      </c>
      <c r="D49" s="22">
        <f t="shared" si="6"/>
        <v>-21.650635094610969</v>
      </c>
      <c r="E49" s="22">
        <f t="shared" si="7"/>
        <v>12.499999999999998</v>
      </c>
      <c r="F49" s="22">
        <f t="shared" si="8"/>
        <v>-19.48557158514987</v>
      </c>
      <c r="G49" s="22">
        <f t="shared" si="9"/>
        <v>11.249999999999998</v>
      </c>
      <c r="H49" s="22">
        <f t="shared" si="10"/>
        <v>-12.99038105676658</v>
      </c>
      <c r="I49" s="22">
        <f t="shared" si="11"/>
        <v>7.4999999999999991</v>
      </c>
      <c r="L49" s="33">
        <v>3</v>
      </c>
      <c r="M49" s="33">
        <f>$T$9</f>
        <v>100</v>
      </c>
      <c r="N49" s="33">
        <f>(1-EXP(-L49/$T$7))*$T$9</f>
        <v>25.918177931828211</v>
      </c>
      <c r="O49" s="39">
        <f>1-EXP(-L49/$T$6)</f>
        <v>2.9955044966269995E-3</v>
      </c>
      <c r="P49" s="35">
        <f t="shared" si="12"/>
        <v>333.83358333329858</v>
      </c>
      <c r="Q49" s="36">
        <f t="shared" si="13"/>
        <v>16.69167916666493</v>
      </c>
      <c r="S49" s="37">
        <f>S48</f>
        <v>2.396336441245893</v>
      </c>
      <c r="T49" s="37">
        <v>0</v>
      </c>
    </row>
    <row r="50" spans="1:24" ht="16.5" thickTop="1" thickBot="1" x14ac:dyDescent="0.3">
      <c r="A50" s="17" t="s">
        <v>6</v>
      </c>
      <c r="B50" s="22">
        <f t="shared" si="4"/>
        <v>-0.8660254037844386</v>
      </c>
      <c r="C50" s="22">
        <f t="shared" si="5"/>
        <v>-0.50000000000000011</v>
      </c>
      <c r="D50" s="22">
        <f t="shared" si="6"/>
        <v>-21.650635094610966</v>
      </c>
      <c r="E50" s="22">
        <f t="shared" si="7"/>
        <v>-12.500000000000004</v>
      </c>
      <c r="F50" s="22">
        <f t="shared" si="8"/>
        <v>-10.825317547305483</v>
      </c>
      <c r="G50" s="22">
        <f t="shared" si="9"/>
        <v>-6.2500000000000018</v>
      </c>
      <c r="H50" s="22">
        <f t="shared" si="10"/>
        <v>-5.196152422706632</v>
      </c>
      <c r="I50" s="22">
        <f t="shared" si="11"/>
        <v>-3.0000000000000009</v>
      </c>
      <c r="L50" s="33">
        <v>4</v>
      </c>
      <c r="M50" s="33">
        <f>$T$9</f>
        <v>100</v>
      </c>
      <c r="N50" s="33">
        <f>(1-EXP(-L50/$T$7))*$T$9</f>
        <v>32.967995396436066</v>
      </c>
      <c r="O50" s="39">
        <f>1-EXP(-L50/$T$6)</f>
        <v>3.9920106560085156E-3</v>
      </c>
      <c r="P50" s="35">
        <f t="shared" si="12"/>
        <v>250.50033333324521</v>
      </c>
      <c r="Q50" s="36">
        <f t="shared" si="13"/>
        <v>12.52501666666226</v>
      </c>
      <c r="S50" s="4"/>
      <c r="T50" s="4"/>
    </row>
    <row r="51" spans="1:24" ht="16.5" thickTop="1" thickBot="1" x14ac:dyDescent="0.3">
      <c r="A51" s="17" t="s">
        <v>4</v>
      </c>
      <c r="B51" s="22">
        <f t="shared" si="4"/>
        <v>-1.83772268236293E-16</v>
      </c>
      <c r="C51" s="22">
        <f t="shared" si="5"/>
        <v>-1</v>
      </c>
      <c r="D51" s="22">
        <f t="shared" si="6"/>
        <v>-4.594306705907325E-15</v>
      </c>
      <c r="E51" s="22">
        <f t="shared" si="7"/>
        <v>-25</v>
      </c>
      <c r="F51" s="22">
        <f t="shared" si="8"/>
        <v>-2.756584023544395E-15</v>
      </c>
      <c r="G51" s="22">
        <f t="shared" si="9"/>
        <v>-15</v>
      </c>
      <c r="H51" s="22">
        <f t="shared" si="10"/>
        <v>0</v>
      </c>
      <c r="I51" s="22">
        <f t="shared" si="11"/>
        <v>0</v>
      </c>
      <c r="L51" s="33">
        <v>5</v>
      </c>
      <c r="M51" s="33">
        <f>$T$9</f>
        <v>100</v>
      </c>
      <c r="N51" s="33">
        <f>(1-EXP(-L51/$T$7))*$T$9</f>
        <v>39.346934028736655</v>
      </c>
      <c r="O51" s="39">
        <f>1-EXP(-L51/$T$6)</f>
        <v>4.9875208073176802E-3</v>
      </c>
      <c r="P51" s="35">
        <f t="shared" si="12"/>
        <v>200.50041666649332</v>
      </c>
      <c r="Q51" s="36">
        <f t="shared" si="13"/>
        <v>10.025020833324666</v>
      </c>
      <c r="S51" s="52" t="s">
        <v>59</v>
      </c>
      <c r="T51" s="53"/>
    </row>
    <row r="52" spans="1:24" ht="16.5" thickTop="1" thickBot="1" x14ac:dyDescent="0.3">
      <c r="A52" s="17" t="s">
        <v>3</v>
      </c>
      <c r="B52" s="22">
        <f t="shared" si="4"/>
        <v>0.86602540378443837</v>
      </c>
      <c r="C52" s="22">
        <f t="shared" si="5"/>
        <v>-0.50000000000000044</v>
      </c>
      <c r="D52" s="22">
        <f t="shared" si="6"/>
        <v>21.650635094610958</v>
      </c>
      <c r="E52" s="22">
        <f t="shared" si="7"/>
        <v>-12.500000000000011</v>
      </c>
      <c r="F52" s="22">
        <f t="shared" si="8"/>
        <v>15.155444566227672</v>
      </c>
      <c r="G52" s="22">
        <f t="shared" si="9"/>
        <v>-8.7500000000000071</v>
      </c>
      <c r="H52" s="22">
        <f t="shared" si="10"/>
        <v>0</v>
      </c>
      <c r="I52" s="22">
        <f t="shared" si="11"/>
        <v>0</v>
      </c>
      <c r="L52" s="33">
        <v>6</v>
      </c>
      <c r="M52" s="33">
        <f>$T$9</f>
        <v>100</v>
      </c>
      <c r="N52" s="33">
        <f>(1-EXP(-L52/$T$7))*$T$9</f>
        <v>45.118836390597359</v>
      </c>
      <c r="O52" s="39">
        <f>1-EXP(-L52/$T$6)</f>
        <v>5.9820359460647232E-3</v>
      </c>
      <c r="P52" s="35">
        <f t="shared" si="12"/>
        <v>167.167166666367</v>
      </c>
      <c r="Q52" s="36">
        <f t="shared" si="13"/>
        <v>8.3583583333183498</v>
      </c>
      <c r="S52" s="48" t="s">
        <v>14</v>
      </c>
      <c r="T52" s="48" t="s">
        <v>15</v>
      </c>
    </row>
    <row r="53" spans="1:24" ht="16.5" thickTop="1" thickBot="1" x14ac:dyDescent="0.3">
      <c r="A53" s="17" t="s">
        <v>7</v>
      </c>
      <c r="B53" s="22">
        <f t="shared" si="4"/>
        <v>0.86602540378443871</v>
      </c>
      <c r="C53" s="22">
        <f t="shared" si="5"/>
        <v>0.49999999999999994</v>
      </c>
      <c r="D53" s="22">
        <f t="shared" si="6"/>
        <v>21.650635094610969</v>
      </c>
      <c r="E53" s="22">
        <f t="shared" si="7"/>
        <v>12.499999999999998</v>
      </c>
      <c r="F53" s="22">
        <f t="shared" si="8"/>
        <v>10.825317547305485</v>
      </c>
      <c r="G53" s="22">
        <f t="shared" si="9"/>
        <v>6.2499999999999991</v>
      </c>
      <c r="H53" s="22">
        <f t="shared" si="10"/>
        <v>0</v>
      </c>
      <c r="I53" s="22">
        <f t="shared" si="11"/>
        <v>0</v>
      </c>
      <c r="L53" s="33">
        <v>7</v>
      </c>
      <c r="M53" s="33">
        <f>$T$9</f>
        <v>100</v>
      </c>
      <c r="N53" s="33">
        <f>(1-EXP(-L53/$T$7))*$T$9</f>
        <v>50.341469620859044</v>
      </c>
      <c r="O53" s="39">
        <f>1-EXP(-L53/$T$6)</f>
        <v>6.9755570667648925E-3</v>
      </c>
      <c r="P53" s="35">
        <f t="shared" si="12"/>
        <v>143.35772618999985</v>
      </c>
      <c r="Q53" s="36">
        <f t="shared" si="13"/>
        <v>7.1678863094999929</v>
      </c>
      <c r="S53" s="47">
        <v>0</v>
      </c>
      <c r="T53" s="47">
        <f>T54</f>
        <v>20.890193662366794</v>
      </c>
    </row>
    <row r="54" spans="1:24" ht="16.5" thickTop="1" thickBot="1" x14ac:dyDescent="0.3">
      <c r="G54" s="17" t="s">
        <v>16</v>
      </c>
      <c r="H54" s="22">
        <f>SUM(H47:H52)</f>
        <v>-18.186533479473212</v>
      </c>
      <c r="I54" s="22">
        <f>SUM(I47:I52)</f>
        <v>4.4999999999999982</v>
      </c>
      <c r="L54" s="33">
        <v>8</v>
      </c>
      <c r="M54" s="33">
        <f>$T$9</f>
        <v>100</v>
      </c>
      <c r="N54" s="33">
        <f>(1-EXP(-L54/$T$7))*$T$9</f>
        <v>55.067103588277845</v>
      </c>
      <c r="O54" s="39">
        <f>1-EXP(-L54/$T$6)</f>
        <v>7.9680851629393423E-3</v>
      </c>
      <c r="P54" s="35">
        <f t="shared" si="12"/>
        <v>125.50066666595599</v>
      </c>
      <c r="Q54" s="36">
        <f t="shared" si="13"/>
        <v>6.2750333332977997</v>
      </c>
      <c r="S54" s="35">
        <f>J57</f>
        <v>2.396336441245893</v>
      </c>
      <c r="T54" s="35">
        <f>1/(20*(1-EXP(-S54/$T$6)))</f>
        <v>20.890193662366794</v>
      </c>
    </row>
    <row r="55" spans="1:24" ht="16.5" thickTop="1" thickBot="1" x14ac:dyDescent="0.3">
      <c r="L55" s="33">
        <v>9</v>
      </c>
      <c r="M55" s="33">
        <f>$T$9</f>
        <v>100</v>
      </c>
      <c r="N55" s="33">
        <f>(1-EXP(-L55/$T$7))*$T$9</f>
        <v>59.343034025940092</v>
      </c>
      <c r="O55" s="39">
        <f>1-EXP(-L55/$T$6)</f>
        <v>8.9596212271163544E-3</v>
      </c>
      <c r="P55" s="35">
        <f t="shared" si="12"/>
        <v>111.6118611100984</v>
      </c>
      <c r="Q55" s="36">
        <f t="shared" si="13"/>
        <v>5.5805930555049201</v>
      </c>
      <c r="S55" s="37">
        <f>S54</f>
        <v>2.396336441245893</v>
      </c>
      <c r="T55" s="37">
        <v>0</v>
      </c>
    </row>
    <row r="56" spans="1:24" ht="16.5" thickTop="1" thickBot="1" x14ac:dyDescent="0.3">
      <c r="B56" s="17" t="s">
        <v>14</v>
      </c>
      <c r="C56" s="17" t="s">
        <v>15</v>
      </c>
      <c r="F56" s="17" t="s">
        <v>12</v>
      </c>
      <c r="G56" s="17" t="s">
        <v>18</v>
      </c>
      <c r="I56" s="17" t="s">
        <v>19</v>
      </c>
      <c r="J56" s="12" t="b">
        <f>F59&lt;=G59</f>
        <v>0</v>
      </c>
      <c r="L56" s="33">
        <v>10</v>
      </c>
      <c r="M56" s="33">
        <f>$T$9</f>
        <v>100</v>
      </c>
      <c r="N56" s="33">
        <f>(1-EXP(-L56/$T$7))*$T$9</f>
        <v>63.212055882855765</v>
      </c>
      <c r="O56" s="39">
        <f>1-EXP(-L56/$T$6)</f>
        <v>9.9501662508318933E-3</v>
      </c>
      <c r="P56" s="35">
        <f t="shared" si="12"/>
        <v>100.50083333194499</v>
      </c>
      <c r="Q56" s="36">
        <f t="shared" si="13"/>
        <v>5.0250416665972493</v>
      </c>
    </row>
    <row r="57" spans="1:24" ht="16.5" thickTop="1" thickBot="1" x14ac:dyDescent="0.3">
      <c r="A57" s="54" t="s">
        <v>7</v>
      </c>
      <c r="B57" s="24">
        <v>0</v>
      </c>
      <c r="C57" s="24">
        <v>0</v>
      </c>
      <c r="E57" s="19" t="s">
        <v>14</v>
      </c>
      <c r="F57" s="22">
        <f>H54</f>
        <v>-18.186533479473212</v>
      </c>
      <c r="G57" s="12">
        <f>F75/(F76-F74)</f>
        <v>-15.860348964656872</v>
      </c>
      <c r="I57" s="17" t="s">
        <v>20</v>
      </c>
      <c r="J57" s="24">
        <f>IF(J56,0,F59-G59)</f>
        <v>2.396336441245893</v>
      </c>
      <c r="L57" s="33">
        <v>11</v>
      </c>
      <c r="M57" s="33">
        <f>$T$9</f>
        <v>100</v>
      </c>
      <c r="N57" s="33">
        <f>(1-EXP(-L57/$T$7))*$T$9</f>
        <v>66.712891630192047</v>
      </c>
      <c r="O57" s="39">
        <f>1-EXP(-L57/$T$6)</f>
        <v>1.0939721224631271E-2</v>
      </c>
      <c r="P57" s="35">
        <f t="shared" si="12"/>
        <v>91.410007573909226</v>
      </c>
      <c r="Q57" s="36">
        <f t="shared" si="13"/>
        <v>4.5705003786954617</v>
      </c>
      <c r="R57" s="2"/>
    </row>
    <row r="58" spans="1:24" ht="16.5" thickTop="1" thickBot="1" x14ac:dyDescent="0.3">
      <c r="A58" s="54"/>
      <c r="B58" s="24">
        <f>$B$72*VLOOKUP($A57,$A$47:$G$53,4,FALSE)</f>
        <v>108.25317547305485</v>
      </c>
      <c r="C58" s="24">
        <f>$B$72*VLOOKUP($A57,$A$47:$G$53,5,FALSE)</f>
        <v>62.499999999999993</v>
      </c>
      <c r="E58" s="19" t="s">
        <v>15</v>
      </c>
      <c r="F58" s="22">
        <f>I54</f>
        <v>4.4999999999999982</v>
      </c>
      <c r="G58" s="12">
        <f>G57*F76</f>
        <v>3.9244186046511613</v>
      </c>
      <c r="I58" s="17" t="s">
        <v>22</v>
      </c>
      <c r="J58" s="12">
        <f>VLOOKUP(F68,$A$6:$C$11,2,FALSE)-VLOOKUP(F69,$A$6:$C$11,2,FALSE) + IF(VLOOKUP(F68,$A$6:$C$11,2,FALSE)-VLOOKUP(F69,$A$6:$C$11,2,FALSE)&gt;180,-360,IF(VLOOKUP(F68,$A$6:$C$11,2,FALSE)-VLOOKUP(F69,$A$6:$C$11,2,FALSE)&lt;=-180,360,0))</f>
        <v>60</v>
      </c>
      <c r="L58" s="33">
        <v>12</v>
      </c>
      <c r="M58" s="33">
        <f>$T$9</f>
        <v>100</v>
      </c>
      <c r="N58" s="33">
        <f>(1-EXP(-L58/$T$7))*$T$9</f>
        <v>69.880578808779774</v>
      </c>
      <c r="O58" s="39">
        <f>1-EXP(-L58/$T$6)</f>
        <v>1.1928287138069482E-2</v>
      </c>
      <c r="P58" s="35">
        <f t="shared" si="12"/>
        <v>83.834333330933191</v>
      </c>
      <c r="Q58" s="36">
        <f t="shared" si="13"/>
        <v>4.1917166665466592</v>
      </c>
    </row>
    <row r="59" spans="1:24" ht="16.5" thickTop="1" thickBot="1" x14ac:dyDescent="0.3">
      <c r="A59" s="54" t="s">
        <v>5</v>
      </c>
      <c r="B59" s="24">
        <v>0</v>
      </c>
      <c r="C59" s="24">
        <v>0</v>
      </c>
      <c r="E59" s="19" t="s">
        <v>21</v>
      </c>
      <c r="F59" s="22">
        <f>SQRT(F57*F57+F58*F58)</f>
        <v>18.734993995195193</v>
      </c>
      <c r="G59" s="22">
        <f>SQRT(G57*G57+G58*G58)</f>
        <v>16.3386575539493</v>
      </c>
      <c r="I59" s="17" t="s">
        <v>24</v>
      </c>
      <c r="J59" s="24">
        <f>VLOOKUP(F68,$A$6:$C$11,2,FALSE)-F61 + IF(VLOOKUP(F68,$A$6:$C$11,2,FALSE)-F61&gt;180,-360,IF(VLOOKUP(F68,$A$6:$C$11,2,FALSE)-F61&lt;=-180,360,0))</f>
        <v>43.897886248013947</v>
      </c>
      <c r="L59" s="33">
        <v>13</v>
      </c>
      <c r="M59" s="33">
        <f>$T$9</f>
        <v>100</v>
      </c>
      <c r="N59" s="33">
        <f>(1-EXP(-L59/$T$7))*$T$9</f>
        <v>72.746820696598746</v>
      </c>
      <c r="O59" s="39">
        <f>1-EXP(-L59/$T$6)</f>
        <v>1.2915864979712421E-2</v>
      </c>
      <c r="P59" s="35">
        <f t="shared" si="12"/>
        <v>77.424160253358849</v>
      </c>
      <c r="Q59" s="36">
        <f t="shared" si="13"/>
        <v>3.8712080126679425</v>
      </c>
    </row>
    <row r="60" spans="1:24" ht="16.5" thickTop="1" thickBot="1" x14ac:dyDescent="0.3">
      <c r="A60" s="54"/>
      <c r="B60" s="24">
        <f>$B$72*VLOOKUP($A59,$A$47:$G$53,4,FALSE)</f>
        <v>7.6571778431788751E-15</v>
      </c>
      <c r="C60" s="24">
        <f>$B$72*VLOOKUP($A59,$A$47:$G$53,5,FALSE)</f>
        <v>125</v>
      </c>
      <c r="E60" s="19" t="s">
        <v>23</v>
      </c>
      <c r="F60" s="22">
        <f>IF(ATAN2(F57,F58) &lt; 0, ATAN2(F57,F58) + 2*PI(), ATAN2(F57,F58))</f>
        <v>2.8990287794943082</v>
      </c>
      <c r="G60" s="22">
        <f>IF(ATAN2(G57,G58) &lt; 0, ATAN2(G57,G58) + 2*PI(), ATAN2(G57,G58))</f>
        <v>2.8990287794943082</v>
      </c>
      <c r="I60" s="17" t="s">
        <v>36</v>
      </c>
      <c r="J60" s="12">
        <f>1-J59/J58</f>
        <v>0.26836856253310093</v>
      </c>
      <c r="L60" s="33">
        <v>14</v>
      </c>
      <c r="M60" s="33">
        <f>$T$9</f>
        <v>100</v>
      </c>
      <c r="N60" s="33">
        <f>(1-EXP(-L60/$T$7))*$T$9</f>
        <v>75.340303605839352</v>
      </c>
      <c r="O60" s="39">
        <f>1-EXP(-L60/$T$6)</f>
        <v>1.3902455737138109E-2</v>
      </c>
      <c r="P60" s="35">
        <f t="shared" si="12"/>
        <v>71.929738091426941</v>
      </c>
      <c r="Q60" s="36">
        <f t="shared" si="13"/>
        <v>3.5964869045713472</v>
      </c>
    </row>
    <row r="61" spans="1:24" ht="16.5" thickTop="1" thickBot="1" x14ac:dyDescent="0.3">
      <c r="A61" s="54" t="s">
        <v>2</v>
      </c>
      <c r="B61" s="24">
        <v>0</v>
      </c>
      <c r="C61" s="24">
        <v>0</v>
      </c>
      <c r="E61" s="19" t="s">
        <v>25</v>
      </c>
      <c r="F61" s="22">
        <f>F60*180/PI()</f>
        <v>166.10211375198605</v>
      </c>
      <c r="G61" s="22">
        <f>G60*180/PI()</f>
        <v>166.10211375198605</v>
      </c>
      <c r="I61" s="17" t="s">
        <v>37</v>
      </c>
      <c r="J61" s="12">
        <f>1-J60</f>
        <v>0.73163143746689907</v>
      </c>
      <c r="L61" s="33">
        <v>15</v>
      </c>
      <c r="M61" s="33">
        <f>$T$9</f>
        <v>100</v>
      </c>
      <c r="N61" s="33">
        <f>(1-EXP(-L61/$T$7))*$T$9</f>
        <v>77.686983985157028</v>
      </c>
      <c r="O61" s="39">
        <f>1-EXP(-L61/$T$6)</f>
        <v>1.4888060396937353E-2</v>
      </c>
      <c r="P61" s="35">
        <f t="shared" si="12"/>
        <v>67.167916661979135</v>
      </c>
      <c r="Q61" s="36">
        <f t="shared" si="13"/>
        <v>3.3583958330989567</v>
      </c>
    </row>
    <row r="62" spans="1:24" ht="16.5" thickTop="1" thickBot="1" x14ac:dyDescent="0.3">
      <c r="A62" s="54"/>
      <c r="B62" s="24">
        <f>$B$72*VLOOKUP($A61,$A$47:$G$53,4,FALSE)</f>
        <v>-108.25317547305485</v>
      </c>
      <c r="C62" s="24">
        <f>$B$72*VLOOKUP($A61,$A$47:$G$53,5,FALSE)</f>
        <v>62.499999999999993</v>
      </c>
      <c r="E62" s="25" t="s">
        <v>7</v>
      </c>
      <c r="F62" s="31" t="b">
        <f t="shared" ref="F62:F67" si="14">OR(F$61&lt;=VLOOKUP($E62,$A$6:$C$11,2,FALSE),F$61&gt;MAX($B$6:$B$11))</f>
        <v>0</v>
      </c>
      <c r="G62" s="31" t="b">
        <f t="shared" ref="G62:G67" si="15">OR(G$61&lt;=VLOOKUP($E62,$A$6:$C$11,2,FALSE),$G$61&gt;MAX($B$6:$B$11))</f>
        <v>0</v>
      </c>
      <c r="L62" s="33">
        <v>16</v>
      </c>
      <c r="M62" s="33">
        <f>$T$9</f>
        <v>100</v>
      </c>
      <c r="N62" s="33">
        <f>(1-EXP(-L62/$T$7))*$T$9</f>
        <v>79.810348200534463</v>
      </c>
      <c r="O62" s="39">
        <f>1-EXP(-L62/$T$6)</f>
        <v>1.5872679944714863E-2</v>
      </c>
      <c r="P62" s="35">
        <f t="shared" si="12"/>
        <v>63.001333327644566</v>
      </c>
      <c r="Q62" s="36">
        <f t="shared" si="13"/>
        <v>3.1500666663822283</v>
      </c>
    </row>
    <row r="63" spans="1:24" ht="16.5" thickTop="1" thickBot="1" x14ac:dyDescent="0.3">
      <c r="A63" s="54" t="s">
        <v>6</v>
      </c>
      <c r="B63" s="24">
        <v>0</v>
      </c>
      <c r="C63" s="24">
        <v>0</v>
      </c>
      <c r="E63" s="26" t="s">
        <v>5</v>
      </c>
      <c r="F63" s="31" t="b">
        <f t="shared" si="14"/>
        <v>0</v>
      </c>
      <c r="G63" s="31" t="b">
        <f t="shared" si="15"/>
        <v>0</v>
      </c>
      <c r="L63" s="33">
        <v>17</v>
      </c>
      <c r="M63" s="33">
        <f>$T$9</f>
        <v>100</v>
      </c>
      <c r="N63" s="33">
        <f>(1-EXP(-L63/$T$7))*$T$9</f>
        <v>81.731647594726525</v>
      </c>
      <c r="O63" s="39">
        <f>1-EXP(-L63/$T$6)</f>
        <v>1.6856315365090357E-2</v>
      </c>
      <c r="P63" s="35">
        <f t="shared" si="12"/>
        <v>59.324946071607833</v>
      </c>
      <c r="Q63" s="36">
        <f t="shared" si="13"/>
        <v>2.9662473035803916</v>
      </c>
      <c r="X63"/>
    </row>
    <row r="64" spans="1:24" ht="16.5" thickTop="1" thickBot="1" x14ac:dyDescent="0.3">
      <c r="A64" s="54"/>
      <c r="B64" s="24">
        <f>$B$72*VLOOKUP($A63,$A$47:$G$53,4,FALSE)</f>
        <v>-108.25317547305482</v>
      </c>
      <c r="C64" s="24">
        <f>$B$72*VLOOKUP($A63,$A$47:$G$53,5,FALSE)</f>
        <v>-62.500000000000014</v>
      </c>
      <c r="E64" s="27" t="s">
        <v>2</v>
      </c>
      <c r="F64" s="31" t="b">
        <f t="shared" si="14"/>
        <v>0</v>
      </c>
      <c r="G64" s="31" t="b">
        <f t="shared" si="15"/>
        <v>0</v>
      </c>
      <c r="I64" s="2"/>
      <c r="J64" s="3"/>
      <c r="L64" s="33">
        <v>18</v>
      </c>
      <c r="M64" s="33">
        <f>$T$9</f>
        <v>100</v>
      </c>
      <c r="N64" s="33">
        <f>(1-EXP(-L64/$T$7))*$T$9</f>
        <v>83.470111177841346</v>
      </c>
      <c r="O64" s="39">
        <f>1-EXP(-L64/$T$6)</f>
        <v>1.7838967641699233E-2</v>
      </c>
      <c r="P64" s="35">
        <f t="shared" si="12"/>
        <v>56.057055547455775</v>
      </c>
      <c r="Q64" s="36">
        <f t="shared" si="13"/>
        <v>2.8028527773727889</v>
      </c>
      <c r="X64"/>
    </row>
    <row r="65" spans="1:24" ht="16.5" thickTop="1" thickBot="1" x14ac:dyDescent="0.3">
      <c r="A65" s="54" t="s">
        <v>4</v>
      </c>
      <c r="B65" s="24">
        <v>0</v>
      </c>
      <c r="C65" s="24">
        <v>0</v>
      </c>
      <c r="E65" s="28" t="s">
        <v>6</v>
      </c>
      <c r="F65" s="31" t="b">
        <f t="shared" si="14"/>
        <v>1</v>
      </c>
      <c r="G65" s="31" t="b">
        <f t="shared" si="15"/>
        <v>1</v>
      </c>
      <c r="I65" s="2"/>
      <c r="J65" s="3"/>
      <c r="L65" s="33">
        <v>19</v>
      </c>
      <c r="M65" s="33">
        <f>$T$9</f>
        <v>100</v>
      </c>
      <c r="N65" s="33">
        <f>(1-EXP(-L65/$T$7))*$T$9</f>
        <v>85.043138077736486</v>
      </c>
      <c r="O65" s="39">
        <f>1-EXP(-L65/$T$6)</f>
        <v>1.8820637757194003E-2</v>
      </c>
      <c r="P65" s="35">
        <f t="shared" si="12"/>
        <v>53.133162271175422</v>
      </c>
      <c r="Q65" s="36">
        <f t="shared" si="13"/>
        <v>2.656658113558771</v>
      </c>
      <c r="X65"/>
    </row>
    <row r="66" spans="1:24" ht="16.5" thickTop="1" thickBot="1" x14ac:dyDescent="0.3">
      <c r="A66" s="54"/>
      <c r="B66" s="24">
        <f>$B$72*VLOOKUP($A65,$A$47:$G$53,4,FALSE)</f>
        <v>-2.2971533529536625E-14</v>
      </c>
      <c r="C66" s="24">
        <f>$B$72*VLOOKUP($A65,$A$47:$G$53,5,FALSE)</f>
        <v>-125</v>
      </c>
      <c r="E66" s="29" t="s">
        <v>4</v>
      </c>
      <c r="F66" s="31" t="b">
        <f t="shared" si="14"/>
        <v>1</v>
      </c>
      <c r="G66" s="31" t="b">
        <f t="shared" si="15"/>
        <v>1</v>
      </c>
      <c r="I66" s="2"/>
      <c r="J66" s="3"/>
      <c r="L66" s="33">
        <v>20</v>
      </c>
      <c r="M66" s="33">
        <f>$T$9</f>
        <v>100</v>
      </c>
      <c r="N66" s="33">
        <f>(1-EXP(-L66/$T$7))*$T$9</f>
        <v>86.466471676338728</v>
      </c>
      <c r="O66" s="39">
        <f>1-EXP(-L66/$T$6)</f>
        <v>1.9801326693244747E-2</v>
      </c>
      <c r="P66" s="35">
        <f t="shared" si="12"/>
        <v>50.501666655555532</v>
      </c>
      <c r="Q66" s="36">
        <f t="shared" si="13"/>
        <v>2.5250833327777764</v>
      </c>
      <c r="X66"/>
    </row>
    <row r="67" spans="1:24" ht="16.5" thickTop="1" thickBot="1" x14ac:dyDescent="0.3">
      <c r="A67" s="54" t="s">
        <v>3</v>
      </c>
      <c r="B67" s="24">
        <v>0</v>
      </c>
      <c r="C67" s="24">
        <v>0</v>
      </c>
      <c r="E67" s="30" t="s">
        <v>3</v>
      </c>
      <c r="F67" s="31" t="b">
        <f t="shared" si="14"/>
        <v>1</v>
      </c>
      <c r="G67" s="31" t="b">
        <f t="shared" si="15"/>
        <v>1</v>
      </c>
      <c r="I67" s="2"/>
      <c r="J67" s="3"/>
      <c r="L67" s="33">
        <v>21</v>
      </c>
      <c r="M67" s="33">
        <f>$T$9</f>
        <v>100</v>
      </c>
      <c r="N67" s="33">
        <f>(1-EXP(-L67/$T$7))*$T$9</f>
        <v>87.754357174701809</v>
      </c>
      <c r="O67" s="39">
        <f>1-EXP(-L67/$T$6)</f>
        <v>2.078103543054044E-2</v>
      </c>
      <c r="P67" s="35">
        <f t="shared" si="12"/>
        <v>48.120797606185192</v>
      </c>
      <c r="Q67" s="36">
        <f t="shared" si="13"/>
        <v>2.4060398803092595</v>
      </c>
      <c r="X67"/>
    </row>
    <row r="68" spans="1:24" ht="16.5" thickTop="1" thickBot="1" x14ac:dyDescent="0.3">
      <c r="A68" s="54"/>
      <c r="B68" s="24">
        <f>$B$72*VLOOKUP($A67,$A$47:$G$53,4,FALSE)</f>
        <v>108.2531754730548</v>
      </c>
      <c r="C68" s="24">
        <f>$B$72*VLOOKUP($A67,$A$47:$G$53,5,FALSE)</f>
        <v>-62.500000000000057</v>
      </c>
      <c r="E68" s="19" t="s">
        <v>26</v>
      </c>
      <c r="F68" s="21" t="str">
        <f>INDEX($A$6:$A$11,MATCH(TRUE,F62:F67,0))</f>
        <v>DEATH</v>
      </c>
      <c r="G68" s="21" t="str">
        <f>INDEX($A$6:$A$11,MATCH(TRUE,G62:G67,0))</f>
        <v>DEATH</v>
      </c>
      <c r="I68" s="2"/>
      <c r="J68" s="3"/>
      <c r="L68" s="33">
        <v>22</v>
      </c>
      <c r="M68" s="33">
        <f>$T$9</f>
        <v>100</v>
      </c>
      <c r="N68" s="33">
        <f>(1-EXP(-L68/$T$7))*$T$9</f>
        <v>88.919684163766604</v>
      </c>
      <c r="O68" s="39">
        <f>1-EXP(-L68/$T$6)</f>
        <v>2.175976494878995E-2</v>
      </c>
      <c r="P68" s="35">
        <f t="shared" si="12"/>
        <v>45.95637877309008</v>
      </c>
      <c r="Q68" s="36">
        <f t="shared" si="13"/>
        <v>2.2978189386545038</v>
      </c>
      <c r="X68"/>
    </row>
    <row r="69" spans="1:24" ht="16.5" thickTop="1" thickBot="1" x14ac:dyDescent="0.3">
      <c r="A69" s="54" t="s">
        <v>27</v>
      </c>
      <c r="B69" s="24">
        <v>0</v>
      </c>
      <c r="C69" s="24">
        <v>0</v>
      </c>
      <c r="E69" s="19" t="s">
        <v>28</v>
      </c>
      <c r="F69" s="31" t="str">
        <f>INDEX($A$6:$A$11,IF(MATCH(TRUE,F62:F67,0)=1,COUNTA($A$6:$A$11),MATCH(TRUE,F62:F67,0)-1))</f>
        <v>FIRE</v>
      </c>
      <c r="G69" s="31" t="str">
        <f>INDEX($A$6:$A$11,IF(MATCH(TRUE,G62:G67,0)=1,COUNTA($A$6:$A$11),MATCH(TRUE,G62:G67,0)-1))</f>
        <v>FIRE</v>
      </c>
      <c r="I69" s="2"/>
      <c r="J69" s="3"/>
      <c r="L69" s="33">
        <v>23</v>
      </c>
      <c r="M69" s="33">
        <f>$T$9</f>
        <v>100</v>
      </c>
      <c r="N69" s="33">
        <f>(1-EXP(-L69/$T$7))*$T$9</f>
        <v>89.974115627719613</v>
      </c>
      <c r="O69" s="39">
        <f>1-EXP(-L69/$T$6)</f>
        <v>2.2737516226722931E-2</v>
      </c>
      <c r="P69" s="35">
        <f t="shared" si="12"/>
        <v>43.980177519333473</v>
      </c>
      <c r="Q69" s="36">
        <f t="shared" si="13"/>
        <v>2.1990088759666735</v>
      </c>
    </row>
    <row r="70" spans="1:24" ht="16.5" thickTop="1" thickBot="1" x14ac:dyDescent="0.3">
      <c r="A70" s="54"/>
      <c r="B70" s="24">
        <f>$B$72*F57</f>
        <v>-90.93266739736606</v>
      </c>
      <c r="C70" s="24">
        <f>$B$72*F58</f>
        <v>22.499999999999993</v>
      </c>
      <c r="E70" s="19" t="s">
        <v>29</v>
      </c>
      <c r="F70" s="24">
        <f>VLOOKUP(F68,$A$47:$I$53,6,FALSE)</f>
        <v>-10.825317547305483</v>
      </c>
      <c r="G70" s="24">
        <f>VLOOKUP(G68,$A$47:$I$53,6,FALSE)</f>
        <v>-10.825317547305483</v>
      </c>
      <c r="L70" s="33">
        <v>24</v>
      </c>
      <c r="M70" s="33">
        <f>$T$9</f>
        <v>100</v>
      </c>
      <c r="N70" s="33">
        <f>(1-EXP(-L70/$T$7))*$T$9</f>
        <v>90.928204671058751</v>
      </c>
      <c r="O70" s="39">
        <f>1-EXP(-L70/$T$6)</f>
        <v>2.3714290242090708E-2</v>
      </c>
      <c r="P70" s="35">
        <f t="shared" si="12"/>
        <v>42.168666647466893</v>
      </c>
      <c r="Q70" s="36">
        <f t="shared" si="13"/>
        <v>2.1084333323733446</v>
      </c>
    </row>
    <row r="71" spans="1:24" ht="16.5" thickTop="1" thickBot="1" x14ac:dyDescent="0.3">
      <c r="E71" s="19" t="s">
        <v>30</v>
      </c>
      <c r="F71" s="24">
        <f>VLOOKUP(F68,$A$47:$I$53,7,FALSE)</f>
        <v>-6.2500000000000018</v>
      </c>
      <c r="G71" s="24">
        <f>VLOOKUP(G68,$A$47:$I$53,7,FALSE)</f>
        <v>-6.2500000000000018</v>
      </c>
      <c r="L71" s="34">
        <v>25</v>
      </c>
      <c r="M71" s="34">
        <f>$T$9</f>
        <v>100</v>
      </c>
      <c r="N71" s="34">
        <f>(1-EXP(-L71/$T$7))*$T$9</f>
        <v>91.791500137610115</v>
      </c>
      <c r="O71" s="40">
        <f>1-EXP(-L71/$T$6)</f>
        <v>2.4690087971667385E-2</v>
      </c>
      <c r="P71" s="37">
        <f>1/O71</f>
        <v>40.502083311632177</v>
      </c>
      <c r="Q71" s="38">
        <f t="shared" si="13"/>
        <v>2.0251041655816087</v>
      </c>
    </row>
    <row r="72" spans="1:24" ht="16.5" thickTop="1" thickBot="1" x14ac:dyDescent="0.3">
      <c r="A72" s="17" t="s">
        <v>17</v>
      </c>
      <c r="B72" s="23">
        <v>5</v>
      </c>
      <c r="E72" s="19" t="s">
        <v>31</v>
      </c>
      <c r="F72" s="24">
        <f>VLOOKUP(F69,$A$47:$I$53,6,FALSE)</f>
        <v>-19.48557158514987</v>
      </c>
      <c r="G72" s="24">
        <f>VLOOKUP(G69,$A$47:$I$53,6,FALSE)</f>
        <v>-19.48557158514987</v>
      </c>
    </row>
    <row r="73" spans="1:24" ht="16.5" thickTop="1" thickBot="1" x14ac:dyDescent="0.3">
      <c r="E73" s="19" t="s">
        <v>32</v>
      </c>
      <c r="F73" s="24">
        <f>VLOOKUP(F69,$A$47:$I$53,7,FALSE)</f>
        <v>11.249999999999998</v>
      </c>
      <c r="G73" s="24">
        <f>VLOOKUP(G69,$A$47:$I$53,7,FALSE)</f>
        <v>11.249999999999998</v>
      </c>
    </row>
    <row r="74" spans="1:24" ht="16.5" thickTop="1" thickBot="1" x14ac:dyDescent="0.3">
      <c r="E74" s="19" t="s">
        <v>33</v>
      </c>
      <c r="F74" s="24">
        <f>(F73-F71)/(F72-F70)</f>
        <v>-2.0207259421636898</v>
      </c>
      <c r="G74" s="24">
        <f>(G73-G71)/(G72-G70)</f>
        <v>-2.0207259421636898</v>
      </c>
    </row>
    <row r="75" spans="1:24" ht="16.5" thickTop="1" thickBot="1" x14ac:dyDescent="0.3">
      <c r="E75" s="19" t="s">
        <v>34</v>
      </c>
      <c r="F75" s="12">
        <f>F71-F74*F70</f>
        <v>-28.125</v>
      </c>
      <c r="G75" s="12">
        <f>G71-G74*G70</f>
        <v>-28.125</v>
      </c>
    </row>
    <row r="76" spans="1:24" ht="16.5" thickTop="1" thickBot="1" x14ac:dyDescent="0.3">
      <c r="E76" s="19" t="s">
        <v>35</v>
      </c>
      <c r="F76" s="12">
        <f>F58/F57</f>
        <v>-0.24743582965269664</v>
      </c>
      <c r="G76" s="12">
        <f>G58/G57</f>
        <v>-0.24743582965269664</v>
      </c>
    </row>
    <row r="77" spans="1:24" ht="15.75" thickTop="1" x14ac:dyDescent="0.25"/>
  </sheetData>
  <sheetProtection selectLockedCells="1"/>
  <mergeCells count="18">
    <mergeCell ref="S5:T5"/>
    <mergeCell ref="A67:A68"/>
    <mergeCell ref="A69:A70"/>
    <mergeCell ref="O44:Q44"/>
    <mergeCell ref="M44:N44"/>
    <mergeCell ref="O5:Q5"/>
    <mergeCell ref="H4:I4"/>
    <mergeCell ref="B45:C45"/>
    <mergeCell ref="D45:E45"/>
    <mergeCell ref="F45:G45"/>
    <mergeCell ref="H45:I45"/>
    <mergeCell ref="A57:A58"/>
    <mergeCell ref="A59:A60"/>
    <mergeCell ref="S45:T45"/>
    <mergeCell ref="S51:T51"/>
    <mergeCell ref="A61:A62"/>
    <mergeCell ref="A63:A64"/>
    <mergeCell ref="A65:A66"/>
  </mergeCells>
  <dataValidations count="1">
    <dataValidation type="whole" allowBlank="1" showInputMessage="1" showErrorMessage="1" sqref="F6:F11">
      <formula1>1</formula1>
      <formula2>10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Calculations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van Heule</dc:creator>
  <cp:lastModifiedBy>Xavier van Heule</cp:lastModifiedBy>
  <dcterms:created xsi:type="dcterms:W3CDTF">2018-01-30T18:47:01Z</dcterms:created>
  <dcterms:modified xsi:type="dcterms:W3CDTF">2018-02-01T21:49:18Z</dcterms:modified>
</cp:coreProperties>
</file>