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TFS\ManaExpertServices\Solutions\DocWorkbench\components\python\apps\infy_dpp_eval_processor\"/>
    </mc:Choice>
  </mc:AlternateContent>
  <xr:revisionPtr revIDLastSave="0" documentId="13_ncr:1_{B54E7081-3368-4455-A135-BE4B57321E2E}" xr6:coauthVersionLast="47" xr6:coauthVersionMax="47" xr10:uidLastSave="{00000000-0000-0000-0000-000000000000}"/>
  <bookViews>
    <workbookView xWindow="-120" yWindow="-120" windowWidth="20640" windowHeight="11040" firstSheet="1" activeTab="1" xr2:uid="{00000000-000D-0000-FFFF-FFFF00000000}"/>
  </bookViews>
  <sheets>
    <sheet name="README" sheetId="9" r:id="rId1"/>
    <sheet name="rag_report" sheetId="8" r:id="rId2"/>
    <sheet name="conclusion" sheetId="3" r:id="rId3"/>
    <sheet name="insights" sheetId="10" r:id="rId4"/>
    <sheet name="metric_scale" sheetId="5" r:id="rId5"/>
    <sheet name="metric_definitions" sheetId="14" r:id="rId6"/>
  </sheets>
  <definedNames>
    <definedName name="ExternalData_1" localSheetId="1" hidden="1">'rag_report'!$A$1:$W$10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" i="10" l="1"/>
  <c r="G52" i="10" s="1"/>
  <c r="A53" i="10"/>
  <c r="G53" i="10" s="1"/>
  <c r="C53" i="10" l="1"/>
  <c r="D53" i="10"/>
  <c r="E53" i="10"/>
  <c r="D52" i="10"/>
  <c r="E52" i="10"/>
  <c r="F52" i="10"/>
  <c r="C52" i="10"/>
  <c r="F53" i="10"/>
  <c r="B59" i="10"/>
  <c r="C59" i="10"/>
  <c r="D59" i="10"/>
  <c r="E59" i="10"/>
  <c r="F59" i="10"/>
  <c r="G59" i="10"/>
  <c r="H59" i="10"/>
  <c r="I59" i="10"/>
  <c r="A60" i="10" a="1"/>
  <c r="A60" i="10" s="1"/>
  <c r="A51" i="10"/>
  <c r="A57" i="10"/>
  <c r="K53" i="10"/>
  <c r="A11" i="3"/>
  <c r="B11" i="3" s="1"/>
  <c r="C11" i="3" s="1"/>
  <c r="A10" i="3"/>
  <c r="B10" i="3" s="1"/>
  <c r="C10" i="3" s="1"/>
  <c r="A9" i="3"/>
  <c r="B9" i="3" s="1"/>
  <c r="C9" i="3" s="1"/>
  <c r="A8" i="3"/>
  <c r="B8" i="3" s="1"/>
  <c r="C8" i="3" s="1"/>
  <c r="A4" i="3"/>
  <c r="B4" i="3" s="1"/>
  <c r="A7" i="3"/>
  <c r="B7" i="3" s="1"/>
  <c r="C7" i="3" s="1"/>
  <c r="A6" i="3"/>
  <c r="B6" i="3" s="1"/>
  <c r="C6" i="3" s="1"/>
  <c r="A5" i="3"/>
  <c r="B5" i="3" s="1"/>
  <c r="C5" i="3" s="1"/>
  <c r="B14" i="3"/>
  <c r="A56" i="10"/>
  <c r="A55" i="10"/>
  <c r="A54" i="10"/>
  <c r="A50" i="10"/>
  <c r="B65" i="10"/>
  <c r="B64" i="10"/>
  <c r="B13" i="3"/>
  <c r="E56" i="10" l="1"/>
  <c r="G56" i="10"/>
  <c r="F56" i="10"/>
  <c r="D56" i="10"/>
  <c r="C56" i="10"/>
  <c r="G55" i="10"/>
  <c r="D55" i="10"/>
  <c r="C55" i="10"/>
  <c r="F55" i="10"/>
  <c r="E55" i="10"/>
  <c r="C50" i="10"/>
  <c r="G50" i="10"/>
  <c r="D50" i="10"/>
  <c r="H50" i="10"/>
  <c r="F50" i="10"/>
  <c r="E50" i="10"/>
  <c r="I54" i="10"/>
  <c r="D54" i="10"/>
  <c r="C54" i="10"/>
  <c r="G54" i="10"/>
  <c r="F54" i="10"/>
  <c r="E54" i="10"/>
  <c r="K57" i="10"/>
  <c r="E57" i="10"/>
  <c r="D57" i="10"/>
  <c r="C57" i="10"/>
  <c r="G57" i="10"/>
  <c r="F57" i="10"/>
  <c r="E51" i="10"/>
  <c r="C51" i="10"/>
  <c r="D51" i="10"/>
  <c r="G51" i="10"/>
  <c r="F51" i="10"/>
  <c r="C63" i="10"/>
  <c r="B62" i="10"/>
  <c r="I63" i="10"/>
  <c r="H62" i="10"/>
  <c r="G61" i="10"/>
  <c r="H63" i="10"/>
  <c r="G62" i="10"/>
  <c r="F61" i="10"/>
  <c r="B63" i="10"/>
  <c r="G63" i="10"/>
  <c r="F62" i="10"/>
  <c r="D61" i="10"/>
  <c r="I61" i="10"/>
  <c r="I62" i="10"/>
  <c r="H61" i="10"/>
  <c r="F63" i="10"/>
  <c r="D62" i="10"/>
  <c r="C61" i="10"/>
  <c r="D63" i="10"/>
  <c r="C62" i="10"/>
  <c r="B61" i="10"/>
  <c r="H60" i="10"/>
  <c r="I60" i="10"/>
  <c r="B60" i="10"/>
  <c r="C60" i="10"/>
  <c r="D60" i="10"/>
  <c r="E60" i="10"/>
  <c r="F60" i="10"/>
  <c r="G60" i="10"/>
  <c r="E63" i="10"/>
  <c r="E62" i="10"/>
  <c r="E61" i="10"/>
  <c r="J51" i="10"/>
  <c r="J54" i="10"/>
  <c r="K54" i="10"/>
  <c r="B55" i="10"/>
  <c r="H52" i="10"/>
  <c r="H55" i="10"/>
  <c r="I55" i="10"/>
  <c r="B54" i="10"/>
  <c r="J55" i="10"/>
  <c r="H51" i="10"/>
  <c r="I51" i="10"/>
  <c r="B50" i="10"/>
  <c r="K51" i="10"/>
  <c r="I52" i="10"/>
  <c r="K55" i="10"/>
  <c r="I56" i="10"/>
  <c r="B52" i="10"/>
  <c r="J52" i="10"/>
  <c r="H53" i="10"/>
  <c r="B56" i="10"/>
  <c r="J56" i="10"/>
  <c r="H57" i="10"/>
  <c r="B51" i="10"/>
  <c r="K52" i="10"/>
  <c r="I53" i="10"/>
  <c r="K56" i="10"/>
  <c r="I57" i="10"/>
  <c r="B53" i="10"/>
  <c r="J53" i="10"/>
  <c r="H54" i="10"/>
  <c r="B57" i="10"/>
  <c r="J57" i="10"/>
  <c r="H56" i="10"/>
  <c r="C4" i="3"/>
  <c r="J50" i="10"/>
  <c r="K50" i="10"/>
  <c r="I50" i="10"/>
  <c r="B22" i="3"/>
  <c r="C22" i="3"/>
  <c r="D22" i="3"/>
  <c r="F22" i="3"/>
  <c r="G22" i="3"/>
  <c r="E2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12C16-20FD-4804-8E67-69EDB56B166C}" keepAlive="1" name="Query - rag_report" description="Connection to the 'rag_report' query in the workbook." type="5" refreshedVersion="8" background="1" saveData="1">
    <dbPr connection="Provider=Microsoft.Mashup.OleDb.1;Data Source=$Workbook$;Location=rag_report;Extended Properties=&quot;&quot;" command="SELECT * FROM [rag_repo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<sst xmlns="http://schemas.openxmlformats.org/spreadsheetml/2006/main" count="96" uniqueCount="70">
  <si>
    <t>qna_data.Q_No</t>
  </si>
  <si>
    <t>qna_data.Classification</t>
  </si>
  <si>
    <t>qna_data.Question</t>
  </si>
  <si>
    <t>qna_data.Ground_Truth</t>
  </si>
  <si>
    <t>qna_data.Answer_Source</t>
  </si>
  <si>
    <t>qna_data.Content_Class</t>
  </si>
  <si>
    <t>qna_data.Content_Class_Id</t>
  </si>
  <si>
    <t>qna_data.Ground_Truth_Page</t>
  </si>
  <si>
    <t>qna_data.Ground_Truth_Sequence</t>
  </si>
  <si>
    <t>qna_data.Document_Name</t>
  </si>
  <si>
    <t>qna_data.Answer_Segment</t>
  </si>
  <si>
    <t>qna_data.Doc_Id</t>
  </si>
  <si>
    <t>qna_data.Technique_Name</t>
  </si>
  <si>
    <t>qna_data.LLM_Name</t>
  </si>
  <si>
    <t>qna_data.QnA_Strategy_Name</t>
  </si>
  <si>
    <t>contexts</t>
  </si>
  <si>
    <t>answer</t>
  </si>
  <si>
    <t>faithfulness</t>
  </si>
  <si>
    <t>answer_relevancy</t>
  </si>
  <si>
    <t>context_recall</t>
  </si>
  <si>
    <t>context_precision</t>
  </si>
  <si>
    <t>answer_correctness</t>
  </si>
  <si>
    <t>context_utilization</t>
  </si>
  <si>
    <t>Metric</t>
  </si>
  <si>
    <t>Total Records</t>
  </si>
  <si>
    <t>Definition</t>
  </si>
  <si>
    <t>Depends on ground truth</t>
  </si>
  <si>
    <t>No</t>
  </si>
  <si>
    <t>Yes</t>
  </si>
  <si>
    <t>Measures if all the claims that are made in the answer can be inferred from the given context</t>
  </si>
  <si>
    <t>Scores the relevancy of the answer according to the given question.</t>
  </si>
  <si>
    <t>GT statements attributed to the context divided by 
Total GT statements</t>
  </si>
  <si>
    <t>Evaluates whether all of the relevant
items selected by the model are ranked
higher or not.</t>
  </si>
  <si>
    <t>Measures answer correctness compared to ground truth as a combination of
factuality and semantic similarity</t>
  </si>
  <si>
    <t>Same as Context Precision but uses 'answer' to generate the verdicts if 'ground_truth' is not present</t>
  </si>
  <si>
    <t>"I don't know" or "I'm not sure" are noncommittal answers.</t>
  </si>
  <si>
    <t>Comments</t>
  </si>
  <si>
    <t>Averages</t>
  </si>
  <si>
    <t>Average</t>
  </si>
  <si>
    <t>RAGAS Metric</t>
  </si>
  <si>
    <t>STEPS</t>
  </si>
  <si>
    <t>TASK TO VIEW REPORT</t>
  </si>
  <si>
    <t>Copy rag_report.csv to C:/Temp/rag_eval/</t>
  </si>
  <si>
    <t>#</t>
  </si>
  <si>
    <t>Visualization</t>
  </si>
  <si>
    <t>Insights</t>
  </si>
  <si>
    <t>score =0
ans ="I don't know"</t>
  </si>
  <si>
    <t>score is blank
ans ="I don't know"</t>
  </si>
  <si>
    <t>score =0
ground_truth contains 
"provided information is 
insufficient to answer 
this question"</t>
  </si>
  <si>
    <t>scores</t>
  </si>
  <si>
    <t>Go to rag_report sheet and right click anywhere on a non-blank cell and select 'Refresh' from the menu.</t>
  </si>
  <si>
    <t>Good</t>
  </si>
  <si>
    <t>Can be Improved</t>
  </si>
  <si>
    <t>Conclusion</t>
  </si>
  <si>
    <t>Very Good</t>
  </si>
  <si>
    <t>Poor</t>
  </si>
  <si>
    <t>answer_similarity</t>
  </si>
  <si>
    <t>context_entity_recall</t>
  </si>
  <si>
    <t>Instructions</t>
  </si>
  <si>
    <t>Scores the semantic similarity of ground truth with generated answer</t>
  </si>
  <si>
    <t>Calculates recall based on entities present in ground truth and context</t>
  </si>
  <si>
    <t>The below scale is an indicative one and needs to be aligned according to the 
requirements.Each metric can follow a different scaling range.
Very Good - Scores in the range of 0.80 to 1
Good - Scores in the range of 0.70 to 0.79
Can be improved - Scores in the range of 0.40 to 0.69
Poor - Scores in the range of 0 to 0.39</t>
  </si>
  <si>
    <t>Classification / Metric</t>
  </si>
  <si>
    <t>score = 1</t>
  </si>
  <si>
    <t>0.7 &gt; score &gt;= 0.4</t>
  </si>
  <si>
    <t>0.8 &gt; score &gt;= 0.7</t>
  </si>
  <si>
    <t>1.0 &gt; score &gt;= 0.8</t>
  </si>
  <si>
    <t>0.4 &gt; score &gt;= 0.0</t>
  </si>
  <si>
    <t>score = blank</t>
  </si>
  <si>
    <t>The rag_report.xls will be generated when the RAG Evaluation pipeline has ran successfully. Convert it to a valid csv file rag_report.csv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</si>
</sst>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92D05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2222F"/>
        <bgColor indexed="64"/>
      </patternFill>
    </fill>
    <fill>
      <patternFill patternType="solid">
        <fgColor rgb="FF18946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A7E86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/>
    <xf numFmtId="0" fontId="0" fillId="0" borderId="0" xfId="0" applyAlignment="1">
      <alignment vertical="top" wrapText="1"/>
    </xf>
    <xf numFmtId="2" fontId="0" fillId="0" borderId="0" xfId="0" applyNumberFormat="1"/>
    <xf numFmtId="0" fontId="3" fillId="2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1" fillId="0" borderId="0" xfId="1" applyFill="1"/>
    <xf numFmtId="0" fontId="1" fillId="0" borderId="0" xfId="1" applyAlignment="1">
      <alignment horizontal="left" vertical="top" wrapText="1"/>
    </xf>
    <xf numFmtId="0" fontId="0" fillId="0" borderId="2" xfId="0" applyBorder="1"/>
    <xf numFmtId="0" fontId="3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 wrapText="1"/>
    </xf>
    <xf numFmtId="2" fontId="0" fillId="0" borderId="2" xfId="0" applyNumberFormat="1" applyBorder="1"/>
    <xf numFmtId="0" fontId="3" fillId="2" borderId="4" xfId="0" applyFont="1" applyFill="1" applyBorder="1" applyAlignment="1">
      <alignment horizontal="center" vertical="top"/>
    </xf>
    <xf numFmtId="2" fontId="0" fillId="0" borderId="4" xfId="0" applyNumberFormat="1" applyBorder="1"/>
    <xf numFmtId="0" fontId="3" fillId="2" borderId="5" xfId="0" applyFont="1" applyFill="1" applyBorder="1" applyAlignment="1">
      <alignment horizontal="center" vertical="top" wrapText="1"/>
    </xf>
    <xf numFmtId="0" fontId="0" fillId="0" borderId="5" xfId="0" applyBorder="1"/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0" fillId="6" borderId="2" xfId="0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0" fillId="9" borderId="10" xfId="0" applyFill="1" applyBorder="1"/>
    <xf numFmtId="0" fontId="0" fillId="9" borderId="11" xfId="0" applyFill="1" applyBorder="1"/>
    <xf numFmtId="0" fontId="5" fillId="10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3">
    <dxf>
      <alignment horizontal="left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9" defaultPivotStyle="PivotStyleLight16"/>
  <colors>
    <mruColors>
      <color rgb="FFF2222F"/>
      <color rgb="FFEA7E86"/>
      <color rgb="FFFFBF00"/>
      <color rgb="FF92D050"/>
      <color rgb="FF18946E"/>
      <color rgb="FFDE323E"/>
      <color rgb="FFD2222D"/>
      <color rgb="FFBFBFBF"/>
      <color rgb="FF238823"/>
      <color rgb="FF007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190466111477546"/>
          <c:y val="0.8533333333333333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027254697900921"/>
          <c:y val="9.1005587802726051E-2"/>
          <c:w val="0.48376109752673646"/>
          <c:h val="0.74108048328881371"/>
        </c:manualLayout>
      </c:layout>
      <c:pieChart>
        <c:varyColors val="1"/>
        <c:ser>
          <c:idx val="0"/>
          <c:order val="0"/>
          <c:tx>
            <c:strRef>
              <c:f>insights!$A$50</c:f>
              <c:strCache>
                <c:ptCount val="1"/>
                <c:pt idx="0">
                  <c:v>faithfulness</c:v>
                </c:pt>
              </c:strCache>
            </c:strRef>
          </c:tx>
          <c:spPr>
            <a:solidFill>
              <a:srgbClr val="18946E"/>
            </a:solidFill>
          </c:spPr>
          <c:dPt>
            <c:idx val="0"/>
            <c:bubble3D val="0"/>
            <c:spPr>
              <a:solidFill>
                <a:srgbClr val="18946E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2-1DF0-4919-8949-41CBB1511C9C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1DF0-4919-8949-41CBB1511C9C}"/>
              </c:ext>
            </c:extLst>
          </c:dPt>
          <c:dPt>
            <c:idx val="2"/>
            <c:bubble3D val="0"/>
            <c:spPr>
              <a:solidFill>
                <a:srgbClr val="FFBF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4-1DF0-4919-8949-41CBB1511C9C}"/>
              </c:ext>
            </c:extLst>
          </c:dPt>
          <c:dPt>
            <c:idx val="3"/>
            <c:bubble3D val="0"/>
            <c:spPr>
              <a:solidFill>
                <a:srgbClr val="EA7E8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1DF0-4919-8949-41CBB1511C9C}"/>
              </c:ext>
            </c:extLst>
          </c:dPt>
          <c:dPt>
            <c:idx val="4"/>
            <c:bubble3D val="0"/>
            <c:spPr>
              <a:solidFill>
                <a:srgbClr val="F2222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6-1DF0-4919-8949-41CBB1511C9C}"/>
              </c:ext>
            </c:extLst>
          </c:dPt>
          <c:dPt>
            <c:idx val="5"/>
            <c:bubble3D val="0"/>
            <c:spPr>
              <a:solidFill>
                <a:srgbClr val="BFBFB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1DF0-4919-8949-41CBB1511C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insights!$C$49:$H$49</c:f>
              <c:strCache>
                <c:ptCount val="6"/>
                <c:pt idx="0">
                  <c:v>score = 1</c:v>
                </c:pt>
                <c:pt idx="1">
                  <c:v>1.0 &gt; score &gt;= 0.8</c:v>
                </c:pt>
                <c:pt idx="2">
                  <c:v>0.8 &gt; score &gt;= 0.7</c:v>
                </c:pt>
                <c:pt idx="3">
                  <c:v>0.7 &gt; score &gt;= 0.4</c:v>
                </c:pt>
                <c:pt idx="4">
                  <c:v>0.4 &gt; score &gt;= 0.0</c:v>
                </c:pt>
                <c:pt idx="5">
                  <c:v>score = blank</c:v>
                </c:pt>
              </c:strCache>
            </c:strRef>
          </c:cat>
          <c:val>
            <c:numRef>
              <c:f>insights!$C$50:$H$50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0-4919-8949-41CBB1511C9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answer_relevancy</a:t>
            </a:r>
          </a:p>
        </c:rich>
      </c:tx>
      <c:layout>
        <c:manualLayout>
          <c:xMode val="edge"/>
          <c:yMode val="edge"/>
          <c:x val="0.3791146710109512"/>
          <c:y val="0.84666666666666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800995565209523"/>
          <c:y val="0.10415223097112859"/>
          <c:w val="0.48376109752673646"/>
          <c:h val="0.74108048328881371"/>
        </c:manualLayout>
      </c:layout>
      <c:pieChart>
        <c:varyColors val="1"/>
        <c:ser>
          <c:idx val="1"/>
          <c:order val="0"/>
          <c:tx>
            <c:strRef>
              <c:f>insights!$A$51</c:f>
              <c:strCache>
                <c:ptCount val="1"/>
                <c:pt idx="0">
                  <c:v>answer_relevancy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88BB-450A-9ABB-BFC1D5B9889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1-6201-440A-937E-A04F4F8A044B}"/>
              </c:ext>
            </c:extLst>
          </c:dPt>
          <c:dPt>
            <c:idx val="2"/>
            <c:bubble3D val="0"/>
            <c:spPr>
              <a:solidFill>
                <a:srgbClr val="FFBF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2-6201-440A-937E-A04F4F8A044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88BB-450A-9ABB-BFC1D5B98898}"/>
              </c:ext>
            </c:extLst>
          </c:dPt>
          <c:dPt>
            <c:idx val="4"/>
            <c:bubble3D val="0"/>
            <c:spPr>
              <a:solidFill>
                <a:srgbClr val="F2222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0-6201-440A-937E-A04F4F8A044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B-88BB-450A-9ABB-BFC1D5B988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insights!$C$49:$H$49</c:f>
              <c:strCache>
                <c:ptCount val="6"/>
                <c:pt idx="0">
                  <c:v>score = 1</c:v>
                </c:pt>
                <c:pt idx="1">
                  <c:v>1.0 &gt; score &gt;= 0.8</c:v>
                </c:pt>
                <c:pt idx="2">
                  <c:v>0.8 &gt; score &gt;= 0.7</c:v>
                </c:pt>
                <c:pt idx="3">
                  <c:v>0.7 &gt; score &gt;= 0.4</c:v>
                </c:pt>
                <c:pt idx="4">
                  <c:v>0.4 &gt; score &gt;= 0.0</c:v>
                </c:pt>
                <c:pt idx="5">
                  <c:v>score = blank</c:v>
                </c:pt>
              </c:strCache>
            </c:strRef>
          </c:cat>
          <c:val>
            <c:numRef>
              <c:f>insights!$C$51:$H$51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201-440A-937E-A04F4F8A044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9554765137116479"/>
          <c:y val="5.1766666666666676E-2"/>
          <c:w val="0.18376269345642141"/>
          <c:h val="0.33750236220472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layout>
        <c:manualLayout>
          <c:xMode val="edge"/>
          <c:yMode val="edge"/>
          <c:x val="0.32619579735608289"/>
          <c:y val="0.853333333333333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027254697900921"/>
          <c:y val="9.1005587802726051E-2"/>
          <c:w val="0.48376109752673646"/>
          <c:h val="0.74108048328881371"/>
        </c:manualLayout>
      </c:layout>
      <c:pieChart>
        <c:varyColors val="1"/>
        <c:ser>
          <c:idx val="2"/>
          <c:order val="0"/>
          <c:tx>
            <c:strRef>
              <c:f>insights!$A$52</c:f>
              <c:strCache>
                <c:ptCount val="1"/>
                <c:pt idx="0">
                  <c:v>answer_correctness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2A31-4217-991E-26FAA9A45EB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2A31-4217-991E-26FAA9A45EB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2A31-4217-991E-26FAA9A45EBD}"/>
              </c:ext>
            </c:extLst>
          </c:dPt>
          <c:dPt>
            <c:idx val="3"/>
            <c:bubble3D val="0"/>
            <c:spPr>
              <a:solidFill>
                <a:srgbClr val="EA7E8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F-9C66-4AD7-B668-97B0E2C2C181}"/>
              </c:ext>
            </c:extLst>
          </c:dPt>
          <c:dPt>
            <c:idx val="4"/>
            <c:bubble3D val="0"/>
            <c:spPr>
              <a:solidFill>
                <a:srgbClr val="F2222F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0-9C66-4AD7-B668-97B0E2C2C18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B-2A31-4217-991E-26FAA9A45E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insights!$C$49:$H$49</c:f>
              <c:strCache>
                <c:ptCount val="6"/>
                <c:pt idx="0">
                  <c:v>score = 1</c:v>
                </c:pt>
                <c:pt idx="1">
                  <c:v>1.0 &gt; score &gt;= 0.8</c:v>
                </c:pt>
                <c:pt idx="2">
                  <c:v>0.8 &gt; score &gt;= 0.7</c:v>
                </c:pt>
                <c:pt idx="3">
                  <c:v>0.7 &gt; score &gt;= 0.4</c:v>
                </c:pt>
                <c:pt idx="4">
                  <c:v>0.4 &gt; score &gt;= 0.0</c:v>
                </c:pt>
                <c:pt idx="5">
                  <c:v>score = blank</c:v>
                </c:pt>
              </c:strCache>
            </c:strRef>
          </c:cat>
          <c:val>
            <c:numRef>
              <c:f>insights!$C$52:$H$52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C66-4AD7-B668-97B0E2C2C18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0965909761152288"/>
          <c:y val="6.5100000000000005E-2"/>
          <c:w val="0.17107926190337364"/>
          <c:h val="0.33750236220472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142876</xdr:colOff>
      <xdr:row>0</xdr:row>
      <xdr:rowOff>180975</xdr:rowOff>
    </xdr:from>
    <xdr:to>
      <xdr:col>4</xdr:col>
      <xdr:colOff>1162050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99289E-C6BE-7D07-6302-3E851E000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257175</xdr:colOff>
      <xdr:row>1</xdr:row>
      <xdr:rowOff>28575</xdr:rowOff>
    </xdr:from>
    <xdr:to>
      <xdr:col>10</xdr:col>
      <xdr:colOff>38100</xdr:colOff>
      <xdr:row>21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1277D7D-0231-441E-B7A6-1D3969339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4</xdr:col>
      <xdr:colOff>1019174</xdr:colOff>
      <xdr:row>42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6790066-B08B-4C4A-84F0-12C8175C9B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DD5838-25CF-475E-B1EA-558AA68E545A}" autoFormatId="16" applyNumberFormats="0" applyBorderFormats="0" applyFontFormats="0" applyPatternFormats="0" applyAlignmentFormats="0" applyWidthHeightFormats="0">
  <queryTableRefresh nextId="31" unboundColumnsRight="2">
    <queryTableFields count="25">
      <queryTableField id="1" name="qna_data.Q_No" tableColumnId="1"/>
      <queryTableField id="2" name="qna_data.Classification" tableColumnId="2"/>
      <queryTableField id="3" name="qna_data.Question" tableColumnId="3"/>
      <queryTableField id="4" name="qna_data.Ground_Truth" tableColumnId="4"/>
      <queryTableField id="5" name="qna_data.Answer_Source" tableColumnId="5"/>
      <queryTableField id="6" name="qna_data.Content_Class" tableColumnId="6"/>
      <queryTableField id="7" name="qna_data.Content_Class_Id" tableColumnId="7"/>
      <queryTableField id="8" name="qna_data.Ground_Truth_Page" tableColumnId="8"/>
      <queryTableField id="9" name="qna_data.Ground_Truth_Sequence" tableColumnId="9"/>
      <queryTableField id="10" name="qna_data.Document_Name" tableColumnId="10"/>
      <queryTableField id="11" name="qna_data.Answer_Segment" tableColumnId="11"/>
      <queryTableField id="12" name="qna_data.Doc_Id" tableColumnId="12"/>
      <queryTableField id="13" name="qna_data.Technique_Name" tableColumnId="13"/>
      <queryTableField id="14" name="qna_data.LLM_Name" tableColumnId="14"/>
      <queryTableField id="15" name="qna_data.QnA_Strategy_Name" tableColumnId="15"/>
      <queryTableField id="16" name="contexts" tableColumnId="16"/>
      <queryTableField id="17" name="answer" tableColumnId="17"/>
      <queryTableField id="18" name="faithfulness" tableColumnId="18"/>
      <queryTableField id="19" name="answer_relevancy" tableColumnId="19"/>
      <queryTableField id="20" name="context_recall" tableColumnId="20"/>
      <queryTableField id="21" name="context_precision" tableColumnId="21"/>
      <queryTableField id="22" name="answer_correctness" tableColumnId="22"/>
      <queryTableField id="23" name="context_utilization" tableColumnId="23"/>
      <queryTableField id="25" dataBound="0" tableColumnId="25"/>
      <queryTableField id="24" dataBound="0" tableColumnId="2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AE00EA-DA36-4BA0-964D-2524FDD1DD0E}" name="Table47" displayName="Table47" ref="A1:B4" totalsRowShown="0">
  <autoFilter ref="A1:B4" xr:uid="{D77F60A6-AE14-425E-94D3-FF10CE3CCD12}"/>
  <tableColumns count="2">
    <tableColumn id="1" xr3:uid="{33AE6DDE-0055-472F-8DA7-5769C25D3A2C}" name="STEPS" dataDxfId="22"/>
    <tableColumn id="2" xr3:uid="{BFA6860D-0E34-4592-A190-226CB80404EA}" name="TASK TO VIEW REPORT" dataDxfId="21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2C02BD-E6B7-4FBA-9118-57199D44323D}" name="Table58" displayName="Table58" ref="A7:B10" totalsRowShown="0">
  <autoFilter ref="A7:B10" xr:uid="{0B90ED76-404A-4EA7-B593-8E9BD0BD0788}"/>
  <tableColumns count="2">
    <tableColumn id="1" xr3:uid="{1967328C-EC60-4D12-A622-690AC0235F0D}" name="#" dataDxfId="20"/>
    <tableColumn id="2" xr3:uid="{FB99B15F-2332-4A20-8460-A66463927049}" name="Visualization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198A3D-402F-459B-8DF0-3B14F333008A}" name="rag_report" displayName="rag_report" ref="A1:Y10" tableType="queryTable" totalsRowShown="0">
  <tableColumns count="25">
    <tableColumn id="1" xr3:uid="{0CCDD5F5-DDA2-4A56-9DC6-EB8B4BE0D56C}" uniqueName="1" name="qna_data.Q_No" queryTableFieldId="1" dataDxfId="19"/>
    <tableColumn id="2" xr3:uid="{AE71E282-57A4-4403-8062-0C9EE56C7410}" uniqueName="2" name="qna_data.Classification" queryTableFieldId="2" dataDxfId="18"/>
    <tableColumn id="3" xr3:uid="{337633F4-A58D-406D-ADEF-D851F9B27484}" uniqueName="3" name="qna_data.Question" queryTableFieldId="3" dataDxfId="17"/>
    <tableColumn id="4" xr3:uid="{568D4C2F-0B73-457B-901E-639124EB2154}" uniqueName="4" name="qna_data.Ground_Truth" queryTableFieldId="4" dataDxfId="16"/>
    <tableColumn id="5" xr3:uid="{8DEF8279-F8C6-4C6C-9C8B-05EFB3272B0E}" uniqueName="5" name="qna_data.Answer_Source" queryTableFieldId="5" dataDxfId="15"/>
    <tableColumn id="6" xr3:uid="{54701369-A6C3-4B9E-B135-360A5365407F}" uniqueName="6" name="qna_data.Content_Class" queryTableFieldId="6" dataDxfId="14"/>
    <tableColumn id="7" xr3:uid="{EC153EA2-50B7-42AF-937B-71D22D87BD4F}" uniqueName="7" name="qna_data.Content_Class_Id" queryTableFieldId="7" dataDxfId="13"/>
    <tableColumn id="8" xr3:uid="{5F3108EB-5474-4607-83A6-2ECC91B3C19A}" uniqueName="8" name="qna_data.Ground_Truth_Page" queryTableFieldId="8"/>
    <tableColumn id="9" xr3:uid="{50CB367C-9ED8-47B8-ABAA-78F0EC0F317B}" uniqueName="9" name="qna_data.Ground_Truth_Sequence" queryTableFieldId="9" dataDxfId="12"/>
    <tableColumn id="10" xr3:uid="{AC28782E-413E-4239-AADF-C922BEE97A8A}" uniqueName="10" name="qna_data.Document_Name" queryTableFieldId="10" dataDxfId="11"/>
    <tableColumn id="11" xr3:uid="{25B05AC4-A097-4B2A-9FEB-8302C920E598}" uniqueName="11" name="qna_data.Answer_Segment" queryTableFieldId="11" dataDxfId="10"/>
    <tableColumn id="12" xr3:uid="{105234E6-9CBD-4775-9002-6ED12929FF50}" uniqueName="12" name="qna_data.Doc_Id" queryTableFieldId="12" dataDxfId="9"/>
    <tableColumn id="13" xr3:uid="{04F1B5B3-CEC0-4147-B66C-9E2F886E7E9C}" uniqueName="13" name="qna_data.Technique_Name" queryTableFieldId="13" dataDxfId="8"/>
    <tableColumn id="14" xr3:uid="{40BD0EBF-9F09-416A-A2EA-D4D46918AF76}" uniqueName="14" name="qna_data.LLM_Name" queryTableFieldId="14" dataDxfId="7"/>
    <tableColumn id="15" xr3:uid="{DEFA2631-7B89-4DF9-9C2E-03C13EC344BA}" uniqueName="15" name="qna_data.QnA_Strategy_Name" queryTableFieldId="15" dataDxfId="6"/>
    <tableColumn id="16" xr3:uid="{D3D1E538-2E22-4F29-A845-93E670D5442F}" uniqueName="16" name="contexts" queryTableFieldId="16" dataDxfId="5"/>
    <tableColumn id="17" xr3:uid="{408EC3A5-05B3-4126-8388-925726D6FC8C}" uniqueName="17" name="answer" queryTableFieldId="17" dataDxfId="4"/>
    <tableColumn id="18" xr3:uid="{4123E806-A73F-4574-9587-43624DAEC7CF}" uniqueName="18" name="faithfulness" queryTableFieldId="18"/>
    <tableColumn id="19" xr3:uid="{E2B788FC-5C77-4EA9-BF94-4E0816BA743E}" uniqueName="19" name="answer_relevancy" queryTableFieldId="19"/>
    <tableColumn id="20" xr3:uid="{3D08EF72-45E5-48C9-BB65-C724B05FD3A5}" uniqueName="20" name="context_recall" queryTableFieldId="20"/>
    <tableColumn id="21" xr3:uid="{39B28D37-3A72-4212-A108-90872D2B5418}" uniqueName="21" name="context_precision" queryTableFieldId="21"/>
    <tableColumn id="22" xr3:uid="{E8161A26-C28D-47C8-9FD8-A0A487B07DAF}" uniqueName="22" name="answer_correctness" queryTableFieldId="22"/>
    <tableColumn id="23" xr3:uid="{D8BA56AC-72D6-4BB6-BAD1-F482C126D70E}" uniqueName="23" name="context_utilization" queryTableFieldId="23"/>
    <tableColumn id="25" xr3:uid="{B1582DD9-97AA-41F0-96C6-F2C7F7640563}" uniqueName="25" name="context_entity_recall" queryTableFieldId="25"/>
    <tableColumn id="24" xr3:uid="{A6804B84-EC3A-4C8B-AAAC-4E27A0DD5A5B}" uniqueName="24" name="answer_similarity" queryTableField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2DABE3-39F6-4806-AD57-F108EC301733}" name="Table4" displayName="Table4" ref="A5:E13" totalsRowShown="0">
  <autoFilter ref="A5:E13" xr:uid="{D22DABE3-39F6-4806-AD57-F108EC301733}"/>
  <tableColumns count="5">
    <tableColumn id="1" xr3:uid="{F54BA89B-8736-45A0-829D-132FE9101B58}" name="Metric" dataDxfId="3"/>
    <tableColumn id="5" xr3:uid="{91EFD267-078C-4045-9D41-8898B2F60883}" name="Very Good"/>
    <tableColumn id="6" xr3:uid="{C78BF0C5-81A7-4D94-81B3-D2059E5D268F}" name="Good"/>
    <tableColumn id="7" xr3:uid="{DAB51B97-AD66-4342-A2D5-29FBDDEE5E0A}" name="Can be Improved"/>
    <tableColumn id="8" xr3:uid="{18280C50-9439-4E3E-B997-BA37480D48FA}" name="Poo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E8283C-ECA3-437E-A788-BC1FD8345E09}" name="Table43" displayName="Table43" ref="A1:D9" totalsRowShown="0">
  <autoFilter ref="A1:D9" xr:uid="{D22DABE3-39F6-4806-AD57-F108EC301733}"/>
  <tableColumns count="4">
    <tableColumn id="1" xr3:uid="{B9ED1685-F9FD-4E13-9628-1E823B2EE691}" name="Metric" dataDxfId="2"/>
    <tableColumn id="2" xr3:uid="{4B71B050-4CF1-40F2-B6C2-8FD7F9AE89D1}" name="Definition" dataDxfId="1"/>
    <tableColumn id="3" xr3:uid="{A82C06FF-AB2A-42E0-BE02-DD59380BE799}" name="Depends on ground truth" dataDxfId="0"/>
    <tableColumn id="4" xr3:uid="{AB1F92AC-4A61-4676-840F-9E88C7473339}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B2F5-E236-4933-92B5-393755169399}">
  <dimension ref="A1:D13"/>
  <sheetViews>
    <sheetView workbookViewId="0">
      <selection activeCell="B9" sqref="B9"/>
    </sheetView>
  </sheetViews>
  <sheetFormatPr defaultColWidth="8.7109375" defaultRowHeight="15" x14ac:dyDescent="0.25"/>
  <cols>
    <col min="1" max="1" width="16" style="2" customWidth="1"/>
    <col min="2" max="2" width="72.42578125" style="1" customWidth="1"/>
    <col min="3" max="3" width="11.140625" style="1" bestFit="1" customWidth="1"/>
    <col min="4" max="4" width="22.140625" style="1" customWidth="1"/>
    <col min="5" max="16384" width="8.7109375" style="2"/>
  </cols>
  <sheetData>
    <row r="1" spans="1:2" x14ac:dyDescent="0.25">
      <c r="A1" s="7" t="s">
        <v>40</v>
      </c>
      <c r="B1" s="1" t="s">
        <v>41</v>
      </c>
    </row>
    <row r="2" spans="1:2" ht="30" x14ac:dyDescent="0.25">
      <c r="A2" s="2">
        <v>1</v>
      </c>
      <c r="B2" s="1" t="s">
        <v>69</v>
      </c>
    </row>
    <row r="3" spans="1:2" x14ac:dyDescent="0.25">
      <c r="A3" s="2">
        <v>2</v>
      </c>
      <c r="B3" s="1" t="s">
        <v>42</v>
      </c>
    </row>
    <row r="4" spans="1:2" ht="30" x14ac:dyDescent="0.25">
      <c r="A4" s="2">
        <v>3</v>
      </c>
      <c r="B4" s="1" t="s">
        <v>50</v>
      </c>
    </row>
    <row r="7" spans="1:2" x14ac:dyDescent="0.25">
      <c r="A7" s="2" t="s">
        <v>43</v>
      </c>
      <c r="B7" s="1" t="s">
        <v>44</v>
      </c>
    </row>
    <row r="8" spans="1:2" x14ac:dyDescent="0.25">
      <c r="A8" s="2">
        <v>1</v>
      </c>
      <c r="B8" s="8" t="s">
        <v>37</v>
      </c>
    </row>
    <row r="9" spans="1:2" x14ac:dyDescent="0.25">
      <c r="A9" s="2">
        <v>2</v>
      </c>
      <c r="B9" s="8" t="s">
        <v>45</v>
      </c>
    </row>
    <row r="10" spans="1:2" x14ac:dyDescent="0.25">
      <c r="A10" s="2">
        <v>3</v>
      </c>
      <c r="B10" s="9"/>
    </row>
    <row r="12" spans="1:2" x14ac:dyDescent="0.25">
      <c r="B12" s="2"/>
    </row>
    <row r="13" spans="1:2" x14ac:dyDescent="0.25">
      <c r="B13" s="3"/>
    </row>
  </sheetData>
  <hyperlinks>
    <hyperlink ref="B8" location="insights!A50" display="Averages" xr:uid="{54019B88-C670-4006-A409-E6168A36E783}"/>
    <hyperlink ref="B9" location="insights!A3" display="Insights" xr:uid="{2AF6F311-2B11-489F-B806-52956907F9FD}"/>
  </hyperlink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8230-A0AE-477E-B7BB-7BC8E8C9CDD1}">
  <dimension ref="A1:Y1"/>
  <sheetViews>
    <sheetView tabSelected="1" workbookViewId="0">
      <selection activeCell="A2" sqref="A2:Y10"/>
    </sheetView>
  </sheetViews>
  <sheetFormatPr defaultColWidth="30.7109375" defaultRowHeight="15" x14ac:dyDescent="0.25"/>
  <cols>
    <col min="1" max="1" width="14.85546875" bestFit="1" customWidth="1"/>
    <col min="2" max="2" width="21.85546875" bestFit="1" customWidth="1"/>
    <col min="3" max="5" width="81.140625" bestFit="1" customWidth="1"/>
    <col min="6" max="6" width="22.7109375" bestFit="1" customWidth="1"/>
    <col min="7" max="7" width="25.5703125" bestFit="1" customWidth="1"/>
    <col min="8" max="8" width="28" bestFit="1" customWidth="1"/>
    <col min="9" max="9" width="32.5703125" bestFit="1" customWidth="1"/>
    <col min="10" max="10" width="28.42578125" bestFit="1" customWidth="1"/>
    <col min="11" max="11" width="25.85546875" bestFit="1" customWidth="1"/>
    <col min="12" max="12" width="37.5703125" bestFit="1" customWidth="1"/>
    <col min="13" max="13" width="25.85546875" bestFit="1" customWidth="1"/>
    <col min="14" max="14" width="36.28515625" bestFit="1" customWidth="1"/>
    <col min="15" max="15" width="31" bestFit="1" customWidth="1"/>
    <col min="16" max="17" width="81.140625" bestFit="1" customWidth="1"/>
    <col min="18" max="18" width="11.5703125" bestFit="1" customWidth="1"/>
    <col min="19" max="19" width="17.28515625" bestFit="1" customWidth="1"/>
    <col min="20" max="20" width="13.7109375" bestFit="1" customWidth="1"/>
    <col min="21" max="21" width="17" bestFit="1" customWidth="1"/>
    <col min="22" max="22" width="18.85546875" bestFit="1" customWidth="1"/>
    <col min="23" max="23" width="18" bestFit="1" customWidth="1"/>
    <col min="24" max="24" width="20.140625" bestFit="1" customWidth="1"/>
    <col min="25" max="25" width="16.85546875" bestFit="1" customWidth="1"/>
    <col min="26" max="26" width="16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57</v>
      </c>
      <c r="Y1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9B42-E3D5-4C31-897E-B92D17595FFF}">
  <dimension ref="A3:G24"/>
  <sheetViews>
    <sheetView workbookViewId="0">
      <selection activeCell="C25" sqref="C25"/>
    </sheetView>
  </sheetViews>
  <sheetFormatPr defaultRowHeight="15" x14ac:dyDescent="0.25"/>
  <cols>
    <col min="1" max="1" width="20.140625" bestFit="1" customWidth="1"/>
    <col min="2" max="2" width="11.5703125" bestFit="1" customWidth="1"/>
    <col min="3" max="3" width="17.28515625" bestFit="1" customWidth="1"/>
    <col min="4" max="4" width="18.85546875" bestFit="1" customWidth="1"/>
    <col min="5" max="5" width="16.85546875" bestFit="1" customWidth="1"/>
    <col min="6" max="6" width="17" bestFit="1" customWidth="1"/>
    <col min="7" max="7" width="18" bestFit="1" customWidth="1"/>
    <col min="8" max="8" width="13.7109375" bestFit="1" customWidth="1"/>
    <col min="9" max="9" width="20.140625" bestFit="1" customWidth="1"/>
  </cols>
  <sheetData>
    <row r="3" spans="1:3" x14ac:dyDescent="0.25">
      <c r="A3" s="21" t="s">
        <v>39</v>
      </c>
      <c r="B3" s="21" t="s">
        <v>38</v>
      </c>
      <c r="C3" s="21" t="s">
        <v>53</v>
      </c>
    </row>
    <row r="4" spans="1:3" x14ac:dyDescent="0.25">
      <c r="A4" s="22" t="str">
        <f>rag_report[[#Headers],[faithfulness]]</f>
        <v>faithfulness</v>
      </c>
      <c r="B4" s="13" t="e">
        <f>IFERROR(IF($A4&lt;&gt;"",AVERAGE(rag_report[faithfulness]),""),NA())</f>
        <v>#N/A</v>
      </c>
      <c r="C4" s="10" t="e">
        <f>IF(B4&gt;metric_scale!B6,Table4[[#Headers],[Very Good]],IF(conclusion!B4&gt;metric_scale!C6,Table4[[#Headers],[Good]],IF(conclusion!B4&gt;metric_scale!D6,Table4[[#Headers],[Can be Improved]],Table4[[#Headers],[Poor]])))</f>
        <v>#N/A</v>
      </c>
    </row>
    <row r="5" spans="1:3" x14ac:dyDescent="0.25">
      <c r="A5" s="22" t="str">
        <f>rag_report[[#Headers],[answer_relevancy]]</f>
        <v>answer_relevancy</v>
      </c>
      <c r="B5" s="13" t="e">
        <f>IFERROR(IF($A5&lt;&gt;"",AVERAGE(rag_report[answer_relevancy]),""),NA())</f>
        <v>#N/A</v>
      </c>
      <c r="C5" s="10" t="e">
        <f>IF(B5&gt;metric_scale!B7,Table4[[#Headers],[Very Good]],IF(conclusion!B5&gt;metric_scale!C7,Table4[[#Headers],[Good]],IF(conclusion!B5&gt;metric_scale!D7,Table4[[#Headers],[Can be Improved]],Table4[[#Headers],[Poor]])))</f>
        <v>#N/A</v>
      </c>
    </row>
    <row r="6" spans="1:3" x14ac:dyDescent="0.25">
      <c r="A6" s="22" t="str">
        <f>rag_report[[#Headers],[answer_correctness]]</f>
        <v>answer_correctness</v>
      </c>
      <c r="B6" s="13" t="e">
        <f>IFERROR(IF($A6&lt;&gt;"",AVERAGE(rag_report[answer_correctness]),""),NA())</f>
        <v>#N/A</v>
      </c>
      <c r="C6" s="10" t="e">
        <f>IF(B6&gt;metric_scale!B8,Table4[[#Headers],[Very Good]],IF(conclusion!B6&gt;metric_scale!C8,Table4[[#Headers],[Good]],IF(conclusion!B6&gt;metric_scale!D8,Table4[[#Headers],[Can be Improved]],Table4[[#Headers],[Poor]])))</f>
        <v>#N/A</v>
      </c>
    </row>
    <row r="7" spans="1:3" x14ac:dyDescent="0.25">
      <c r="A7" s="22" t="str">
        <f>rag_report[[#Headers],[answer_similarity]]</f>
        <v>answer_similarity</v>
      </c>
      <c r="B7" s="13" t="e">
        <f>IFERROR(IF($A7&lt;&gt;"",AVERAGE(rag_report[answer_similarity]),""),NA())</f>
        <v>#N/A</v>
      </c>
      <c r="C7" s="10" t="e">
        <f>IF(B7&gt;metric_scale!B9,Table4[[#Headers],[Very Good]],IF(conclusion!B7&gt;metric_scale!C9,Table4[[#Headers],[Good]],IF(conclusion!B7&gt;metric_scale!D9,Table4[[#Headers],[Can be Improved]],Table4[[#Headers],[Poor]])))</f>
        <v>#N/A</v>
      </c>
    </row>
    <row r="8" spans="1:3" x14ac:dyDescent="0.25">
      <c r="A8" s="22" t="str">
        <f>rag_report[[#Headers],[context_precision]]</f>
        <v>context_precision</v>
      </c>
      <c r="B8" s="13" t="e">
        <f>IFERROR(IF($A8&lt;&gt;"",AVERAGE(rag_report[context_precision]),""),NA())</f>
        <v>#N/A</v>
      </c>
      <c r="C8" s="10" t="e">
        <f>IF(B8&gt;metric_scale!B10,Table4[[#Headers],[Very Good]],IF(conclusion!B8&gt;metric_scale!C10,Table4[[#Headers],[Good]],IF(conclusion!B8&gt;metric_scale!D10,Table4[[#Headers],[Can be Improved]],Table4[[#Headers],[Poor]])))</f>
        <v>#N/A</v>
      </c>
    </row>
    <row r="9" spans="1:3" x14ac:dyDescent="0.25">
      <c r="A9" s="22" t="str">
        <f>rag_report[[#Headers],[context_utilization]]</f>
        <v>context_utilization</v>
      </c>
      <c r="B9" s="13" t="e">
        <f>IFERROR(IF($A9&lt;&gt;"",AVERAGE(rag_report[context_utilization]),""),NA())</f>
        <v>#N/A</v>
      </c>
      <c r="C9" s="10" t="e">
        <f>IF(B9&gt;metric_scale!B11,Table4[[#Headers],[Very Good]],IF(conclusion!B9&gt;metric_scale!C11,Table4[[#Headers],[Good]],IF(conclusion!B9&gt;metric_scale!D11,Table4[[#Headers],[Can be Improved]],Table4[[#Headers],[Poor]])))</f>
        <v>#N/A</v>
      </c>
    </row>
    <row r="10" spans="1:3" x14ac:dyDescent="0.25">
      <c r="A10" s="22" t="str">
        <f>rag_report[[#Headers],[context_recall]]</f>
        <v>context_recall</v>
      </c>
      <c r="B10" s="13" t="e">
        <f>IFERROR(IF($A10&lt;&gt;"",AVERAGE(rag_report[context_recall]),""),NA())</f>
        <v>#N/A</v>
      </c>
      <c r="C10" s="10" t="e">
        <f>IF(B10&gt;metric_scale!B12,Table4[[#Headers],[Very Good]],IF(conclusion!B10&gt;metric_scale!C12,Table4[[#Headers],[Good]],IF(conclusion!B10&gt;metric_scale!D12,Table4[[#Headers],[Can be Improved]],Table4[[#Headers],[Poor]])))</f>
        <v>#N/A</v>
      </c>
    </row>
    <row r="11" spans="1:3" x14ac:dyDescent="0.25">
      <c r="A11" s="22" t="str">
        <f>rag_report[[#Headers],[context_entity_recall]]</f>
        <v>context_entity_recall</v>
      </c>
      <c r="B11" s="13" t="e">
        <f>IFERROR(IF($A11&lt;&gt;"",AVERAGE(rag_report[context_entity_recall]),""),NA())</f>
        <v>#N/A</v>
      </c>
      <c r="C11" s="10" t="e">
        <f>IF(B11&gt;metric_scale!B13,Table4[[#Headers],[Very Good]],IF(conclusion!B11&gt;metric_scale!C13,Table4[[#Headers],[Good]],IF(conclusion!B11&gt;metric_scale!D13,Table4[[#Headers],[Can be Improved]],Table4[[#Headers],[Poor]])))</f>
        <v>#N/A</v>
      </c>
    </row>
    <row r="12" spans="1:3" x14ac:dyDescent="0.25">
      <c r="B12" s="5"/>
    </row>
    <row r="13" spans="1:3" x14ac:dyDescent="0.25">
      <c r="B13" s="5" t="str">
        <f>IF($A13&lt;&gt;"",AVERAGE(rag_report[faithfulness]),"")</f>
        <v/>
      </c>
    </row>
    <row r="14" spans="1:3" ht="15.75" thickBot="1" x14ac:dyDescent="0.3">
      <c r="A14" s="6" t="s">
        <v>24</v>
      </c>
      <c r="B14">
        <f>COUNTA('rag_report'!A:A)-1</f>
        <v>0</v>
      </c>
    </row>
    <row r="15" spans="1:3" ht="15.75" thickTop="1" x14ac:dyDescent="0.25">
      <c r="B15" s="5"/>
    </row>
    <row r="22" spans="2:7" x14ac:dyDescent="0.25">
      <c r="B22" s="5" t="str">
        <f>IF($A22&lt;&gt;"",AVERAGEIFS(rag_report[faithfulness], rag_report[qna_data.Classification], $A22),"")</f>
        <v/>
      </c>
      <c r="C22" s="5" t="str">
        <f>IF($A22&lt;&gt;"",AVERAGEIFS(rag_report[answer_relevancy], rag_report[qna_data.Classification], $A22),"")</f>
        <v/>
      </c>
      <c r="D22" s="5" t="str">
        <f>IF($A22&lt;&gt;"",AVERAGEIFS(rag_report[context_recall], rag_report[qna_data.Classification], $A22),"")</f>
        <v/>
      </c>
      <c r="E22" s="5" t="str">
        <f>IF($A22&lt;&gt;"",AVERAGEIFS(rag_report[context_precision], rag_report[qna_data.Classification], $A22),"")</f>
        <v/>
      </c>
      <c r="F22" s="5" t="str">
        <f>IF($A22&lt;&gt;"",AVERAGEIFS(rag_report[answer_correctness], rag_report[qna_data.Classification], $A22),"")</f>
        <v/>
      </c>
      <c r="G22" s="5" t="str">
        <f>IF($A22&lt;&gt;"",AVERAGEIFS(rag_report[context_utilization], rag_report[qna_data.Classification], $A22),"")</f>
        <v/>
      </c>
    </row>
    <row r="23" spans="2:7" x14ac:dyDescent="0.25">
      <c r="B23" s="5"/>
      <c r="C23" s="5"/>
      <c r="D23" s="5"/>
      <c r="E23" s="5"/>
      <c r="F23" s="5"/>
      <c r="G23" s="5"/>
    </row>
    <row r="24" spans="2:7" x14ac:dyDescent="0.25">
      <c r="B24" s="5"/>
      <c r="C24" s="5"/>
      <c r="D24" s="5"/>
      <c r="E24" s="5"/>
      <c r="F24" s="5"/>
      <c r="G24" s="5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6ADC-728E-4109-9354-5C2AC3B4B992}">
  <dimension ref="A48:K66"/>
  <sheetViews>
    <sheetView topLeftCell="A3" workbookViewId="0">
      <selection activeCell="A3" sqref="A3"/>
    </sheetView>
  </sheetViews>
  <sheetFormatPr defaultRowHeight="15" x14ac:dyDescent="0.25"/>
  <cols>
    <col min="1" max="1" width="20.5703125" bestFit="1" customWidth="1"/>
    <col min="2" max="2" width="17" bestFit="1" customWidth="1"/>
    <col min="3" max="3" width="17.28515625" bestFit="1" customWidth="1"/>
    <col min="4" max="4" width="18.85546875" bestFit="1" customWidth="1"/>
    <col min="5" max="5" width="17.85546875" bestFit="1" customWidth="1"/>
    <col min="6" max="6" width="17" bestFit="1" customWidth="1"/>
    <col min="7" max="7" width="18" bestFit="1" customWidth="1"/>
    <col min="8" max="8" width="13.7109375" bestFit="1" customWidth="1"/>
    <col min="9" max="10" width="18.7109375" bestFit="1" customWidth="1"/>
    <col min="11" max="11" width="23.28515625" bestFit="1" customWidth="1"/>
  </cols>
  <sheetData>
    <row r="48" spans="3:8" ht="15.75" thickBot="1" x14ac:dyDescent="0.3">
      <c r="C48" s="30" t="s">
        <v>49</v>
      </c>
      <c r="D48" s="30"/>
      <c r="E48" s="30"/>
      <c r="F48" s="30"/>
      <c r="G48" s="30"/>
      <c r="H48" s="30"/>
    </row>
    <row r="49" spans="1:11" ht="75" x14ac:dyDescent="0.25">
      <c r="A49" s="11" t="s">
        <v>39</v>
      </c>
      <c r="B49" s="14" t="s">
        <v>38</v>
      </c>
      <c r="C49" s="18" t="s">
        <v>63</v>
      </c>
      <c r="D49" s="19" t="s">
        <v>66</v>
      </c>
      <c r="E49" s="19" t="s">
        <v>65</v>
      </c>
      <c r="F49" s="19" t="s">
        <v>64</v>
      </c>
      <c r="G49" s="19" t="s">
        <v>67</v>
      </c>
      <c r="H49" s="20" t="s">
        <v>68</v>
      </c>
      <c r="I49" s="16" t="s">
        <v>46</v>
      </c>
      <c r="J49" s="12" t="s">
        <v>47</v>
      </c>
      <c r="K49" s="12" t="s">
        <v>48</v>
      </c>
    </row>
    <row r="50" spans="1:11" x14ac:dyDescent="0.25">
      <c r="A50" s="10" t="str">
        <f>rag_report[[#Headers],[faithfulness]]</f>
        <v>faithfulness</v>
      </c>
      <c r="B50" s="15" t="e">
        <f>IFERROR(IF($A50&lt;&gt;"",AVERAGE(rag_report[faithfulness]),""),NA())</f>
        <v>#N/A</v>
      </c>
      <c r="C50" s="26">
        <f>IF($A50&lt;&gt;"",COUNTIFS(rag_report[faithfulness],"=1"),"")</f>
        <v>0</v>
      </c>
      <c r="D50" s="25">
        <f>IF($A50&lt;&gt;"",COUNTIFS(rag_report[faithfulness],"&gt;=0.80",rag_report[faithfulness],"&lt;1"),"")</f>
        <v>0</v>
      </c>
      <c r="E50" s="23">
        <f>IF($A50&lt;&gt;"",COUNTIFS(rag_report[faithfulness],"&gt;=0.7",rag_report[faithfulness],"&lt;0.8"),"")</f>
        <v>0</v>
      </c>
      <c r="F50" s="29">
        <f>IF($A50&lt;&gt;"",COUNTIFS(rag_report[faithfulness],"&gt;=0.4",rag_report[faithfulness],"&lt;0.7"),"")</f>
        <v>0</v>
      </c>
      <c r="G50" s="24">
        <f>IF($A50&lt;&gt;"",COUNTIFS(rag_report[faithfulness],"&gt;=0",rag_report[faithfulness],"&lt;0.4"),"")</f>
        <v>0</v>
      </c>
      <c r="H50" s="27">
        <f>IF($A50&lt;&gt;"",COUNTIFS(rag_report[faithfulness],""),"")</f>
        <v>9</v>
      </c>
      <c r="I50" s="17">
        <f>IF($A50&lt;&gt;"",COUNTIFS(rag_report[faithfulness],"=0",rag_report[answer],"I don't know"),"")</f>
        <v>0</v>
      </c>
      <c r="J50" s="10">
        <f>IF($A50&lt;&gt;"",COUNTIFS(rag_report[faithfulness],"",rag_report[answer],"I don't know"),"")</f>
        <v>0</v>
      </c>
      <c r="K50" s="10">
        <f>IF($A50&lt;&gt;"",COUNTIFS(rag_report[faithfulness],"=0",rag_report[qna_data.Ground_Truth],"*provided information is insufficient to answer this question*"),"")</f>
        <v>0</v>
      </c>
    </row>
    <row r="51" spans="1:11" x14ac:dyDescent="0.25">
      <c r="A51" s="10" t="str">
        <f>rag_report[[#Headers],[answer_relevancy]]</f>
        <v>answer_relevancy</v>
      </c>
      <c r="B51" s="15" t="e">
        <f>IFERROR(IF($A51&lt;&gt;"",AVERAGE(rag_report[answer_relevancy]),""),NA())</f>
        <v>#N/A</v>
      </c>
      <c r="C51" s="26">
        <f>IF($A51&lt;&gt;"",COUNTIFS(rag_report[answer_relevancy],"=1"),"")</f>
        <v>0</v>
      </c>
      <c r="D51" s="25">
        <f>IF($A51&lt;&gt;"",COUNTIFS(rag_report[answer_relevancy],"&gt;=0.80",rag_report[answer_relevancy],"&lt;1"),"")</f>
        <v>0</v>
      </c>
      <c r="E51" s="23">
        <f>IF($A51&lt;&gt;"",COUNTIFS(rag_report[answer_relevancy],"&gt;=0.7",rag_report[answer_relevancy],"&lt;0.8"),"")</f>
        <v>0</v>
      </c>
      <c r="F51" s="29">
        <f>IF($A51&lt;&gt;"",COUNTIFS(rag_report[answer_relevancy],"&gt;=0.4",rag_report[answer_relevancy],"&lt;0.7"),"")</f>
        <v>0</v>
      </c>
      <c r="G51" s="24">
        <f>IF($A51&lt;&gt;"",COUNTIFS(rag_report[answer_relevancy],"&gt;=0",rag_report[answer_relevancy],"&lt;0.4"),"")</f>
        <v>0</v>
      </c>
      <c r="H51" s="27">
        <f>IF($A51&lt;&gt;"",COUNTIFS(rag_report[answer_relevancy],""),"")</f>
        <v>9</v>
      </c>
      <c r="I51" s="17">
        <f>IF($A51&lt;&gt;"",COUNTIFS(rag_report[answer_relevancy],"=0",rag_report[answer],"I don't know"),"")</f>
        <v>0</v>
      </c>
      <c r="J51" s="10">
        <f>IF($A51&lt;&gt;"",COUNTIFS(rag_report[answer_relevancy],"",rag_report[answer],"I don't know"),"")</f>
        <v>0</v>
      </c>
      <c r="K51" s="10">
        <f>IF($A51&lt;&gt;"",COUNTIFS(rag_report[answer_relevancy],"=0",rag_report[qna_data.Ground_Truth],"*provided information is insufficient to answer this question*"),"")</f>
        <v>0</v>
      </c>
    </row>
    <row r="52" spans="1:11" x14ac:dyDescent="0.25">
      <c r="A52" s="10" t="str">
        <f>rag_report[[#Headers],[answer_correctness]]</f>
        <v>answer_correctness</v>
      </c>
      <c r="B52" s="15" t="e">
        <f>IFERROR(IF($A52&lt;&gt;"",AVERAGE(rag_report[answer_correctness]),""),NA())</f>
        <v>#N/A</v>
      </c>
      <c r="C52" s="26">
        <f>IF($A52&lt;&gt;"",COUNTIFS(rag_report[answer_correctness],"=1"),"")</f>
        <v>0</v>
      </c>
      <c r="D52" s="25">
        <f>IF($A52&lt;&gt;"",COUNTIFS(rag_report[answer_correctness],"&gt;=0.80",rag_report[answer_correctness],"&lt;1"),"")</f>
        <v>0</v>
      </c>
      <c r="E52" s="23">
        <f>IF($A52&lt;&gt;"",COUNTIFS(rag_report[answer_correctness],"&gt;=0.7",rag_report[answer_correctness],"&lt;0.8"),"")</f>
        <v>0</v>
      </c>
      <c r="F52" s="29">
        <f>IF($A52&lt;&gt;"",COUNTIFS(rag_report[answer_correctness],"&gt;=0.4",rag_report[answer_correctness],"&lt;0.7"),"")</f>
        <v>0</v>
      </c>
      <c r="G52" s="24">
        <f>IF($A52&lt;&gt;"",COUNTIFS(rag_report[answer_correctness],"&gt;=0",rag_report[answer_correctness],"&lt;0.4"),"")</f>
        <v>0</v>
      </c>
      <c r="H52" s="27">
        <f>IF($A52&lt;&gt;"",COUNTIFS(rag_report[answer_correctness],""),"")</f>
        <v>9</v>
      </c>
      <c r="I52" s="17">
        <f>IF($A52&lt;&gt;"",COUNTIFS(rag_report[answer_correctness],"=0",rag_report[answer],"I don't know"),"")</f>
        <v>0</v>
      </c>
      <c r="J52" s="10">
        <f>IF($A52&lt;&gt;"",COUNTIFS(rag_report[answer_correctness],"",rag_report[answer],"I don't know"),"")</f>
        <v>0</v>
      </c>
      <c r="K52" s="10">
        <f>IF($A52&lt;&gt;"",COUNTIFS(rag_report[answer_correctness],"=0",rag_report[qna_data.Ground_Truth],"*provided information is insufficient to answer this question*"),"")</f>
        <v>0</v>
      </c>
    </row>
    <row r="53" spans="1:11" x14ac:dyDescent="0.25">
      <c r="A53" s="10" t="str">
        <f>rag_report[[#Headers],[answer_similarity]]</f>
        <v>answer_similarity</v>
      </c>
      <c r="B53" s="15" t="e">
        <f>IFERROR(IF($A53&lt;&gt;"",AVERAGE(rag_report[answer_similarity]),""),NA())</f>
        <v>#N/A</v>
      </c>
      <c r="C53" s="26">
        <f>IF($A53&lt;&gt;"",COUNTIFS(rag_report[answer_similarity],"=1"),"")</f>
        <v>0</v>
      </c>
      <c r="D53" s="25">
        <f>IF($A53&lt;&gt;"",COUNTIFS(rag_report[answer_similarity],"&gt;=0.80",rag_report[answer_similarity],"&lt;1"),"")</f>
        <v>0</v>
      </c>
      <c r="E53" s="23">
        <f>IF($A53&lt;&gt;"",COUNTIFS(rag_report[answer_similarity],"&gt;=0.7",rag_report[answer_similarity],"&lt;0.8"),"")</f>
        <v>0</v>
      </c>
      <c r="F53" s="29">
        <f>IF($A53&lt;&gt;"",COUNTIFS(rag_report[answer_similarity],"&gt;=0.4",rag_report[answer_similarity],"&lt;0.7"),"")</f>
        <v>0</v>
      </c>
      <c r="G53" s="24">
        <f>IF($A53&lt;&gt;"",COUNTIFS(rag_report[answer_similarity],"&gt;=0",rag_report[answer_similarity],"&lt;0.4"),"")</f>
        <v>0</v>
      </c>
      <c r="H53" s="27">
        <f>IF($A53&lt;&gt;"",COUNTIFS(rag_report[answer_similarity],""),"")</f>
        <v>9</v>
      </c>
      <c r="I53" s="17">
        <f>IF($A53&lt;&gt;"",COUNTIFS(rag_report[answer_similarity],"=0",rag_report[answer],"I don't know"),"")</f>
        <v>0</v>
      </c>
      <c r="J53" s="10">
        <f>IF($A53&lt;&gt;"",COUNTIFS(rag_report[answer_similarity],"",rag_report[answer],"I don't know"),"")</f>
        <v>0</v>
      </c>
      <c r="K53" s="10">
        <f>IF($A53&lt;&gt;"",COUNTIFS(rag_report[answer_similarity],"=0",rag_report[qna_data.Ground_Truth],"*provided information is insufficient to answer this question*"),"")</f>
        <v>0</v>
      </c>
    </row>
    <row r="54" spans="1:11" x14ac:dyDescent="0.25">
      <c r="A54" s="10" t="str">
        <f>rag_report[[#Headers],[context_precision]]</f>
        <v>context_precision</v>
      </c>
      <c r="B54" s="15" t="e">
        <f>IFERROR(IF($A54&lt;&gt;"",AVERAGE(rag_report[context_precision]),""),NA())</f>
        <v>#N/A</v>
      </c>
      <c r="C54" s="26">
        <f>IF($A54&lt;&gt;"",COUNTIFS(rag_report[context_precision],"=1"),"")</f>
        <v>0</v>
      </c>
      <c r="D54" s="25">
        <f>IF($A54&lt;&gt;"",COUNTIFS(rag_report[context_precision],"&gt;=0.80",rag_report[context_precision],"&lt;1"),"")</f>
        <v>0</v>
      </c>
      <c r="E54" s="23">
        <f>IF($A54&lt;&gt;"",COUNTIFS(rag_report[context_precision],"&gt;=0.7",rag_report[context_precision],"&lt;0.8"),"")</f>
        <v>0</v>
      </c>
      <c r="F54" s="29">
        <f>IF($A54&lt;&gt;"",COUNTIFS(rag_report[context_precision],"&gt;=0.4",rag_report[context_precision],"&lt;0.7"),"")</f>
        <v>0</v>
      </c>
      <c r="G54" s="24">
        <f>IF($A54&lt;&gt;"",COUNTIFS(rag_report[context_precision],"&gt;=0",rag_report[context_precision],"&lt;0.4"),"")</f>
        <v>0</v>
      </c>
      <c r="H54" s="27">
        <f>IF($A54&lt;&gt;"",COUNTIFS(rag_report[context_precision],""),"")</f>
        <v>9</v>
      </c>
      <c r="I54" s="17">
        <f>IF($A54&lt;&gt;"",COUNTIFS(rag_report[context_precision],"=0",rag_report[answer],"I don't know"),"")</f>
        <v>0</v>
      </c>
      <c r="J54" s="10">
        <f>IF($A54&lt;&gt;"",COUNTIFS(rag_report[context_precision],"",rag_report[answer],"I don't know"),"")</f>
        <v>0</v>
      </c>
      <c r="K54" s="10">
        <f>IF($A54&lt;&gt;"",COUNTIFS(rag_report[context_precision],"=0",rag_report[qna_data.Ground_Truth],"*provided information is insufficient to answer this question*"),"")</f>
        <v>0</v>
      </c>
    </row>
    <row r="55" spans="1:11" x14ac:dyDescent="0.25">
      <c r="A55" s="10" t="str">
        <f>rag_report[[#Headers],[context_utilization]]</f>
        <v>context_utilization</v>
      </c>
      <c r="B55" s="15" t="e">
        <f>IFERROR(IF($A55&lt;&gt;"",AVERAGE(rag_report[context_utilization]),""),NA())</f>
        <v>#N/A</v>
      </c>
      <c r="C55" s="26">
        <f>IF($A55&lt;&gt;"",COUNTIFS(rag_report[context_utilization],"=1"),"")</f>
        <v>0</v>
      </c>
      <c r="D55" s="25">
        <f>IF($A55&lt;&gt;"",COUNTIFS(rag_report[context_utilization],"&gt;=0.80",rag_report[context_utilization],"&lt;1"),"")</f>
        <v>0</v>
      </c>
      <c r="E55" s="23">
        <f>IF($A55&lt;&gt;"",COUNTIFS(rag_report[context_utilization],"&gt;=0.7",rag_report[context_utilization],"&lt;0.8"),"")</f>
        <v>0</v>
      </c>
      <c r="F55" s="29">
        <f>IF($A55&lt;&gt;"",COUNTIFS(rag_report[context_utilization],"&gt;=0.4",rag_report[context_utilization],"&lt;0.7"),"")</f>
        <v>0</v>
      </c>
      <c r="G55" s="24">
        <f>IF($A55&lt;&gt;"",COUNTIFS(rag_report[context_utilization],"&gt;=0",rag_report[context_utilization],"&lt;0.4"),"")</f>
        <v>0</v>
      </c>
      <c r="H55" s="27">
        <f>IF($A55&lt;&gt;"",COUNTIFS(rag_report[context_utilization],""),"")</f>
        <v>9</v>
      </c>
      <c r="I55" s="17">
        <f>IF($A55&lt;&gt;"",COUNTIFS(rag_report[context_utilization],"=0",rag_report[answer],"I don't know"),"")</f>
        <v>0</v>
      </c>
      <c r="J55" s="10">
        <f>IF($A55&lt;&gt;"",COUNTIFS(rag_report[context_utilization],"",rag_report[answer],"I don't know"),"")</f>
        <v>0</v>
      </c>
      <c r="K55" s="10">
        <f>IF($A55&lt;&gt;"",COUNTIFS(rag_report[context_utilization],"=0",rag_report[qna_data.Ground_Truth],"*provided information is insufficient to answer this question*"),"")</f>
        <v>0</v>
      </c>
    </row>
    <row r="56" spans="1:11" x14ac:dyDescent="0.25">
      <c r="A56" s="10" t="str">
        <f>rag_report[[#Headers],[context_recall]]</f>
        <v>context_recall</v>
      </c>
      <c r="B56" s="15" t="e">
        <f>IFERROR(IF($A56&lt;&gt;"",AVERAGE(rag_report[context_recall]),""),NA())</f>
        <v>#N/A</v>
      </c>
      <c r="C56" s="26">
        <f>IF($A56&lt;&gt;"",COUNTIFS(rag_report[context_recall],"=1"),"")</f>
        <v>0</v>
      </c>
      <c r="D56" s="25">
        <f>IF($A56&lt;&gt;"",COUNTIFS(rag_report[context_recall],"&gt;=0.80",rag_report[context_recall],"&lt;1"),"")</f>
        <v>0</v>
      </c>
      <c r="E56" s="23">
        <f>IF($A56&lt;&gt;"",COUNTIFS(rag_report[context_recall],"&gt;=0.7",rag_report[context_recall],"&lt;0.8"),"")</f>
        <v>0</v>
      </c>
      <c r="F56" s="29">
        <f>IF($A56&lt;&gt;"",COUNTIFS(rag_report[context_recall],"&gt;=0.4",rag_report[context_recall],"&lt;0.7"),"")</f>
        <v>0</v>
      </c>
      <c r="G56" s="24">
        <f>IF($A56&lt;&gt;"",COUNTIFS(rag_report[context_recall],"&gt;=0",rag_report[context_recall],"&lt;0.4"),"")</f>
        <v>0</v>
      </c>
      <c r="H56" s="27">
        <f>IF($A56&lt;&gt;"",COUNTIFS(rag_report[context_recall],""),"")</f>
        <v>9</v>
      </c>
      <c r="I56" s="17">
        <f>IF($A56&lt;&gt;"",COUNTIFS(rag_report[context_recall],"=0",rag_report[answer],"I don't know"),"")</f>
        <v>0</v>
      </c>
      <c r="J56" s="10">
        <f>IF($A56&lt;&gt;"",COUNTIFS(rag_report[context_recall],"",rag_report[answer],"I don't know"),"")</f>
        <v>0</v>
      </c>
      <c r="K56" s="10">
        <f>IF($A56&lt;&gt;"",COUNTIFS(rag_report[context_recall],"=0",rag_report[qna_data.Ground_Truth],"*provided information is insufficient to answer this question*"),"")</f>
        <v>0</v>
      </c>
    </row>
    <row r="57" spans="1:11" ht="15.75" thickBot="1" x14ac:dyDescent="0.3">
      <c r="A57" s="10" t="str">
        <f>rag_report[[#Headers],[context_entity_recall]]</f>
        <v>context_entity_recall</v>
      </c>
      <c r="B57" s="15" t="e">
        <f>IFERROR(IF($A57&lt;&gt;"",AVERAGE(rag_report[context_entity_recall]),""),NA())</f>
        <v>#N/A</v>
      </c>
      <c r="C57" s="26">
        <f>IF($A57&lt;&gt;"",COUNTIFS(rag_report[context_entity_recall],"=1"),"")</f>
        <v>0</v>
      </c>
      <c r="D57" s="25">
        <f>IF($A57&lt;&gt;"",COUNTIFS(rag_report[context_entity_recall],"&gt;=0.80",rag_report[context_entity_recall],"&lt;1"),"")</f>
        <v>0</v>
      </c>
      <c r="E57" s="23">
        <f>IF($A57&lt;&gt;"",COUNTIFS(rag_report[context_entity_recall],"&gt;=0.7",rag_report[context_entity_recall],"&lt;0.8"),"")</f>
        <v>0</v>
      </c>
      <c r="F57" s="29">
        <f>IF($A57&lt;&gt;"",COUNTIFS(rag_report[context_entity_recall],"&gt;=0.4",rag_report[context_entity_recall],"&lt;0.7"),"")</f>
        <v>0</v>
      </c>
      <c r="G57" s="24">
        <f>IF($A57&lt;&gt;"",COUNTIFS(rag_report[context_entity_recall],"&gt;=0",rag_report[context_entity_recall],"&lt;0.4"),"")</f>
        <v>0</v>
      </c>
      <c r="H57" s="28">
        <f>IF($A57&lt;&gt;"",COUNTIFS(rag_report[context_entity_recall],""),"")</f>
        <v>9</v>
      </c>
      <c r="I57" s="17">
        <f>IF($A57&lt;&gt;"",COUNTIFS(rag_report[context_entity_recall],"=0",rag_report[answer],"I don't know"),"")</f>
        <v>0</v>
      </c>
      <c r="J57" s="10">
        <f>IF($A57&lt;&gt;"",COUNTIFS(rag_report[context_entity_recall],"",rag_report[answer],"I don't know"),"")</f>
        <v>0</v>
      </c>
      <c r="K57" s="10">
        <f>IF($A57&lt;&gt;"",COUNTIFS(rag_report[context_entity_recall],"=0",rag_report[qna_data.Ground_Truth],"*provided information is insufficient to answer this question*"),"")</f>
        <v>0</v>
      </c>
    </row>
    <row r="58" spans="1:11" x14ac:dyDescent="0.25">
      <c r="B58" s="5"/>
    </row>
    <row r="59" spans="1:11" x14ac:dyDescent="0.25">
      <c r="A59" s="21" t="s">
        <v>62</v>
      </c>
      <c r="B59" s="11" t="str">
        <f>rag_report[[#Headers],[faithfulness]]</f>
        <v>faithfulness</v>
      </c>
      <c r="C59" s="11" t="str">
        <f>rag_report[[#Headers],[answer_relevancy]]</f>
        <v>answer_relevancy</v>
      </c>
      <c r="D59" s="11" t="str">
        <f>rag_report[[#Headers],[answer_correctness]]</f>
        <v>answer_correctness</v>
      </c>
      <c r="E59" s="11" t="str">
        <f>rag_report[[#Headers],[answer_similarity]]</f>
        <v>answer_similarity</v>
      </c>
      <c r="F59" s="11" t="str">
        <f>rag_report[[#Headers],[context_precision]]</f>
        <v>context_precision</v>
      </c>
      <c r="G59" s="11" t="str">
        <f>rag_report[[#Headers],[context_utilization]]</f>
        <v>context_utilization</v>
      </c>
      <c r="H59" s="11" t="str">
        <f>rag_report[[#Headers],[context_recall]]</f>
        <v>context_recall</v>
      </c>
      <c r="I59" s="11" t="str">
        <f>rag_report[[#Headers],[context_entity_recall]]</f>
        <v>context_entity_recall</v>
      </c>
    </row>
    <row r="60" spans="1:11" x14ac:dyDescent="0.25">
      <c r="A60" s="10" cm="1">
        <f t="array" ref="A60">_xlfn.UNIQUE(rag_report[qna_data.Classification])</f>
        <v>0</v>
      </c>
      <c r="B60" s="13" t="e">
        <f>IFERROR(IF($A60&lt;&gt;"",AVERAGEIFS(rag_report[faithfulness],rag_report[qna_data.Classification],$A60)),NA())</f>
        <v>#N/A</v>
      </c>
      <c r="C60" s="13" t="e">
        <f>IFERROR(IF($A60&lt;&gt;"",AVERAGEIFS(rag_report[answer_relevancy],rag_report[qna_data.Classification],$A60)),NA())</f>
        <v>#N/A</v>
      </c>
      <c r="D60" s="13" t="e">
        <f>IFERROR(IF($A60&lt;&gt;"",AVERAGEIFS(rag_report[answer_correctness],rag_report[qna_data.Classification],$A60)),NA())</f>
        <v>#N/A</v>
      </c>
      <c r="E60" s="13" t="e">
        <f>IFERROR(IF($A60&lt;&gt;"",AVERAGEIFS(rag_report[answer_similarity],rag_report[qna_data.Classification],$A60)),NA())</f>
        <v>#N/A</v>
      </c>
      <c r="F60" s="13" t="e">
        <f>IFERROR(IF($A60&lt;&gt;"",AVERAGEIFS(rag_report[context_precision],rag_report[qna_data.Classification],$A60)),NA())</f>
        <v>#N/A</v>
      </c>
      <c r="G60" s="13" t="e">
        <f>IFERROR(IF($A60&lt;&gt;"",AVERAGEIFS(rag_report[context_utilization],rag_report[qna_data.Classification],$A60)),NA())</f>
        <v>#N/A</v>
      </c>
      <c r="H60" s="13" t="e">
        <f>IFERROR(IF($A60&lt;&gt;"",AVERAGEIFS(rag_report[context_recall],rag_report[qna_data.Classification],$A60)),NA())</f>
        <v>#N/A</v>
      </c>
      <c r="I60" s="13" t="e">
        <f>IFERROR(IF($A60&lt;&gt;"",AVERAGEIFS(rag_report[context_entity_recall],rag_report[qna_data.Classification],$A60)),NA())</f>
        <v>#N/A</v>
      </c>
    </row>
    <row r="61" spans="1:11" x14ac:dyDescent="0.25">
      <c r="A61" s="10"/>
      <c r="B61" s="13" t="b">
        <f>IFERROR(IF($A61&lt;&gt;"",AVERAGEIFS(rag_report[faithfulness],rag_report[qna_data.Classification],$A61)),NA())</f>
        <v>0</v>
      </c>
      <c r="C61" s="13" t="b">
        <f>IFERROR(IF($A61&lt;&gt;"",AVERAGEIFS(rag_report[answer_relevancy],rag_report[qna_data.Classification],$A61)),NA())</f>
        <v>0</v>
      </c>
      <c r="D61" s="13" t="b">
        <f>IFERROR(IF($A61&lt;&gt;"",AVERAGEIFS(rag_report[answer_correctness],rag_report[qna_data.Classification],$A61)),NA())</f>
        <v>0</v>
      </c>
      <c r="E61" s="13" t="b">
        <f>IFERROR(IF($A61&lt;&gt;"",AVERAGEIFS(rag_report[answer_similarity],rag_report[qna_data.Classification],$A61)),NA())</f>
        <v>0</v>
      </c>
      <c r="F61" s="13" t="b">
        <f>IFERROR(IF($A61&lt;&gt;"",AVERAGEIFS(rag_report[context_precision],rag_report[qna_data.Classification],$A61)),NA())</f>
        <v>0</v>
      </c>
      <c r="G61" s="13" t="b">
        <f>IFERROR(IF($A61&lt;&gt;"",AVERAGEIFS(rag_report[context_utilization],rag_report[qna_data.Classification],$A61)),NA())</f>
        <v>0</v>
      </c>
      <c r="H61" s="13" t="b">
        <f>IFERROR(IF($A61&lt;&gt;"",AVERAGEIFS(rag_report[context_recall],rag_report[qna_data.Classification],$A61)),NA())</f>
        <v>0</v>
      </c>
      <c r="I61" s="13" t="b">
        <f>IFERROR(IF($A61&lt;&gt;"",AVERAGEIFS(rag_report[context_entity_recall],rag_report[qna_data.Classification],$A61)),NA())</f>
        <v>0</v>
      </c>
    </row>
    <row r="62" spans="1:11" x14ac:dyDescent="0.25">
      <c r="A62" s="10"/>
      <c r="B62" s="13" t="b">
        <f>IFERROR(IF($A62&lt;&gt;"",AVERAGEIFS(rag_report[faithfulness],rag_report[qna_data.Classification],$A62)),NA())</f>
        <v>0</v>
      </c>
      <c r="C62" s="13" t="b">
        <f>IFERROR(IF($A62&lt;&gt;"",AVERAGEIFS(rag_report[answer_relevancy],rag_report[qna_data.Classification],$A62)),NA())</f>
        <v>0</v>
      </c>
      <c r="D62" s="13" t="b">
        <f>IFERROR(IF($A62&lt;&gt;"",AVERAGEIFS(rag_report[answer_correctness],rag_report[qna_data.Classification],$A62)),NA())</f>
        <v>0</v>
      </c>
      <c r="E62" s="13" t="b">
        <f>IFERROR(IF($A62&lt;&gt;"",AVERAGEIFS(rag_report[answer_similarity],rag_report[qna_data.Classification],$A62)),NA())</f>
        <v>0</v>
      </c>
      <c r="F62" s="13" t="b">
        <f>IFERROR(IF($A62&lt;&gt;"",AVERAGEIFS(rag_report[context_precision],rag_report[qna_data.Classification],$A62)),NA())</f>
        <v>0</v>
      </c>
      <c r="G62" s="13" t="b">
        <f>IFERROR(IF($A62&lt;&gt;"",AVERAGEIFS(rag_report[context_utilization],rag_report[qna_data.Classification],$A62)),NA())</f>
        <v>0</v>
      </c>
      <c r="H62" s="13" t="b">
        <f>IFERROR(IF($A62&lt;&gt;"",AVERAGEIFS(rag_report[context_recall],rag_report[qna_data.Classification],$A62)),NA())</f>
        <v>0</v>
      </c>
      <c r="I62" s="13" t="b">
        <f>IFERROR(IF($A62&lt;&gt;"",AVERAGEIFS(rag_report[context_entity_recall],rag_report[qna_data.Classification],$A62)),NA())</f>
        <v>0</v>
      </c>
    </row>
    <row r="63" spans="1:11" x14ac:dyDescent="0.25">
      <c r="A63" s="10"/>
      <c r="B63" s="13" t="b">
        <f>IFERROR(IF($A63&lt;&gt;"",AVERAGEIFS(rag_report[faithfulness],rag_report[qna_data.Classification],$A63)),NA())</f>
        <v>0</v>
      </c>
      <c r="C63" s="13" t="b">
        <f>IFERROR(IF($A63&lt;&gt;"",AVERAGEIFS(rag_report[answer_relevancy],rag_report[qna_data.Classification],$A63)),NA())</f>
        <v>0</v>
      </c>
      <c r="D63" s="13" t="b">
        <f>IFERROR(IF($A63&lt;&gt;"",AVERAGEIFS(rag_report[answer_correctness],rag_report[qna_data.Classification],$A63)),NA())</f>
        <v>0</v>
      </c>
      <c r="E63" s="13" t="b">
        <f>IFERROR(IF($A63&lt;&gt;"",AVERAGEIFS(rag_report[answer_similarity],rag_report[qna_data.Classification],$A63)),NA())</f>
        <v>0</v>
      </c>
      <c r="F63" s="13" t="b">
        <f>IFERROR(IF($A63&lt;&gt;"",AVERAGEIFS(rag_report[context_precision],rag_report[qna_data.Classification],$A63)),NA())</f>
        <v>0</v>
      </c>
      <c r="G63" s="13" t="b">
        <f>IFERROR(IF($A63&lt;&gt;"",AVERAGEIFS(rag_report[context_utilization],rag_report[qna_data.Classification],$A63)),NA())</f>
        <v>0</v>
      </c>
      <c r="H63" s="13" t="b">
        <f>IFERROR(IF($A63&lt;&gt;"",AVERAGEIFS(rag_report[context_recall],rag_report[qna_data.Classification],$A63)),NA())</f>
        <v>0</v>
      </c>
      <c r="I63" s="13" t="b">
        <f>IFERROR(IF($A63&lt;&gt;"",AVERAGEIFS(rag_report[context_entity_recall],rag_report[qna_data.Classification],$A63)),NA())</f>
        <v>0</v>
      </c>
    </row>
    <row r="64" spans="1:11" x14ac:dyDescent="0.25">
      <c r="B64" s="5" t="str">
        <f>IF($A64&lt;&gt;"",AVERAGE(rag_report[faithfulness]),"")</f>
        <v/>
      </c>
    </row>
    <row r="65" spans="1:2" ht="15.75" thickBot="1" x14ac:dyDescent="0.3">
      <c r="A65" s="6" t="s">
        <v>24</v>
      </c>
      <c r="B65">
        <f>COUNTA('rag_report'!A:A)-1</f>
        <v>0</v>
      </c>
    </row>
    <row r="66" spans="1:2" ht="15.75" thickTop="1" x14ac:dyDescent="0.25"/>
  </sheetData>
  <mergeCells count="1">
    <mergeCell ref="C48:H4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5157-E780-404D-BB2A-0B0C3A4A833A}">
  <dimension ref="A1:E13"/>
  <sheetViews>
    <sheetView workbookViewId="0">
      <selection activeCell="E6" sqref="E6"/>
    </sheetView>
  </sheetViews>
  <sheetFormatPr defaultRowHeight="15" x14ac:dyDescent="0.25"/>
  <cols>
    <col min="1" max="1" width="20.140625" bestFit="1" customWidth="1"/>
    <col min="2" max="2" width="12.5703125" customWidth="1"/>
    <col min="3" max="3" width="10.85546875" customWidth="1"/>
    <col min="4" max="4" width="16.7109375" customWidth="1"/>
  </cols>
  <sheetData>
    <row r="1" spans="1:5" x14ac:dyDescent="0.25">
      <c r="A1" s="32" t="s">
        <v>58</v>
      </c>
      <c r="B1" s="33"/>
      <c r="C1" s="33"/>
      <c r="D1" s="33"/>
      <c r="E1" s="33"/>
    </row>
    <row r="2" spans="1:5" ht="119.25" customHeight="1" x14ac:dyDescent="0.25">
      <c r="A2" s="31" t="s">
        <v>61</v>
      </c>
      <c r="B2" s="31"/>
      <c r="C2" s="31"/>
      <c r="D2" s="31"/>
      <c r="E2" s="31"/>
    </row>
    <row r="5" spans="1:5" x14ac:dyDescent="0.25">
      <c r="A5" t="s">
        <v>23</v>
      </c>
      <c r="B5" t="s">
        <v>54</v>
      </c>
      <c r="C5" t="s">
        <v>51</v>
      </c>
      <c r="D5" t="s">
        <v>52</v>
      </c>
      <c r="E5" t="s">
        <v>55</v>
      </c>
    </row>
    <row r="6" spans="1:5" x14ac:dyDescent="0.25">
      <c r="A6" s="2" t="s">
        <v>17</v>
      </c>
      <c r="B6">
        <v>0.8</v>
      </c>
      <c r="C6">
        <v>0.7</v>
      </c>
      <c r="D6">
        <v>0.4</v>
      </c>
      <c r="E6">
        <v>0</v>
      </c>
    </row>
    <row r="7" spans="1:5" x14ac:dyDescent="0.25">
      <c r="A7" s="2" t="s">
        <v>18</v>
      </c>
      <c r="B7">
        <v>0.8</v>
      </c>
      <c r="C7">
        <v>0.7</v>
      </c>
      <c r="D7">
        <v>0.4</v>
      </c>
      <c r="E7">
        <v>0</v>
      </c>
    </row>
    <row r="8" spans="1:5" x14ac:dyDescent="0.25">
      <c r="A8" s="2" t="s">
        <v>19</v>
      </c>
      <c r="B8">
        <v>0.8</v>
      </c>
      <c r="C8">
        <v>0.7</v>
      </c>
      <c r="D8">
        <v>0.4</v>
      </c>
      <c r="E8">
        <v>0</v>
      </c>
    </row>
    <row r="9" spans="1:5" x14ac:dyDescent="0.25">
      <c r="A9" s="2" t="s">
        <v>20</v>
      </c>
      <c r="B9">
        <v>0.8</v>
      </c>
      <c r="C9">
        <v>0.7</v>
      </c>
      <c r="D9">
        <v>0.4</v>
      </c>
      <c r="E9">
        <v>0</v>
      </c>
    </row>
    <row r="10" spans="1:5" x14ac:dyDescent="0.25">
      <c r="A10" s="2" t="s">
        <v>21</v>
      </c>
      <c r="B10">
        <v>0.8</v>
      </c>
      <c r="C10">
        <v>0.7</v>
      </c>
      <c r="D10">
        <v>0.4</v>
      </c>
      <c r="E10">
        <v>0</v>
      </c>
    </row>
    <row r="11" spans="1:5" x14ac:dyDescent="0.25">
      <c r="A11" s="2" t="s">
        <v>22</v>
      </c>
      <c r="B11">
        <v>0.8</v>
      </c>
      <c r="C11">
        <v>0.7</v>
      </c>
      <c r="D11">
        <v>0.4</v>
      </c>
      <c r="E11">
        <v>0</v>
      </c>
    </row>
    <row r="12" spans="1:5" x14ac:dyDescent="0.25">
      <c r="A12" s="2" t="s">
        <v>56</v>
      </c>
      <c r="B12">
        <v>0.8</v>
      </c>
      <c r="C12">
        <v>0.7</v>
      </c>
      <c r="D12">
        <v>0.4</v>
      </c>
      <c r="E12">
        <v>0</v>
      </c>
    </row>
    <row r="13" spans="1:5" x14ac:dyDescent="0.25">
      <c r="A13" s="2" t="s">
        <v>57</v>
      </c>
      <c r="B13">
        <v>0.8</v>
      </c>
      <c r="C13">
        <v>0.7</v>
      </c>
      <c r="D13">
        <v>0.4</v>
      </c>
      <c r="E13">
        <v>0</v>
      </c>
    </row>
  </sheetData>
  <mergeCells count="2">
    <mergeCell ref="A2:E2"/>
    <mergeCell ref="A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FB4A-A1BA-4BD7-BC4E-424154FD14A5}">
  <dimension ref="A1:D9"/>
  <sheetViews>
    <sheetView workbookViewId="0">
      <selection activeCell="G5" sqref="G5"/>
    </sheetView>
  </sheetViews>
  <sheetFormatPr defaultRowHeight="15" x14ac:dyDescent="0.25"/>
  <cols>
    <col min="1" max="1" width="20.140625" bestFit="1" customWidth="1"/>
    <col min="2" max="2" width="52.28515625" customWidth="1"/>
    <col min="3" max="3" width="25.28515625" customWidth="1"/>
    <col min="4" max="4" width="21.85546875" customWidth="1"/>
  </cols>
  <sheetData>
    <row r="1" spans="1:4" x14ac:dyDescent="0.25">
      <c r="A1" t="s">
        <v>23</v>
      </c>
      <c r="B1" t="s">
        <v>25</v>
      </c>
      <c r="C1" t="s">
        <v>26</v>
      </c>
      <c r="D1" t="s">
        <v>36</v>
      </c>
    </row>
    <row r="2" spans="1:4" ht="30" x14ac:dyDescent="0.25">
      <c r="A2" s="2" t="s">
        <v>17</v>
      </c>
      <c r="B2" s="4" t="s">
        <v>29</v>
      </c>
      <c r="C2" s="2" t="s">
        <v>27</v>
      </c>
    </row>
    <row r="3" spans="1:4" ht="60" x14ac:dyDescent="0.25">
      <c r="A3" s="2" t="s">
        <v>18</v>
      </c>
      <c r="B3" s="4" t="s">
        <v>30</v>
      </c>
      <c r="C3" s="2" t="s">
        <v>27</v>
      </c>
      <c r="D3" s="4" t="s">
        <v>35</v>
      </c>
    </row>
    <row r="4" spans="1:4" ht="30" x14ac:dyDescent="0.25">
      <c r="A4" s="2" t="s">
        <v>19</v>
      </c>
      <c r="B4" s="4" t="s">
        <v>31</v>
      </c>
      <c r="C4" s="2" t="s">
        <v>28</v>
      </c>
    </row>
    <row r="5" spans="1:4" ht="45" x14ac:dyDescent="0.25">
      <c r="A5" s="2" t="s">
        <v>20</v>
      </c>
      <c r="B5" s="4" t="s">
        <v>32</v>
      </c>
      <c r="C5" s="2" t="s">
        <v>28</v>
      </c>
    </row>
    <row r="6" spans="1:4" ht="45" x14ac:dyDescent="0.25">
      <c r="A6" s="2" t="s">
        <v>21</v>
      </c>
      <c r="B6" s="4" t="s">
        <v>33</v>
      </c>
      <c r="C6" s="2" t="s">
        <v>28</v>
      </c>
    </row>
    <row r="7" spans="1:4" ht="30" x14ac:dyDescent="0.25">
      <c r="A7" s="2" t="s">
        <v>22</v>
      </c>
      <c r="B7" s="4" t="s">
        <v>34</v>
      </c>
      <c r="C7" s="2" t="s">
        <v>27</v>
      </c>
    </row>
    <row r="8" spans="1:4" ht="30" x14ac:dyDescent="0.25">
      <c r="A8" s="2" t="s">
        <v>56</v>
      </c>
      <c r="B8" s="4" t="s">
        <v>59</v>
      </c>
      <c r="C8" s="2" t="s">
        <v>28</v>
      </c>
    </row>
    <row r="9" spans="1:4" ht="30" x14ac:dyDescent="0.25">
      <c r="A9" s="2" t="s">
        <v>57</v>
      </c>
      <c r="B9" s="4" t="s">
        <v>60</v>
      </c>
      <c r="C9" s="2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FFA430-3D21-4715-9D4D-A72E6C64ED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rag_report</vt:lpstr>
      <vt:lpstr>conclusion</vt:lpstr>
      <vt:lpstr>insights</vt:lpstr>
      <vt:lpstr>metric_scale</vt:lpstr>
      <vt:lpstr>metric_definitions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Mithun VijayKumar Ghatge</cp:lastModifiedBy>
  <dcterms:created xsi:type="dcterms:W3CDTF">2025-01-09T13:01:29Z</dcterms:created>
  <dcterms:modified xsi:type="dcterms:W3CDTF">2025-03-31T06:38:32Z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2025-01-09T13:04:49Z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921455cb-b383-4c76-9a5b-261aef50bc49</vt:lpwstr>
  </property>
  <property fmtid="{D5CDD505-2E9C-101B-9397-08002B2CF9AE}" pid="8" name="MSIP_Label_a0819fa7-4367-4500-ba88-dd630d977609_ContentBits">
    <vt:lpwstr>0</vt:lpwstr>
  </property>
</Properties>
</file>