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Ing. Priscila\Documents\1.- Semestres Sistemas Computacionales\Servicio Social\Documentación servicio social\Lo que he entregado\"/>
    </mc:Choice>
  </mc:AlternateContent>
  <bookViews>
    <workbookView xWindow="0" yWindow="0" windowWidth="28800" windowHeight="14235" tabRatio="686"/>
  </bookViews>
  <sheets>
    <sheet name="Enero" sheetId="4" r:id="rId1"/>
    <sheet name="Febrero" sheetId="5" r:id="rId2"/>
    <sheet name="Marzo" sheetId="6" r:id="rId3"/>
    <sheet name="Abril" sheetId="7" r:id="rId4"/>
    <sheet name="Mayo" sheetId="8" r:id="rId5"/>
    <sheet name="Junio" sheetId="9" r:id="rId6"/>
    <sheet name="Julio" sheetId="10" r:id="rId7"/>
  </sheets>
  <definedNames>
    <definedName name="AñoCalendario">Enero!$AG$2</definedName>
    <definedName name="ClaveEnfermedad">Enero!$J$9</definedName>
    <definedName name="ClavePersonal">Enero!$F$9</definedName>
    <definedName name="ClavePersonalizada1">Enero!$N$9</definedName>
    <definedName name="ClavePersonalizada2">Enero!$R$9</definedName>
    <definedName name="ClaveVacaciones">Enero!#REF!</definedName>
    <definedName name="EtiquetaClaveEnfermedad">Enero!$K$9</definedName>
    <definedName name="EtiquetaClavePersonal">Enero!$G$9</definedName>
    <definedName name="EtiquetaClavePersonalizada1">Enero!$O$9</definedName>
    <definedName name="EtiquetaClavePersonalizada2">Enero!$S$9</definedName>
    <definedName name="EtiquetaClaveVacaciones">Enero!#REF!</definedName>
    <definedName name="NombreMes" localSheetId="3">Abril!$A$2</definedName>
    <definedName name="NombreMes" localSheetId="0">Enero!$A$2</definedName>
    <definedName name="NombreMes" localSheetId="1">Febrero!$A$2</definedName>
    <definedName name="NombreMes" localSheetId="6">Julio!$A$2</definedName>
    <definedName name="NombreMes" localSheetId="5">Junio!$A$2</definedName>
    <definedName name="NombreMes" localSheetId="2">Marzo!$A$2</definedName>
    <definedName name="NombreMes" localSheetId="4">Mayo!$A$2</definedName>
  </definedNames>
  <calcPr calcId="162913"/>
</workbook>
</file>

<file path=xl/calcChain.xml><?xml version="1.0" encoding="utf-8"?>
<calcChain xmlns="http://schemas.openxmlformats.org/spreadsheetml/2006/main">
  <c r="AG5" i="5" l="1"/>
  <c r="AF3" i="10" l="1"/>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AE3" i="9"/>
  <c r="AD3" i="9"/>
  <c r="AC3" i="9"/>
  <c r="AB3" i="9"/>
  <c r="AA3" i="9"/>
  <c r="Z3" i="9"/>
  <c r="Y3" i="9"/>
  <c r="X3" i="9"/>
  <c r="W3" i="9"/>
  <c r="V3" i="9"/>
  <c r="U3" i="9"/>
  <c r="T3" i="9"/>
  <c r="S3" i="9"/>
  <c r="R3" i="9"/>
  <c r="Q3" i="9"/>
  <c r="P3" i="9"/>
  <c r="O3" i="9"/>
  <c r="N3" i="9"/>
  <c r="M3" i="9"/>
  <c r="L3" i="9"/>
  <c r="K3" i="9"/>
  <c r="J3" i="9"/>
  <c r="I3" i="9"/>
  <c r="H3" i="9"/>
  <c r="G3" i="9"/>
  <c r="F3" i="9"/>
  <c r="E3" i="9"/>
  <c r="D3" i="9"/>
  <c r="C3" i="9"/>
  <c r="B3" i="9"/>
  <c r="AF3" i="8"/>
  <c r="AE3" i="8"/>
  <c r="AD3" i="8"/>
  <c r="AC3" i="8"/>
  <c r="AB3" i="8"/>
  <c r="AA3" i="8"/>
  <c r="Z3" i="8"/>
  <c r="Y3" i="8"/>
  <c r="X3" i="8"/>
  <c r="W3" i="8"/>
  <c r="V3" i="8"/>
  <c r="U3" i="8"/>
  <c r="T3" i="8"/>
  <c r="S3" i="8"/>
  <c r="R3" i="8"/>
  <c r="Q3" i="8"/>
  <c r="P3" i="8"/>
  <c r="O3" i="8"/>
  <c r="N3" i="8"/>
  <c r="M3" i="8"/>
  <c r="L3" i="8"/>
  <c r="K3" i="8"/>
  <c r="J3" i="8"/>
  <c r="I3" i="8"/>
  <c r="H3" i="8"/>
  <c r="G3" i="8"/>
  <c r="F3" i="8"/>
  <c r="E3" i="8"/>
  <c r="D3" i="8"/>
  <c r="C3" i="8"/>
  <c r="B3" i="8"/>
  <c r="AE3" i="7"/>
  <c r="AD3" i="7"/>
  <c r="AC3" i="7"/>
  <c r="AB3" i="7"/>
  <c r="AA3" i="7"/>
  <c r="Z3" i="7"/>
  <c r="Y3" i="7"/>
  <c r="X3" i="7"/>
  <c r="W3" i="7"/>
  <c r="V3" i="7"/>
  <c r="U3" i="7"/>
  <c r="T3" i="7"/>
  <c r="S3" i="7"/>
  <c r="R3" i="7"/>
  <c r="Q3" i="7"/>
  <c r="P3" i="7"/>
  <c r="O3" i="7"/>
  <c r="N3" i="7"/>
  <c r="M3" i="7"/>
  <c r="L3" i="7"/>
  <c r="K3" i="7"/>
  <c r="J3" i="7"/>
  <c r="I3" i="7"/>
  <c r="H3" i="7"/>
  <c r="G3" i="7"/>
  <c r="F3" i="7"/>
  <c r="E3" i="7"/>
  <c r="D3" i="7"/>
  <c r="C3" i="7"/>
  <c r="B3" i="7"/>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B3" i="6"/>
  <c r="AD3" i="5"/>
  <c r="AC3" i="5"/>
  <c r="AB3" i="5"/>
  <c r="AA3" i="5"/>
  <c r="Z3" i="5"/>
  <c r="Y3" i="5"/>
  <c r="X3" i="5"/>
  <c r="W3" i="5"/>
  <c r="V3" i="5"/>
  <c r="U3" i="5"/>
  <c r="T3" i="5"/>
  <c r="S3" i="5"/>
  <c r="R3" i="5"/>
  <c r="Q3" i="5"/>
  <c r="P3" i="5"/>
  <c r="O3" i="5"/>
  <c r="N3" i="5"/>
  <c r="M3" i="5"/>
  <c r="L3" i="5"/>
  <c r="K3" i="5"/>
  <c r="J3" i="5"/>
  <c r="I3" i="5"/>
  <c r="H3" i="5"/>
  <c r="G3" i="5"/>
  <c r="F3" i="5"/>
  <c r="E3" i="5"/>
  <c r="D3" i="5"/>
  <c r="C3" i="5"/>
  <c r="B3" i="5"/>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B3" i="4"/>
  <c r="A7" i="10" l="1"/>
  <c r="A7" i="9"/>
  <c r="A7" i="8"/>
  <c r="A7" i="7"/>
  <c r="A7" i="6"/>
  <c r="A7" i="5"/>
  <c r="A7" i="4"/>
  <c r="AD7" i="10" l="1"/>
  <c r="AC7" i="10"/>
  <c r="AB7" i="10"/>
  <c r="AA7" i="10"/>
  <c r="Z7" i="10"/>
  <c r="Y7" i="10"/>
  <c r="X7" i="10"/>
  <c r="W7" i="10"/>
  <c r="V7" i="10"/>
  <c r="U7" i="10"/>
  <c r="T7" i="10"/>
  <c r="S7" i="10"/>
  <c r="R7" i="10"/>
  <c r="Q7" i="10"/>
  <c r="P7" i="10"/>
  <c r="O7" i="10"/>
  <c r="N7" i="10"/>
  <c r="M7" i="10"/>
  <c r="L7" i="10"/>
  <c r="K7" i="10"/>
  <c r="J7" i="10"/>
  <c r="I7" i="10"/>
  <c r="H7" i="10"/>
  <c r="G7" i="10"/>
  <c r="F7" i="10"/>
  <c r="E7" i="10"/>
  <c r="D7" i="10"/>
  <c r="C7" i="10"/>
  <c r="B7" i="10"/>
  <c r="AG6" i="10"/>
  <c r="AG5" i="10"/>
  <c r="AG2" i="10"/>
  <c r="AD7" i="9"/>
  <c r="AC7" i="9"/>
  <c r="AB7" i="9"/>
  <c r="AA7" i="9"/>
  <c r="Z7" i="9"/>
  <c r="Y7" i="9"/>
  <c r="X7" i="9"/>
  <c r="W7" i="9"/>
  <c r="V7" i="9"/>
  <c r="U7" i="9"/>
  <c r="T7" i="9"/>
  <c r="S7" i="9"/>
  <c r="R7" i="9"/>
  <c r="Q7" i="9"/>
  <c r="P7" i="9"/>
  <c r="O7" i="9"/>
  <c r="N7" i="9"/>
  <c r="M7" i="9"/>
  <c r="L7" i="9"/>
  <c r="K7" i="9"/>
  <c r="J7" i="9"/>
  <c r="I7" i="9"/>
  <c r="H7" i="9"/>
  <c r="G7" i="9"/>
  <c r="F7" i="9"/>
  <c r="E7" i="9"/>
  <c r="D7" i="9"/>
  <c r="C7" i="9"/>
  <c r="B7" i="9"/>
  <c r="AG6" i="9"/>
  <c r="AG5" i="9"/>
  <c r="AG2" i="9"/>
  <c r="AD7" i="8"/>
  <c r="AC7" i="8"/>
  <c r="AB7" i="8"/>
  <c r="AA7" i="8"/>
  <c r="Z7" i="8"/>
  <c r="Y7" i="8"/>
  <c r="X7" i="8"/>
  <c r="W7" i="8"/>
  <c r="V7" i="8"/>
  <c r="U7" i="8"/>
  <c r="T7" i="8"/>
  <c r="S7" i="8"/>
  <c r="R7" i="8"/>
  <c r="Q7" i="8"/>
  <c r="P7" i="8"/>
  <c r="O7" i="8"/>
  <c r="N7" i="8"/>
  <c r="M7" i="8"/>
  <c r="L7" i="8"/>
  <c r="K7" i="8"/>
  <c r="J7" i="8"/>
  <c r="I7" i="8"/>
  <c r="H7" i="8"/>
  <c r="G7" i="8"/>
  <c r="E7" i="8"/>
  <c r="D7" i="8"/>
  <c r="C7" i="8"/>
  <c r="B7" i="8"/>
  <c r="AG6" i="8"/>
  <c r="AG5" i="8"/>
  <c r="AG2" i="8"/>
  <c r="AD7" i="7"/>
  <c r="AC7" i="7"/>
  <c r="AB7" i="7"/>
  <c r="AA7" i="7"/>
  <c r="Z7" i="7"/>
  <c r="Y7" i="7"/>
  <c r="X7" i="7"/>
  <c r="W7" i="7"/>
  <c r="V7" i="7"/>
  <c r="U7" i="7"/>
  <c r="T7" i="7"/>
  <c r="S7" i="7"/>
  <c r="R7" i="7"/>
  <c r="Q7" i="7"/>
  <c r="P7" i="7"/>
  <c r="O7" i="7"/>
  <c r="N7" i="7"/>
  <c r="M7" i="7"/>
  <c r="L7" i="7"/>
  <c r="K7" i="7"/>
  <c r="J7" i="7"/>
  <c r="I7" i="7"/>
  <c r="H7" i="7"/>
  <c r="G7" i="7"/>
  <c r="F7" i="7"/>
  <c r="E7" i="7"/>
  <c r="D7" i="7"/>
  <c r="C7" i="7"/>
  <c r="B7" i="7"/>
  <c r="AG6" i="7"/>
  <c r="AG5" i="7"/>
  <c r="AG2" i="7"/>
  <c r="AD7" i="6"/>
  <c r="AC7" i="6"/>
  <c r="AB7" i="6"/>
  <c r="AA7" i="6"/>
  <c r="Z7" i="6"/>
  <c r="Y7" i="6"/>
  <c r="X7" i="6"/>
  <c r="W7" i="6"/>
  <c r="V7" i="6"/>
  <c r="U7" i="6"/>
  <c r="T7" i="6"/>
  <c r="S7" i="6"/>
  <c r="R7" i="6"/>
  <c r="Q7" i="6"/>
  <c r="P7" i="6"/>
  <c r="O7" i="6"/>
  <c r="N7" i="6"/>
  <c r="M7" i="6"/>
  <c r="L7" i="6"/>
  <c r="K7" i="6"/>
  <c r="J7" i="6"/>
  <c r="I7" i="6"/>
  <c r="H7" i="6"/>
  <c r="G7" i="6"/>
  <c r="F7" i="6"/>
  <c r="E7" i="6"/>
  <c r="D7" i="6"/>
  <c r="C7" i="6"/>
  <c r="B7" i="6"/>
  <c r="AG6" i="6"/>
  <c r="AG5" i="6"/>
  <c r="AG2" i="6"/>
  <c r="AG7" i="6" l="1"/>
  <c r="AG7" i="9"/>
  <c r="AG7" i="10"/>
  <c r="AG7" i="7"/>
  <c r="AG7" i="8"/>
  <c r="AG2" i="5"/>
  <c r="AD7" i="5"/>
  <c r="AC7" i="5"/>
  <c r="AB7" i="5"/>
  <c r="AA7" i="5"/>
  <c r="Z7" i="5"/>
  <c r="Y7" i="5"/>
  <c r="X7" i="5"/>
  <c r="W7" i="5"/>
  <c r="V7" i="5"/>
  <c r="U7" i="5"/>
  <c r="T7" i="5"/>
  <c r="S7" i="5"/>
  <c r="R7" i="5"/>
  <c r="Q7" i="5"/>
  <c r="P7" i="5"/>
  <c r="O7" i="5"/>
  <c r="N7" i="5"/>
  <c r="M7" i="5"/>
  <c r="L7" i="5"/>
  <c r="K7" i="5"/>
  <c r="J7" i="5"/>
  <c r="I7" i="5"/>
  <c r="H7" i="5"/>
  <c r="G7" i="5"/>
  <c r="F7" i="5"/>
  <c r="E7" i="5"/>
  <c r="D7" i="5"/>
  <c r="C7" i="5"/>
  <c r="AG6" i="5"/>
  <c r="AG7" i="5" l="1"/>
  <c r="AG5" i="4"/>
  <c r="AG6" i="4"/>
  <c r="AF7" i="4" l="1"/>
  <c r="AE7" i="4"/>
  <c r="AD7" i="4"/>
  <c r="AC7" i="4"/>
  <c r="AB7" i="4"/>
  <c r="AA7" i="4"/>
  <c r="Z7" i="4"/>
  <c r="Y7" i="4"/>
  <c r="X7" i="4"/>
  <c r="W7" i="4"/>
  <c r="V7" i="4"/>
  <c r="U7" i="4"/>
  <c r="T7" i="4"/>
  <c r="S7" i="4"/>
  <c r="R7" i="4"/>
  <c r="Q7" i="4"/>
  <c r="P7" i="4"/>
  <c r="O7" i="4"/>
  <c r="N7" i="4"/>
  <c r="M7" i="4"/>
  <c r="L7" i="4"/>
  <c r="K7" i="4"/>
  <c r="J7" i="4"/>
  <c r="I7" i="4"/>
  <c r="H7" i="4"/>
  <c r="G7" i="4"/>
  <c r="F7" i="4"/>
  <c r="E7" i="4"/>
  <c r="D7" i="4"/>
  <c r="C7" i="4"/>
  <c r="B7" i="4"/>
  <c r="AG7" i="4"/>
</calcChain>
</file>

<file path=xl/sharedStrings.xml><?xml version="1.0" encoding="utf-8"?>
<sst xmlns="http://schemas.openxmlformats.org/spreadsheetml/2006/main" count="630" uniqueCount="64">
  <si>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</si>
  <si>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</si>
  <si>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</si>
  <si>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</si>
  <si>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</si>
  <si>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</si>
  <si>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</si>
  <si>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</si>
  <si>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</si>
  <si>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</si>
  <si>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</si>
  <si>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</si>
  <si>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</si>
  <si>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</si>
  <si>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</si>
  <si>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</si>
  <si>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</si>
  <si>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</si>
  <si>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</si>
  <si>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</si>
  <si>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</si>
  <si>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</si>
  <si>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</si>
  <si>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</si>
  <si>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</si>
  <si>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</si>
  <si>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</si>
  <si>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</si>
  <si>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</si>
  <si>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</si>
  <si>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Total de días</t>
  </si>
  <si>
    <t xml:space="preserve"> </t>
  </si>
  <si>
    <t xml:space="preserve">  </t>
  </si>
  <si>
    <t>Enero</t>
  </si>
  <si>
    <t>Clave de color</t>
  </si>
  <si>
    <t>Febrero</t>
  </si>
  <si>
    <t>Marzo</t>
  </si>
  <si>
    <t>Abril</t>
  </si>
  <si>
    <t>Mayo</t>
  </si>
  <si>
    <t>Junio</t>
  </si>
  <si>
    <t>Julio</t>
  </si>
  <si>
    <t>1</t>
  </si>
  <si>
    <t>Inicio</t>
  </si>
  <si>
    <t>Calendarización del proyecto del servicio social</t>
  </si>
  <si>
    <t>Nombre del estudiante:</t>
  </si>
  <si>
    <t>INV</t>
  </si>
  <si>
    <t>Investigacion</t>
  </si>
  <si>
    <t>ANA</t>
  </si>
  <si>
    <t>DIS</t>
  </si>
  <si>
    <t>PRO</t>
  </si>
  <si>
    <t>Analisis</t>
  </si>
  <si>
    <t>Diseño</t>
  </si>
  <si>
    <t>Programación</t>
  </si>
  <si>
    <t>PRU</t>
  </si>
  <si>
    <t>Pruebas</t>
  </si>
  <si>
    <t>DOC</t>
  </si>
  <si>
    <t>Documentación</t>
  </si>
  <si>
    <t>MAN</t>
  </si>
  <si>
    <t>Mantenimiento</t>
  </si>
  <si>
    <t>Daniel Gerardo Ortiz Garcia (12170655)</t>
  </si>
  <si>
    <t>Priscila Plaza Reyes (12170663)</t>
  </si>
  <si>
    <t>FIN</t>
  </si>
  <si>
    <t>nota vaciones 22 de marzo al 4 de abril</t>
  </si>
  <si>
    <t>Plataforma de comercio electrónico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</si>
</sst>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1"/>
      <color theme="1"/>
      <name val="Calibri"/>
      <family val="2"/>
      <scheme val="minor"/>
    </font>
    <font>
      <sz val="10"/>
      <name val="Century Gothic"/>
      <family val="2"/>
    </font>
    <font>
      <b/>
      <sz val="12"/>
      <name val="Arial"/>
      <family val="2"/>
    </font>
    <font>
      <b/>
      <sz val="10"/>
      <name val="Century Gothic"/>
      <family val="2"/>
    </font>
    <font>
      <sz val="9"/>
      <name val="Century Gothic"/>
      <family val="2"/>
    </font>
    <font>
      <b/>
      <sz val="13"/>
      <color theme="3"/>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b/>
      <sz val="12"/>
      <name val="Calibri"/>
      <family val="2"/>
      <scheme val="major"/>
    </font>
    <font>
      <b/>
      <sz val="26"/>
      <color theme="3"/>
      <name val="Calibri"/>
      <family val="2"/>
      <scheme val="major"/>
    </font>
    <font>
      <sz val="9"/>
      <name val="Calibri"/>
      <family val="2"/>
      <scheme val="minor"/>
    </font>
    <font>
      <sz val="18"/>
      <color theme="3"/>
      <name val="Calibri"/>
      <family val="2"/>
      <scheme val="minor"/>
    </font>
    <font>
      <sz val="11"/>
      <color theme="1"/>
      <name val="Calibri"/>
      <family val="2"/>
      <scheme val="major"/>
    </font>
    <font>
      <sz val="10"/>
      <name val="Calibri"/>
      <family val="2"/>
      <scheme val="major"/>
    </font>
    <font>
      <b/>
      <sz val="18"/>
      <color theme="4" tint="-0.249977111117893"/>
      <name val="Calibri"/>
      <family val="2"/>
      <scheme val="major"/>
    </font>
    <font>
      <b/>
      <sz val="16"/>
      <color theme="4" tint="-0.249977111117893"/>
      <name val="Calibri"/>
      <family val="2"/>
      <scheme val="major"/>
    </font>
    <font>
      <b/>
      <sz val="18"/>
      <color theme="4" tint="-0.249977111117893"/>
      <name val="Calibri"/>
      <family val="2"/>
      <scheme val="minor"/>
    </font>
    <font>
      <sz val="11"/>
      <color theme="0"/>
      <name val="Calibri"/>
      <family val="2"/>
      <scheme val="minor"/>
    </font>
    <font>
      <b/>
      <sz val="26"/>
      <color rgb="FFC00000"/>
      <name val="Calibri"/>
      <family val="2"/>
      <scheme val="major"/>
    </font>
    <font>
      <b/>
      <sz val="26"/>
      <color rgb="FFC00000"/>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3" tint="0.499984740745262"/>
        <bgColor indexed="64"/>
      </patternFill>
    </fill>
    <fill>
      <patternFill patternType="solid">
        <fgColor rgb="FF0070C0"/>
        <bgColor indexed="64"/>
      </patternFill>
    </fill>
    <fill>
      <patternFill patternType="solid">
        <fgColor rgb="FF7030A0"/>
        <bgColor indexed="64"/>
      </patternFill>
    </fill>
    <fill>
      <patternFill patternType="solid">
        <fgColor rgb="FF00B0F0"/>
        <bgColor indexed="64"/>
      </patternFill>
    </fill>
    <fill>
      <patternFill patternType="solid">
        <fgColor rgb="FFFF0000"/>
        <bgColor indexed="64"/>
      </patternFill>
    </fill>
  </fills>
  <borders count="4">
    <border>
      <left/>
      <right/>
      <top/>
      <bottom/>
      <diagonal/>
    </border>
    <border>
      <left style="thin">
        <color theme="0" tint="-0.24994659260841701"/>
      </left>
      <right style="thin">
        <color theme="0" tint="-0.24994659260841701"/>
      </right>
      <top/>
      <bottom/>
      <diagonal/>
    </border>
    <border>
      <left/>
      <right style="thin">
        <color theme="0" tint="-0.24994659260841701"/>
      </right>
      <top/>
      <bottom/>
      <diagonal/>
    </border>
    <border>
      <left style="thin">
        <color theme="0" tint="-0.24994659260841701"/>
      </left>
      <right/>
      <top/>
      <bottom/>
      <diagonal/>
    </border>
  </borders>
  <cellStyleXfs count="5">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4">
    <xf numFmtId="0" fontId="0" fillId="0" borderId="0" xfId="0"/>
    <xf numFmtId="0" fontId="1" fillId="0" borderId="0" xfId="0" applyFont="1" applyFill="1" applyAlignment="1">
      <alignment vertical="center"/>
    </xf>
    <xf numFmtId="0" fontId="1" fillId="0"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4" fillId="0" borderId="0" xfId="0" applyFont="1" applyAlignment="1">
      <alignment horizontal="center"/>
    </xf>
    <xf numFmtId="0" fontId="4" fillId="0" borderId="0" xfId="0" applyFont="1"/>
    <xf numFmtId="0" fontId="0" fillId="0" borderId="0"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164" fontId="0" fillId="0" borderId="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right" indent="2"/>
    </xf>
    <xf numFmtId="0" fontId="1" fillId="0" borderId="0" xfId="0" applyFont="1" applyAlignment="1">
      <alignment horizontal="center"/>
    </xf>
    <xf numFmtId="0" fontId="1" fillId="0" borderId="0" xfId="0" applyFont="1"/>
    <xf numFmtId="0" fontId="0" fillId="0" borderId="0" xfId="0" applyNumberFormat="1" applyFont="1" applyFill="1" applyBorder="1" applyAlignment="1">
      <alignment horizontal="center" vertical="center"/>
    </xf>
    <xf numFmtId="49" fontId="1" fillId="0" borderId="0" xfId="0" applyNumberFormat="1" applyFont="1"/>
    <xf numFmtId="0" fontId="0" fillId="0" borderId="0" xfId="0" applyBorder="1" applyAlignment="1">
      <alignment vertical="top"/>
    </xf>
    <xf numFmtId="0" fontId="1" fillId="0" borderId="0" xfId="0" applyFont="1" applyFill="1" applyAlignment="1">
      <alignment vertical="top"/>
    </xf>
    <xf numFmtId="0" fontId="2" fillId="0" borderId="0" xfId="0" applyFont="1" applyBorder="1" applyAlignment="1">
      <alignment vertical="top"/>
    </xf>
    <xf numFmtId="164" fontId="7" fillId="4" borderId="0" xfId="0" applyNumberFormat="1" applyFont="1" applyFill="1" applyBorder="1" applyAlignment="1">
      <alignment horizontal="center" vertical="center"/>
    </xf>
    <xf numFmtId="164" fontId="7" fillId="5" borderId="0" xfId="0" applyNumberFormat="1" applyFont="1" applyFill="1" applyBorder="1" applyAlignment="1">
      <alignment horizontal="center" vertical="center"/>
    </xf>
    <xf numFmtId="164" fontId="7" fillId="6" borderId="0" xfId="0" applyNumberFormat="1" applyFont="1" applyFill="1" applyBorder="1" applyAlignment="1">
      <alignment horizontal="center" vertical="center"/>
    </xf>
    <xf numFmtId="164" fontId="7" fillId="7" borderId="0" xfId="0" applyNumberFormat="1" applyFont="1" applyFill="1" applyBorder="1" applyAlignment="1">
      <alignment horizontal="center" vertical="center"/>
    </xf>
    <xf numFmtId="49" fontId="10" fillId="0" borderId="0" xfId="1" applyNumberFormat="1" applyFill="1" applyBorder="1" applyAlignment="1">
      <alignment vertical="top"/>
    </xf>
    <xf numFmtId="0" fontId="11" fillId="3" borderId="2" xfId="0" applyFont="1" applyFill="1" applyBorder="1" applyAlignment="1">
      <alignment horizontal="center"/>
    </xf>
    <xf numFmtId="0" fontId="11" fillId="3" borderId="1" xfId="0" applyFont="1" applyFill="1" applyBorder="1" applyAlignment="1">
      <alignment horizontal="center"/>
    </xf>
    <xf numFmtId="0" fontId="11" fillId="3" borderId="3" xfId="0" applyFont="1" applyFill="1" applyBorder="1" applyAlignment="1">
      <alignment horizontal="center"/>
    </xf>
    <xf numFmtId="0" fontId="13" fillId="0" borderId="0" xfId="0" applyFont="1" applyBorder="1" applyAlignment="1">
      <alignment vertical="top"/>
    </xf>
    <xf numFmtId="0" fontId="14" fillId="0" borderId="0" xfId="0" applyFont="1" applyFill="1" applyAlignment="1">
      <alignment vertical="top"/>
    </xf>
    <xf numFmtId="0" fontId="9" fillId="0" borderId="0" xfId="0" applyFont="1" applyBorder="1" applyAlignment="1">
      <alignment vertical="top"/>
    </xf>
    <xf numFmtId="0" fontId="13" fillId="0" borderId="0" xfId="0" applyFont="1"/>
    <xf numFmtId="0" fontId="14" fillId="0" borderId="0" xfId="0" applyFont="1" applyFill="1" applyAlignment="1">
      <alignment horizontal="center" vertical="center"/>
    </xf>
    <xf numFmtId="0" fontId="14" fillId="0" borderId="0" xfId="0" applyFont="1" applyFill="1" applyAlignment="1">
      <alignment vertical="center"/>
    </xf>
    <xf numFmtId="49" fontId="0" fillId="0" borderId="0" xfId="0" applyNumberFormat="1" applyFont="1" applyFill="1" applyBorder="1" applyAlignment="1">
      <alignment horizontal="left" vertical="center" indent="1"/>
    </xf>
    <xf numFmtId="0" fontId="0" fillId="0" borderId="0" xfId="0" applyFont="1" applyFill="1" applyBorder="1" applyAlignment="1">
      <alignment horizontal="left" vertical="center" indent="1"/>
    </xf>
    <xf numFmtId="164" fontId="0" fillId="8" borderId="0" xfId="0" applyNumberFormat="1" applyFont="1" applyFill="1" applyBorder="1" applyAlignment="1">
      <alignment horizontal="left" vertical="center"/>
    </xf>
    <xf numFmtId="0" fontId="1" fillId="8" borderId="0" xfId="0" applyFont="1" applyFill="1" applyAlignment="1">
      <alignment vertical="center"/>
    </xf>
    <xf numFmtId="164" fontId="0" fillId="8" borderId="0" xfId="0" applyNumberFormat="1" applyFont="1" applyFill="1" applyBorder="1" applyAlignment="1">
      <alignment horizontal="center" vertical="center"/>
    </xf>
    <xf numFmtId="164" fontId="8" fillId="9" borderId="0" xfId="0" applyNumberFormat="1" applyFont="1" applyFill="1" applyBorder="1" applyAlignment="1">
      <alignment vertical="center"/>
    </xf>
    <xf numFmtId="164" fontId="0" fillId="9" borderId="0" xfId="0" applyNumberFormat="1" applyFont="1" applyFill="1" applyBorder="1" applyAlignment="1">
      <alignment horizontal="center" vertical="center"/>
    </xf>
    <xf numFmtId="49" fontId="0" fillId="0" borderId="0" xfId="0" applyNumberFormat="1" applyFont="1" applyFill="1" applyBorder="1" applyAlignment="1">
      <alignment horizontal="left" vertical="center" wrapText="1" indent="2"/>
    </xf>
    <xf numFmtId="0" fontId="0" fillId="0" borderId="0" xfId="0" applyFont="1" applyFill="1" applyBorder="1" applyAlignment="1">
      <alignment horizontal="center" vertical="center"/>
    </xf>
    <xf numFmtId="164" fontId="7" fillId="12" borderId="0" xfId="0" applyNumberFormat="1" applyFont="1" applyFill="1" applyBorder="1" applyAlignment="1">
      <alignment horizontal="center" vertical="center"/>
    </xf>
    <xf numFmtId="164" fontId="7" fillId="10" borderId="0" xfId="0" applyNumberFormat="1" applyFont="1" applyFill="1" applyBorder="1" applyAlignment="1">
      <alignment horizontal="center" vertical="center"/>
    </xf>
    <xf numFmtId="164" fontId="7" fillId="13" borderId="0" xfId="0" applyNumberFormat="1" applyFont="1" applyFill="1" applyBorder="1" applyAlignment="1">
      <alignment horizontal="center" vertical="center"/>
    </xf>
    <xf numFmtId="49" fontId="10" fillId="0" borderId="0" xfId="1" applyNumberFormat="1" applyFont="1" applyFill="1" applyBorder="1" applyAlignment="1">
      <alignment horizontal="left"/>
    </xf>
    <xf numFmtId="0" fontId="19" fillId="0" borderId="0" xfId="0" applyFont="1" applyBorder="1" applyAlignment="1">
      <alignment vertical="center"/>
    </xf>
    <xf numFmtId="0" fontId="20" fillId="0" borderId="0" xfId="0" applyFont="1" applyBorder="1" applyAlignment="1">
      <alignment vertical="center"/>
    </xf>
    <xf numFmtId="0" fontId="0" fillId="14" borderId="0" xfId="0" applyFont="1" applyFill="1" applyBorder="1" applyAlignment="1">
      <alignment horizontal="center" vertical="center"/>
    </xf>
    <xf numFmtId="0" fontId="0" fillId="11" borderId="0" xfId="0" applyFont="1" applyFill="1" applyBorder="1" applyAlignment="1">
      <alignment horizontal="center" vertical="center"/>
    </xf>
    <xf numFmtId="0" fontId="18" fillId="12" borderId="0" xfId="0" applyFont="1" applyFill="1" applyBorder="1" applyAlignment="1">
      <alignment horizontal="center" vertical="center"/>
    </xf>
    <xf numFmtId="0" fontId="18" fillId="10" borderId="0" xfId="0" applyFont="1" applyFill="1" applyBorder="1" applyAlignment="1">
      <alignment horizontal="center" vertical="center"/>
    </xf>
    <xf numFmtId="0" fontId="0" fillId="0" borderId="0" xfId="0" applyFont="1" applyFill="1" applyBorder="1" applyAlignment="1">
      <alignment horizontal="center" vertical="center"/>
    </xf>
    <xf numFmtId="0" fontId="20" fillId="0" borderId="0" xfId="0" applyFont="1" applyBorder="1" applyAlignment="1">
      <alignment vertical="top"/>
    </xf>
    <xf numFmtId="0" fontId="0" fillId="13" borderId="0" xfId="0" applyFont="1" applyFill="1" applyBorder="1" applyAlignment="1">
      <alignment horizontal="center" vertical="center"/>
    </xf>
    <xf numFmtId="0" fontId="0" fillId="10" borderId="0" xfId="0" applyFont="1" applyFill="1" applyBorder="1" applyAlignment="1">
      <alignment horizontal="center" vertical="center"/>
    </xf>
    <xf numFmtId="0" fontId="16" fillId="2" borderId="0" xfId="0" applyFont="1" applyFill="1" applyBorder="1" applyAlignment="1">
      <alignment horizontal="center" vertical="center"/>
    </xf>
    <xf numFmtId="0" fontId="0" fillId="0" borderId="0" xfId="0" applyFont="1" applyFill="1" applyBorder="1" applyAlignment="1">
      <alignment horizontal="center" vertical="center"/>
    </xf>
    <xf numFmtId="17" fontId="15" fillId="2" borderId="0" xfId="0" applyNumberFormat="1" applyFont="1" applyFill="1" applyBorder="1" applyAlignment="1">
      <alignment horizontal="left" vertical="center" indent="1"/>
    </xf>
    <xf numFmtId="0" fontId="17" fillId="2" borderId="0" xfId="2" applyFont="1" applyFill="1" applyBorder="1" applyAlignment="1">
      <alignment horizontal="center" vertical="center"/>
    </xf>
    <xf numFmtId="49" fontId="1" fillId="0" borderId="0" xfId="0" applyNumberFormat="1" applyFont="1" applyAlignment="1">
      <alignment horizontal="center"/>
    </xf>
    <xf numFmtId="0" fontId="17" fillId="2" borderId="0" xfId="2" applyFont="1" applyFill="1" applyBorder="1" applyAlignment="1">
      <alignment horizontal="right" vertical="center" indent="1"/>
    </xf>
  </cellXfs>
  <cellStyles count="5">
    <cellStyle name="Encabezado 1" xfId="2" builtinId="16" customBuiltin="1"/>
    <cellStyle name="Normal" xfId="0" builtinId="0"/>
    <cellStyle name="Título" xfId="1" builtinId="15" customBuiltin="1"/>
    <cellStyle name="Título 2" xfId="3" builtinId="17" customBuiltin="1"/>
    <cellStyle name="Título 3" xfId="4" builtinId="18" customBuiltin="1"/>
  </cellStyles>
  <dxfs count="503">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00B0F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theme="3"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fill>
        <patternFill patternType="none">
          <fgColor indexed="64"/>
          <bgColor indexed="65"/>
        </patternFill>
      </fill>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val="0"/>
        <condense/>
        <extend/>
        <outline val="0"/>
        <shadow val="0"/>
        <u val="none"/>
        <vertAlign val="baseline"/>
        <sz val="11"/>
        <color theme="0"/>
        <name val="Calibri"/>
        <family val="2"/>
        <scheme val="minor"/>
      </font>
      <fill>
        <patternFill patternType="solid">
          <fgColor indexed="64"/>
          <bgColor rgb="FF7030A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solid">
          <fgColor indexed="64"/>
          <bgColor rgb="FFFF000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fill>
        <patternFill patternType="none">
          <fgColor indexed="64"/>
          <bgColor indexed="65"/>
        </patternFill>
      </fill>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fill>
        <patternFill patternType="none">
          <fgColor indexed="64"/>
          <bgColor indexed="65"/>
        </patternFill>
      </fill>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solid">
          <fgColor indexed="64"/>
          <bgColor rgb="FFFF000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fill>
        <patternFill patternType="none">
          <fgColor indexed="64"/>
          <bgColor indexed="65"/>
        </patternFill>
      </fill>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i/>
        <strike/>
        <condense/>
        <extend/>
        <outline/>
        <shadow/>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fill>
        <patternFill patternType="none">
          <fgColor indexed="64"/>
          <bgColor indexed="65"/>
        </patternFill>
      </fill>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border>
        <vertical/>
        <horizontal/>
      </border>
    </dxf>
    <dxf>
      <font>
        <color theme="3"/>
      </font>
      <border>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ill>
        <patternFill patternType="none">
          <bgColor auto="1"/>
        </patternFill>
      </fill>
      <border diagonalUp="0" diagonalDown="0">
        <left/>
        <right/>
        <top style="thin">
          <color theme="0" tint="-0.14996795556505021"/>
        </top>
        <bottom style="medium">
          <color theme="2" tint="-0.499984740745262"/>
        </bottom>
        <vertical/>
        <horizontal/>
      </border>
    </dxf>
    <dxf>
      <font>
        <color theme="1"/>
      </font>
      <fill>
        <patternFill patternType="none">
          <bgColor auto="1"/>
        </patternFill>
      </fill>
      <border diagonalUp="0" diagonalDown="0">
        <left/>
        <right/>
        <top style="thin">
          <color theme="0" tint="-0.14993743705557422"/>
        </top>
        <bottom style="thin">
          <color theme="0" tint="-0.14996795556505021"/>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2" tint="-0.24994659260841701"/>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4" tint="-0.249977111117893"/>
      </font>
      <border diagonalUp="0" diagonalDown="0">
        <left/>
        <right/>
        <top/>
        <bottom/>
        <vertical style="thin">
          <color theme="0"/>
        </vertical>
        <horizontal/>
      </border>
    </dxf>
  </dxfs>
  <tableStyles count="1" defaultTableStyle="TableStyleMedium2" defaultPivotStyle="PivotStyleLight16">
    <tableStyle name="Employee Absence Table" pivot="0" count="13">
      <tableStyleElement type="wholeTable" dxfId="502"/>
      <tableStyleElement type="headerRow" dxfId="501"/>
      <tableStyleElement type="totalRow" dxfId="500"/>
      <tableStyleElement type="firstColumn" dxfId="499"/>
      <tableStyleElement type="lastColumn" dxfId="498"/>
      <tableStyleElement type="firstRowStripe" dxfId="497"/>
      <tableStyleElement type="secondRowStripe" dxfId="496"/>
      <tableStyleElement type="firstColumnStripe" dxfId="495"/>
      <tableStyleElement type="secondColumnStripe" dxfId="494"/>
      <tableStyleElement type="firstHeaderCell" dxfId="493"/>
      <tableStyleElement type="lastHeaderCell" dxfId="492"/>
      <tableStyleElement type="firstTotalCell" dxfId="491"/>
      <tableStyleElement type="lastTotalCell" dxfId="4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0</xdr:colOff>
      <xdr:row>9</xdr:row>
      <xdr:rowOff>80961</xdr:rowOff>
    </xdr:from>
    <xdr:to>
      <xdr:col>33</xdr:col>
      <xdr:colOff>371475</xdr:colOff>
      <xdr:row>19</xdr:row>
      <xdr:rowOff>76201</xdr:rowOff>
    </xdr:to>
    <xdr:grpSp>
      <xdr:nvGrpSpPr>
        <xdr:cNvPr id="6" name="Uso del grupo Clave de color"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title="Uso del grupo Clave de color"/>
        <xdr:cNvGrpSpPr/>
      </xdr:nvGrpSpPr>
      <xdr:grpSpPr>
        <a:xfrm>
          <a:off x="2419350" y="2824161"/>
          <a:ext cx="9372600" cy="1900240"/>
          <a:chOff x="3629025" y="2986088"/>
          <a:chExt cx="6705600" cy="1810111"/>
        </a:xfrm>
      </xdr:grpSpPr>
      <xdr:sp macro="" textlink="">
        <xdr:nvSpPr>
          <xdr:cNvPr id="4" name="Texto de nota"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 title="Uso de la clave de color"/>
          <xdr:cNvSpPr txBox="1"/>
        </xdr:nvSpPr>
        <xdr:spPr>
          <a:xfrm>
            <a:off x="3629025" y="3629025"/>
            <a:ext cx="6705600" cy="116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tx2"/>
                </a:solidFill>
              </a:rPr>
              <a:t>Inicio</a:t>
            </a:r>
            <a:r>
              <a:rPr lang="en-US" sz="1000">
                <a:solidFill>
                  <a:schemeClr val="tx2"/>
                </a:solidFill>
              </a:rPr>
              <a:t>-&gt;</a:t>
            </a:r>
            <a:r>
              <a:rPr lang="en-US" sz="1000" baseline="0">
                <a:solidFill>
                  <a:schemeClr val="tx2"/>
                </a:solidFill>
              </a:rPr>
              <a:t> Fecha de Inicio del servicio social, se realizó una pequeña junta para acordar tiempos, asi como para definir el estado del arte necesario para empezar a realizar el proyecto </a:t>
            </a:r>
          </a:p>
          <a:p>
            <a:pPr algn="l"/>
            <a:r>
              <a:rPr lang="en-US" sz="1000" b="1" baseline="0">
                <a:solidFill>
                  <a:schemeClr val="tx2"/>
                </a:solidFill>
              </a:rPr>
              <a:t>INV</a:t>
            </a:r>
            <a:r>
              <a:rPr lang="en-US" sz="1000" baseline="0">
                <a:solidFill>
                  <a:schemeClr val="tx2"/>
                </a:solidFill>
              </a:rPr>
              <a:t>-&gt;Investigacion sobre los principales Frameworks de desarrollo web basados en PHP, incluyendo las ventajas y desventajas sobre otros frameworks. Investigación del patron de diseño basado en el modelo vista-controlador mvc.</a:t>
            </a:r>
            <a:endParaRPr lang="en-US" sz="1000">
              <a:solidFill>
                <a:schemeClr val="tx2"/>
              </a:solidFill>
            </a:endParaRPr>
          </a:p>
        </xdr:txBody>
      </xdr:sp>
      <xdr:sp macro="" textlink="">
        <xdr:nvSpPr>
          <xdr:cNvPr id="5" name="Llave de rótulo" title="Llave de nota de introducción de datos"/>
          <xdr:cNvSpPr/>
        </xdr:nvSpPr>
        <xdr:spPr>
          <a:xfrm rot="5400000">
            <a:off x="6648451" y="157161"/>
            <a:ext cx="609600" cy="6267453"/>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PrintsWithSheet="0"/>
  </xdr:twoCellAnchor>
  <xdr:twoCellAnchor>
    <xdr:from>
      <xdr:col>31</xdr:col>
      <xdr:colOff>200024</xdr:colOff>
      <xdr:row>0</xdr:row>
      <xdr:rowOff>609600</xdr:rowOff>
    </xdr:from>
    <xdr:to>
      <xdr:col>33</xdr:col>
      <xdr:colOff>36449</xdr:colOff>
      <xdr:row>1</xdr:row>
      <xdr:rowOff>171451</xdr:rowOff>
    </xdr:to>
    <xdr:sp macro="" textlink="">
      <xdr:nvSpPr>
        <xdr:cNvPr id="3" name="Nota de introducción de datos" descr="Especifique el año: escriba el año en la celda AG2" title="Sugerencia de entrada de datos"/>
        <xdr:cNvSpPr txBox="1"/>
      </xdr:nvSpPr>
      <xdr:spPr>
        <a:xfrm>
          <a:off x="9944099" y="609600"/>
          <a:ext cx="1008000"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accent1">
                  <a:lumMod val="75000"/>
                </a:schemeClr>
              </a:solidFill>
            </a:rPr>
            <a:t>Año:</a:t>
          </a:r>
        </a:p>
      </xdr:txBody>
    </xdr:sp>
    <xdr:clientData fPrintsWithSheet="0"/>
  </xdr:twoCellAnchor>
  <xdr:twoCellAnchor>
    <xdr:from>
      <xdr:col>32</xdr:col>
      <xdr:colOff>885826</xdr:colOff>
      <xdr:row>12</xdr:row>
      <xdr:rowOff>38100</xdr:rowOff>
    </xdr:from>
    <xdr:to>
      <xdr:col>35</xdr:col>
      <xdr:colOff>390525</xdr:colOff>
      <xdr:row>16</xdr:row>
      <xdr:rowOff>151020</xdr:rowOff>
    </xdr:to>
    <xdr:sp macro="" textlink="">
      <xdr:nvSpPr>
        <xdr:cNvPr id="8" name="CuadroTexto 7" descr="Para agregar un empleado nuevo, seleccione la celda Total de días para el último empleado y presione la tecla de tabulación. " title="Sugerencia"/>
        <xdr:cNvSpPr txBox="1"/>
      </xdr:nvSpPr>
      <xdr:spPr>
        <a:xfrm>
          <a:off x="11182351" y="3162300"/>
          <a:ext cx="1628774" cy="874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000">
            <a:solidFill>
              <a:schemeClr val="tx2"/>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9</xdr:row>
      <xdr:rowOff>66675</xdr:rowOff>
    </xdr:from>
    <xdr:to>
      <xdr:col>33</xdr:col>
      <xdr:colOff>495300</xdr:colOff>
      <xdr:row>19</xdr:row>
      <xdr:rowOff>61915</xdr:rowOff>
    </xdr:to>
    <xdr:grpSp>
      <xdr:nvGrpSpPr>
        <xdr:cNvPr id="2" name="Uso del grupo Clave de color"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title="Uso del grupo Clave de color"/>
        <xdr:cNvGrpSpPr/>
      </xdr:nvGrpSpPr>
      <xdr:grpSpPr>
        <a:xfrm>
          <a:off x="2419350" y="2809875"/>
          <a:ext cx="9372600" cy="1900240"/>
          <a:chOff x="3629025" y="2986088"/>
          <a:chExt cx="6705600" cy="1810111"/>
        </a:xfrm>
      </xdr:grpSpPr>
      <xdr:sp macro="" textlink="">
        <xdr:nvSpPr>
          <xdr:cNvPr id="3" name="Texto de nota"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 title="Uso de la clave de color"/>
          <xdr:cNvSpPr txBox="1"/>
        </xdr:nvSpPr>
        <xdr:spPr>
          <a:xfrm>
            <a:off x="3629025" y="3629025"/>
            <a:ext cx="6705600" cy="116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baseline="0">
                <a:solidFill>
                  <a:schemeClr val="tx2">
                    <a:lumMod val="75000"/>
                    <a:lumOff val="25000"/>
                  </a:schemeClr>
                </a:solidFill>
              </a:rPr>
              <a:t>ROJO-&gt; </a:t>
            </a:r>
            <a:r>
              <a:rPr lang="en-US" sz="1000" b="0" baseline="0">
                <a:solidFill>
                  <a:schemeClr val="tx2">
                    <a:lumMod val="75000"/>
                    <a:lumOff val="25000"/>
                  </a:schemeClr>
                </a:solidFill>
              </a:rPr>
              <a:t>Suspención oficial de labores</a:t>
            </a:r>
          </a:p>
          <a:p>
            <a:pPr algn="l"/>
            <a:r>
              <a:rPr lang="en-US" sz="1000" b="1" baseline="0">
                <a:solidFill>
                  <a:schemeClr val="tx2">
                    <a:lumMod val="75000"/>
                    <a:lumOff val="25000"/>
                  </a:schemeClr>
                </a:solidFill>
              </a:rPr>
              <a:t>INV</a:t>
            </a:r>
            <a:r>
              <a:rPr lang="en-US" sz="1000" baseline="0">
                <a:solidFill>
                  <a:schemeClr val="tx2">
                    <a:lumMod val="75000"/>
                    <a:lumOff val="25000"/>
                  </a:schemeClr>
                </a:solidFill>
              </a:rPr>
              <a:t>-&gt;Investigacion sobre los principales Frameworks de desarrollo web basados en PHP, incluyendo las ventajas y desventajas sobre otros frameworks. Investigación del patron de diseño basado en el modelo vista-controlador mvc.</a:t>
            </a:r>
          </a:p>
          <a:p>
            <a:pPr algn="l"/>
            <a:r>
              <a:rPr lang="en-US" sz="1000" b="1" baseline="0">
                <a:solidFill>
                  <a:schemeClr val="tx2">
                    <a:lumMod val="75000"/>
                    <a:lumOff val="25000"/>
                  </a:schemeClr>
                </a:solidFill>
              </a:rPr>
              <a:t>ANA</a:t>
            </a:r>
            <a:r>
              <a:rPr lang="en-US" sz="1000" baseline="0">
                <a:solidFill>
                  <a:schemeClr val="tx2">
                    <a:lumMod val="75000"/>
                    <a:lumOff val="25000"/>
                  </a:schemeClr>
                </a:solidFill>
              </a:rPr>
              <a:t>-&gt;Analisis de los Requisitos, en esta parte </a:t>
            </a:r>
            <a:r>
              <a:rPr lang="es-MX" sz="1000" b="0" i="0">
                <a:solidFill>
                  <a:schemeClr val="tx2">
                    <a:lumMod val="75000"/>
                    <a:lumOff val="25000"/>
                  </a:schemeClr>
                </a:solidFill>
                <a:effectLst/>
                <a:latin typeface="+mn-lt"/>
                <a:ea typeface="+mn-ea"/>
                <a:cs typeface="+mn-cs"/>
              </a:rPr>
              <a:t> se determinan que funciones que debe</a:t>
            </a:r>
            <a:r>
              <a:rPr lang="es-MX" sz="1000" b="0" i="0" baseline="0">
                <a:solidFill>
                  <a:schemeClr val="tx2">
                    <a:lumMod val="75000"/>
                    <a:lumOff val="25000"/>
                  </a:schemeClr>
                </a:solidFill>
                <a:effectLst/>
                <a:latin typeface="+mn-lt"/>
                <a:ea typeface="+mn-ea"/>
                <a:cs typeface="+mn-cs"/>
              </a:rPr>
              <a:t> cumplir el software. </a:t>
            </a:r>
            <a:endParaRPr lang="en-US" sz="1000">
              <a:solidFill>
                <a:schemeClr val="tx2">
                  <a:lumMod val="75000"/>
                  <a:lumOff val="25000"/>
                </a:schemeClr>
              </a:solidFill>
            </a:endParaRPr>
          </a:p>
        </xdr:txBody>
      </xdr:sp>
      <xdr:sp macro="" textlink="">
        <xdr:nvSpPr>
          <xdr:cNvPr id="4" name="Llave de rótulo" title="Llave de nota de introducción de datos"/>
          <xdr:cNvSpPr/>
        </xdr:nvSpPr>
        <xdr:spPr>
          <a:xfrm rot="5400000">
            <a:off x="6648451" y="157161"/>
            <a:ext cx="609600" cy="6267453"/>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9</xdr:row>
      <xdr:rowOff>57150</xdr:rowOff>
    </xdr:from>
    <xdr:to>
      <xdr:col>33</xdr:col>
      <xdr:colOff>371475</xdr:colOff>
      <xdr:row>19</xdr:row>
      <xdr:rowOff>52390</xdr:rowOff>
    </xdr:to>
    <xdr:grpSp>
      <xdr:nvGrpSpPr>
        <xdr:cNvPr id="2" name="Uso del grupo Clave de color"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title="Uso del grupo Clave de color"/>
        <xdr:cNvGrpSpPr/>
      </xdr:nvGrpSpPr>
      <xdr:grpSpPr>
        <a:xfrm>
          <a:off x="2409825" y="2800350"/>
          <a:ext cx="9467850" cy="1900240"/>
          <a:chOff x="3629025" y="2986088"/>
          <a:chExt cx="6705600" cy="1810111"/>
        </a:xfrm>
      </xdr:grpSpPr>
      <xdr:sp macro="" textlink="">
        <xdr:nvSpPr>
          <xdr:cNvPr id="3" name="Texto de nota"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 title="Uso de la clave de color"/>
          <xdr:cNvSpPr txBox="1"/>
        </xdr:nvSpPr>
        <xdr:spPr>
          <a:xfrm>
            <a:off x="3629025" y="3629025"/>
            <a:ext cx="6705600" cy="116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baseline="0">
                <a:solidFill>
                  <a:schemeClr val="tx2">
                    <a:lumMod val="75000"/>
                    <a:lumOff val="25000"/>
                  </a:schemeClr>
                </a:solidFill>
              </a:rPr>
              <a:t>ROJO-&gt; </a:t>
            </a:r>
            <a:r>
              <a:rPr lang="en-US" sz="1000" b="0" baseline="0">
                <a:solidFill>
                  <a:schemeClr val="tx2">
                    <a:lumMod val="75000"/>
                    <a:lumOff val="25000"/>
                  </a:schemeClr>
                </a:solidFill>
              </a:rPr>
              <a:t>Suspención oficial de labores.</a:t>
            </a:r>
          </a:p>
          <a:p>
            <a:pPr algn="l"/>
            <a:r>
              <a:rPr lang="en-US" sz="1000" b="1" baseline="0">
                <a:solidFill>
                  <a:schemeClr val="tx2">
                    <a:lumMod val="75000"/>
                    <a:lumOff val="25000"/>
                  </a:schemeClr>
                </a:solidFill>
              </a:rPr>
              <a:t>ANA</a:t>
            </a:r>
            <a:r>
              <a:rPr lang="en-US" sz="1000" baseline="0">
                <a:solidFill>
                  <a:schemeClr val="tx2">
                    <a:lumMod val="75000"/>
                    <a:lumOff val="25000"/>
                  </a:schemeClr>
                </a:solidFill>
              </a:rPr>
              <a:t>-&gt;Analisis de los Requisitos, en esta parte </a:t>
            </a:r>
            <a:r>
              <a:rPr lang="es-MX" sz="1000" b="0" i="0">
                <a:solidFill>
                  <a:schemeClr val="tx2">
                    <a:lumMod val="75000"/>
                    <a:lumOff val="25000"/>
                  </a:schemeClr>
                </a:solidFill>
                <a:effectLst/>
                <a:latin typeface="+mn-lt"/>
                <a:ea typeface="+mn-ea"/>
                <a:cs typeface="+mn-cs"/>
              </a:rPr>
              <a:t> se determinan que funciones que debe</a:t>
            </a:r>
            <a:r>
              <a:rPr lang="es-MX" sz="1000" b="0" i="0" baseline="0">
                <a:solidFill>
                  <a:schemeClr val="tx2">
                    <a:lumMod val="75000"/>
                    <a:lumOff val="25000"/>
                  </a:schemeClr>
                </a:solidFill>
                <a:effectLst/>
                <a:latin typeface="+mn-lt"/>
                <a:ea typeface="+mn-ea"/>
                <a:cs typeface="+mn-cs"/>
              </a:rPr>
              <a:t> cumplir el software. </a:t>
            </a:r>
          </a:p>
          <a:p>
            <a:r>
              <a:rPr lang="es-MX" sz="1000" b="1" i="0" baseline="0">
                <a:solidFill>
                  <a:schemeClr val="tx2">
                    <a:lumMod val="75000"/>
                    <a:lumOff val="25000"/>
                  </a:schemeClr>
                </a:solidFill>
                <a:effectLst/>
                <a:latin typeface="+mn-lt"/>
                <a:ea typeface="+mn-ea"/>
                <a:cs typeface="+mn-cs"/>
              </a:rPr>
              <a:t>DIS</a:t>
            </a:r>
            <a:r>
              <a:rPr lang="es-MX" sz="1000" b="0" i="0" baseline="0">
                <a:solidFill>
                  <a:schemeClr val="tx2">
                    <a:lumMod val="75000"/>
                    <a:lumOff val="25000"/>
                  </a:schemeClr>
                </a:solidFill>
                <a:effectLst/>
                <a:latin typeface="+mn-lt"/>
                <a:ea typeface="+mn-ea"/>
                <a:cs typeface="+mn-cs"/>
              </a:rPr>
              <a:t>-&gt;Diseño del software,</a:t>
            </a:r>
            <a:r>
              <a:rPr lang="es-MX" sz="1000" b="0" i="0" u="none">
                <a:solidFill>
                  <a:schemeClr val="tx2">
                    <a:lumMod val="75000"/>
                    <a:lumOff val="25000"/>
                  </a:schemeClr>
                </a:solidFill>
                <a:effectLst/>
                <a:latin typeface="+mn-lt"/>
                <a:ea typeface="+mn-ea"/>
                <a:cs typeface="+mn-cs"/>
              </a:rPr>
              <a:t> es la</a:t>
            </a:r>
            <a:r>
              <a:rPr lang="es-MX" sz="1000" b="0" i="0" u="none" baseline="0">
                <a:solidFill>
                  <a:schemeClr val="tx2">
                    <a:lumMod val="75000"/>
                    <a:lumOff val="25000"/>
                  </a:schemeClr>
                </a:solidFill>
                <a:effectLst/>
                <a:latin typeface="+mn-lt"/>
                <a:ea typeface="+mn-ea"/>
                <a:cs typeface="+mn-cs"/>
              </a:rPr>
              <a:t> </a:t>
            </a:r>
            <a:r>
              <a:rPr lang="es-MX" sz="1000" b="0" i="0" u="none">
                <a:solidFill>
                  <a:schemeClr val="tx2">
                    <a:lumMod val="75000"/>
                    <a:lumOff val="25000"/>
                  </a:schemeClr>
                </a:solidFill>
                <a:effectLst/>
                <a:latin typeface="+mn-lt"/>
                <a:ea typeface="+mn-ea"/>
                <a:cs typeface="+mn-cs"/>
              </a:rPr>
              <a:t>creacion de</a:t>
            </a:r>
            <a:r>
              <a:rPr lang="es-MX" sz="1000" b="0" i="0" u="none" baseline="0">
                <a:solidFill>
                  <a:schemeClr val="tx2">
                    <a:lumMod val="75000"/>
                    <a:lumOff val="25000"/>
                  </a:schemeClr>
                </a:solidFill>
                <a:effectLst/>
                <a:latin typeface="+mn-lt"/>
                <a:ea typeface="+mn-ea"/>
                <a:cs typeface="+mn-cs"/>
              </a:rPr>
              <a:t> prototipos</a:t>
            </a:r>
            <a:r>
              <a:rPr lang="es-MX" sz="1000" b="0" i="0" u="none">
                <a:solidFill>
                  <a:schemeClr val="tx2">
                    <a:lumMod val="75000"/>
                    <a:lumOff val="25000"/>
                  </a:schemeClr>
                </a:solidFill>
                <a:effectLst/>
                <a:latin typeface="+mn-lt"/>
                <a:ea typeface="+mn-ea"/>
                <a:cs typeface="+mn-cs"/>
              </a:rPr>
              <a:t> incluyendo</a:t>
            </a:r>
            <a:r>
              <a:rPr lang="es-MX" sz="1000" b="0" i="0" u="none" baseline="0">
                <a:solidFill>
                  <a:schemeClr val="tx2">
                    <a:lumMod val="75000"/>
                    <a:lumOff val="25000"/>
                  </a:schemeClr>
                </a:solidFill>
                <a:effectLst/>
                <a:latin typeface="+mn-lt"/>
                <a:ea typeface="+mn-ea"/>
                <a:cs typeface="+mn-cs"/>
              </a:rPr>
              <a:t> la facilidad de uso </a:t>
            </a:r>
            <a:r>
              <a:rPr lang="es-MX" sz="1000" b="0" i="0" u="none">
                <a:solidFill>
                  <a:schemeClr val="tx2">
                    <a:lumMod val="75000"/>
                    <a:lumOff val="25000"/>
                  </a:schemeClr>
                </a:solidFill>
                <a:effectLst/>
                <a:latin typeface="+mn-lt"/>
                <a:ea typeface="+mn-ea"/>
                <a:cs typeface="+mn-cs"/>
              </a:rPr>
              <a:t>del sistema,</a:t>
            </a:r>
            <a:r>
              <a:rPr lang="es-MX" sz="1000" b="0" i="0" u="none" baseline="0">
                <a:solidFill>
                  <a:schemeClr val="tx2">
                    <a:lumMod val="75000"/>
                    <a:lumOff val="25000"/>
                  </a:schemeClr>
                </a:solidFill>
                <a:effectLst/>
                <a:latin typeface="+mn-lt"/>
                <a:ea typeface="+mn-ea"/>
                <a:cs typeface="+mn-cs"/>
              </a:rPr>
              <a:t> u</a:t>
            </a:r>
            <a:r>
              <a:rPr lang="es-MX" sz="1000" b="0" i="0" u="none">
                <a:solidFill>
                  <a:schemeClr val="tx2">
                    <a:lumMod val="75000"/>
                    <a:lumOff val="25000"/>
                  </a:schemeClr>
                </a:solidFill>
                <a:effectLst/>
                <a:latin typeface="+mn-lt"/>
                <a:ea typeface="+mn-ea"/>
                <a:cs typeface="+mn-cs"/>
              </a:rPr>
              <a:t>na</a:t>
            </a:r>
            <a:r>
              <a:rPr lang="es-MX" sz="1000" b="0" i="0" u="none" baseline="0">
                <a:solidFill>
                  <a:schemeClr val="tx2">
                    <a:lumMod val="75000"/>
                    <a:lumOff val="25000"/>
                  </a:schemeClr>
                </a:solidFill>
                <a:effectLst/>
                <a:latin typeface="+mn-lt"/>
                <a:ea typeface="+mn-ea"/>
                <a:cs typeface="+mn-cs"/>
              </a:rPr>
              <a:t> </a:t>
            </a:r>
            <a:r>
              <a:rPr lang="es-MX" sz="1000" b="0" i="0" u="none">
                <a:solidFill>
                  <a:schemeClr val="tx2">
                    <a:lumMod val="75000"/>
                    <a:lumOff val="25000"/>
                  </a:schemeClr>
                </a:solidFill>
                <a:effectLst/>
                <a:latin typeface="+mn-lt"/>
                <a:ea typeface="+mn-ea"/>
                <a:cs typeface="+mn-cs"/>
              </a:rPr>
              <a:t>buena</a:t>
            </a:r>
            <a:r>
              <a:rPr lang="es-MX" sz="1000" b="0" i="0" u="none" baseline="0">
                <a:solidFill>
                  <a:schemeClr val="tx2">
                    <a:lumMod val="75000"/>
                    <a:lumOff val="25000"/>
                  </a:schemeClr>
                </a:solidFill>
                <a:effectLst/>
                <a:latin typeface="+mn-lt"/>
                <a:ea typeface="+mn-ea"/>
                <a:cs typeface="+mn-cs"/>
              </a:rPr>
              <a:t> interfaz </a:t>
            </a:r>
            <a:r>
              <a:rPr lang="es-MX" sz="1000" b="0" i="0" u="none">
                <a:solidFill>
                  <a:schemeClr val="tx2">
                    <a:lumMod val="75000"/>
                    <a:lumOff val="25000"/>
                  </a:schemeClr>
                </a:solidFill>
                <a:effectLst/>
                <a:latin typeface="+mn-lt"/>
                <a:ea typeface="+mn-ea"/>
                <a:cs typeface="+mn-cs"/>
              </a:rPr>
              <a:t>de usuario</a:t>
            </a:r>
            <a:r>
              <a:rPr lang="es-MX" sz="1000" b="0" i="0" u="none" baseline="0">
                <a:solidFill>
                  <a:schemeClr val="tx2">
                    <a:lumMod val="75000"/>
                    <a:lumOff val="25000"/>
                  </a:schemeClr>
                </a:solidFill>
                <a:effectLst/>
                <a:latin typeface="+mn-lt"/>
                <a:ea typeface="+mn-ea"/>
                <a:cs typeface="+mn-cs"/>
              </a:rPr>
              <a:t> y la funcionalidad de cada elemento.</a:t>
            </a:r>
          </a:p>
          <a:p>
            <a:r>
              <a:rPr lang="es-MX" sz="1000" b="1" i="0" u="none" baseline="0">
                <a:solidFill>
                  <a:schemeClr val="tx2">
                    <a:lumMod val="75000"/>
                    <a:lumOff val="25000"/>
                  </a:schemeClr>
                </a:solidFill>
                <a:effectLst/>
                <a:latin typeface="+mn-lt"/>
                <a:ea typeface="+mn-ea"/>
                <a:cs typeface="+mn-cs"/>
              </a:rPr>
              <a:t>PRO</a:t>
            </a:r>
            <a:r>
              <a:rPr lang="es-MX" sz="1000" b="0" i="0" u="none" baseline="0">
                <a:solidFill>
                  <a:schemeClr val="tx2">
                    <a:lumMod val="75000"/>
                    <a:lumOff val="25000"/>
                  </a:schemeClr>
                </a:solidFill>
                <a:effectLst/>
                <a:latin typeface="+mn-lt"/>
                <a:ea typeface="+mn-ea"/>
                <a:cs typeface="+mn-cs"/>
              </a:rPr>
              <a:t>-&gt;Programación del software, creacion del código fuente del sistema.</a:t>
            </a:r>
          </a:p>
        </xdr:txBody>
      </xdr:sp>
      <xdr:sp macro="" textlink="">
        <xdr:nvSpPr>
          <xdr:cNvPr id="4" name="Llave de rótulo" title="Llave de nota de introducción de datos"/>
          <xdr:cNvSpPr/>
        </xdr:nvSpPr>
        <xdr:spPr>
          <a:xfrm rot="5400000">
            <a:off x="6648451" y="157161"/>
            <a:ext cx="609600" cy="6267453"/>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3</xdr:col>
      <xdr:colOff>257175</xdr:colOff>
      <xdr:row>9</xdr:row>
      <xdr:rowOff>104775</xdr:rowOff>
    </xdr:from>
    <xdr:to>
      <xdr:col>33</xdr:col>
      <xdr:colOff>323850</xdr:colOff>
      <xdr:row>19</xdr:row>
      <xdr:rowOff>100015</xdr:rowOff>
    </xdr:to>
    <xdr:grpSp>
      <xdr:nvGrpSpPr>
        <xdr:cNvPr id="2" name="Uso del grupo Clave de color"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title="Uso del grupo Clave de color"/>
        <xdr:cNvGrpSpPr/>
      </xdr:nvGrpSpPr>
      <xdr:grpSpPr>
        <a:xfrm>
          <a:off x="2409825" y="2847975"/>
          <a:ext cx="9020175" cy="1900240"/>
          <a:chOff x="3629025" y="2986088"/>
          <a:chExt cx="6705600" cy="1810111"/>
        </a:xfrm>
      </xdr:grpSpPr>
      <xdr:sp macro="" textlink="">
        <xdr:nvSpPr>
          <xdr:cNvPr id="3" name="Texto de nota"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 title="Uso de la clave de color"/>
          <xdr:cNvSpPr txBox="1"/>
        </xdr:nvSpPr>
        <xdr:spPr>
          <a:xfrm>
            <a:off x="3629025" y="3629025"/>
            <a:ext cx="6705600" cy="116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1" i="0" u="none" baseline="0">
                <a:solidFill>
                  <a:schemeClr val="tx2">
                    <a:lumMod val="75000"/>
                    <a:lumOff val="25000"/>
                  </a:schemeClr>
                </a:solidFill>
                <a:effectLst/>
                <a:latin typeface="+mn-lt"/>
                <a:ea typeface="+mn-ea"/>
                <a:cs typeface="+mn-cs"/>
              </a:rPr>
              <a:t>PRO</a:t>
            </a:r>
            <a:r>
              <a:rPr lang="es-MX" sz="1000" b="0" i="0" u="none" baseline="0">
                <a:solidFill>
                  <a:schemeClr val="tx2">
                    <a:lumMod val="75000"/>
                    <a:lumOff val="25000"/>
                  </a:schemeClr>
                </a:solidFill>
                <a:effectLst/>
                <a:latin typeface="+mn-lt"/>
                <a:ea typeface="+mn-ea"/>
                <a:cs typeface="+mn-cs"/>
              </a:rPr>
              <a:t>-&gt;Programación del software, creacion del código fuente del sistema.</a:t>
            </a:r>
          </a:p>
        </xdr:txBody>
      </xdr:sp>
      <xdr:sp macro="" textlink="">
        <xdr:nvSpPr>
          <xdr:cNvPr id="4" name="Llave de rótulo" title="Llave de nota de introducción de datos"/>
          <xdr:cNvSpPr/>
        </xdr:nvSpPr>
        <xdr:spPr>
          <a:xfrm rot="5400000">
            <a:off x="6648451" y="157161"/>
            <a:ext cx="609600" cy="6267453"/>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PrintsWithSheet="0"/>
  </xdr:twoCellAnchor>
</xdr:wsDr>
</file>

<file path=xl/drawings/drawing5.xml><?xml version="1.0" encoding="utf-8"?>
<xdr:wsDr xmlns:xdr="http://schemas.openxmlformats.org/drawingml/2006/spreadsheetDrawing" xmlns:a="http://schemas.openxmlformats.org/drawingml/2006/main">
  <xdr:twoCellAnchor>
    <xdr:from>
      <xdr:col>3</xdr:col>
      <xdr:colOff>266699</xdr:colOff>
      <xdr:row>9</xdr:row>
      <xdr:rowOff>114300</xdr:rowOff>
    </xdr:from>
    <xdr:to>
      <xdr:col>33</xdr:col>
      <xdr:colOff>361949</xdr:colOff>
      <xdr:row>19</xdr:row>
      <xdr:rowOff>109540</xdr:rowOff>
    </xdr:to>
    <xdr:grpSp>
      <xdr:nvGrpSpPr>
        <xdr:cNvPr id="2" name="Uso del grupo Clave de color"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title="Uso del grupo Clave de color"/>
        <xdr:cNvGrpSpPr/>
      </xdr:nvGrpSpPr>
      <xdr:grpSpPr>
        <a:xfrm>
          <a:off x="2419349" y="2857500"/>
          <a:ext cx="9591675" cy="1900240"/>
          <a:chOff x="3629025" y="2986088"/>
          <a:chExt cx="6705600" cy="1810111"/>
        </a:xfrm>
      </xdr:grpSpPr>
      <xdr:sp macro="" textlink="">
        <xdr:nvSpPr>
          <xdr:cNvPr id="3" name="Texto de nota"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 title="Uso de la clave de color"/>
          <xdr:cNvSpPr txBox="1"/>
        </xdr:nvSpPr>
        <xdr:spPr>
          <a:xfrm>
            <a:off x="3629025" y="3629025"/>
            <a:ext cx="6705600" cy="116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baseline="0">
                <a:solidFill>
                  <a:schemeClr val="tx2">
                    <a:lumMod val="75000"/>
                    <a:lumOff val="25000"/>
                  </a:schemeClr>
                </a:solidFill>
              </a:rPr>
              <a:t>ROJO-&gt; </a:t>
            </a:r>
            <a:r>
              <a:rPr lang="en-US" sz="1000" b="0" baseline="0">
                <a:solidFill>
                  <a:schemeClr val="tx2">
                    <a:lumMod val="75000"/>
                    <a:lumOff val="25000"/>
                  </a:schemeClr>
                </a:solidFill>
              </a:rPr>
              <a:t>Suspención oficial de labores.</a:t>
            </a:r>
          </a:p>
          <a:p>
            <a:pPr algn="l"/>
            <a:r>
              <a:rPr lang="es-MX" sz="1000" b="1" i="0" u="none" baseline="0">
                <a:solidFill>
                  <a:schemeClr val="tx2">
                    <a:lumMod val="75000"/>
                    <a:lumOff val="25000"/>
                  </a:schemeClr>
                </a:solidFill>
                <a:effectLst/>
                <a:latin typeface="+mn-lt"/>
                <a:ea typeface="+mn-ea"/>
                <a:cs typeface="+mn-cs"/>
              </a:rPr>
              <a:t>PRO</a:t>
            </a:r>
            <a:r>
              <a:rPr lang="es-MX" sz="1000" b="0" i="0" u="none" baseline="0">
                <a:solidFill>
                  <a:schemeClr val="tx2">
                    <a:lumMod val="75000"/>
                    <a:lumOff val="25000"/>
                  </a:schemeClr>
                </a:solidFill>
                <a:effectLst/>
                <a:latin typeface="+mn-lt"/>
                <a:ea typeface="+mn-ea"/>
                <a:cs typeface="+mn-cs"/>
              </a:rPr>
              <a:t>-&gt;Programación del software, creacion del código fuente del sistema.</a:t>
            </a:r>
          </a:p>
          <a:p>
            <a:pPr algn="l"/>
            <a:r>
              <a:rPr lang="es-MX" sz="1000" b="1" i="0" u="none" baseline="0">
                <a:solidFill>
                  <a:schemeClr val="tx2">
                    <a:lumMod val="75000"/>
                    <a:lumOff val="25000"/>
                  </a:schemeClr>
                </a:solidFill>
                <a:effectLst/>
                <a:latin typeface="+mn-lt"/>
                <a:ea typeface="+mn-ea"/>
                <a:cs typeface="+mn-cs"/>
              </a:rPr>
              <a:t>PRU</a:t>
            </a:r>
            <a:r>
              <a:rPr lang="es-MX" sz="1000" b="0" i="0" u="none" baseline="0">
                <a:solidFill>
                  <a:schemeClr val="tx2">
                    <a:lumMod val="75000"/>
                    <a:lumOff val="25000"/>
                  </a:schemeClr>
                </a:solidFill>
                <a:effectLst/>
                <a:latin typeface="+mn-lt"/>
                <a:ea typeface="+mn-ea"/>
                <a:cs typeface="+mn-cs"/>
              </a:rPr>
              <a:t>-&gt;Pruebas del software, tipo caja blanca.</a:t>
            </a:r>
          </a:p>
        </xdr:txBody>
      </xdr:sp>
      <xdr:sp macro="" textlink="">
        <xdr:nvSpPr>
          <xdr:cNvPr id="4" name="Llave de rótulo" title="Llave de nota de introducción de datos"/>
          <xdr:cNvSpPr/>
        </xdr:nvSpPr>
        <xdr:spPr>
          <a:xfrm rot="5400000">
            <a:off x="6648451" y="157161"/>
            <a:ext cx="609600" cy="6267453"/>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257175</xdr:colOff>
      <xdr:row>9</xdr:row>
      <xdr:rowOff>104775</xdr:rowOff>
    </xdr:from>
    <xdr:to>
      <xdr:col>33</xdr:col>
      <xdr:colOff>323850</xdr:colOff>
      <xdr:row>19</xdr:row>
      <xdr:rowOff>100015</xdr:rowOff>
    </xdr:to>
    <xdr:grpSp>
      <xdr:nvGrpSpPr>
        <xdr:cNvPr id="2" name="Uso del grupo Clave de color"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title="Uso del grupo Clave de color"/>
        <xdr:cNvGrpSpPr/>
      </xdr:nvGrpSpPr>
      <xdr:grpSpPr>
        <a:xfrm>
          <a:off x="2409825" y="2847975"/>
          <a:ext cx="9467850" cy="1900240"/>
          <a:chOff x="3629025" y="2986088"/>
          <a:chExt cx="6705600" cy="1810111"/>
        </a:xfrm>
      </xdr:grpSpPr>
      <xdr:sp macro="" textlink="">
        <xdr:nvSpPr>
          <xdr:cNvPr id="3" name="Texto de nota"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 title="Uso de la clave de color"/>
          <xdr:cNvSpPr txBox="1"/>
        </xdr:nvSpPr>
        <xdr:spPr>
          <a:xfrm>
            <a:off x="3629025" y="3629025"/>
            <a:ext cx="6705600" cy="116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i="0" baseline="0">
                <a:solidFill>
                  <a:schemeClr val="accent2">
                    <a:lumMod val="75000"/>
                  </a:schemeClr>
                </a:solidFill>
                <a:effectLst/>
                <a:latin typeface="+mn-lt"/>
                <a:ea typeface="+mn-ea"/>
                <a:cs typeface="+mn-cs"/>
              </a:rPr>
              <a:t>PRU</a:t>
            </a:r>
            <a:r>
              <a:rPr lang="es-MX" sz="1100" b="0" i="0" baseline="0">
                <a:solidFill>
                  <a:schemeClr val="accent2">
                    <a:lumMod val="75000"/>
                  </a:schemeClr>
                </a:solidFill>
                <a:effectLst/>
                <a:latin typeface="+mn-lt"/>
                <a:ea typeface="+mn-ea"/>
                <a:cs typeface="+mn-cs"/>
              </a:rPr>
              <a:t>-&gt;Pruebas del software, tipo caja blanca.</a:t>
            </a:r>
            <a:endParaRPr lang="en-US" sz="1000" b="0" baseline="0">
              <a:solidFill>
                <a:schemeClr val="accent2">
                  <a:lumMod val="75000"/>
                </a:schemeClr>
              </a:solidFill>
            </a:endParaRPr>
          </a:p>
          <a:p>
            <a:pPr algn="l"/>
            <a:r>
              <a:rPr lang="es-MX" sz="1000" b="1" i="0" u="none" baseline="0">
                <a:solidFill>
                  <a:schemeClr val="tx2">
                    <a:lumMod val="75000"/>
                    <a:lumOff val="25000"/>
                  </a:schemeClr>
                </a:solidFill>
                <a:effectLst/>
                <a:latin typeface="+mn-lt"/>
                <a:ea typeface="+mn-ea"/>
                <a:cs typeface="+mn-cs"/>
              </a:rPr>
              <a:t>DOC</a:t>
            </a:r>
            <a:r>
              <a:rPr lang="es-MX" sz="1000" b="0" i="0" u="none" baseline="0">
                <a:solidFill>
                  <a:schemeClr val="tx2">
                    <a:lumMod val="75000"/>
                    <a:lumOff val="25000"/>
                  </a:schemeClr>
                </a:solidFill>
                <a:effectLst/>
                <a:latin typeface="+mn-lt"/>
                <a:ea typeface="+mn-ea"/>
                <a:cs typeface="+mn-cs"/>
              </a:rPr>
              <a:t>-&gt; Realizacion de la documentación </a:t>
            </a:r>
          </a:p>
        </xdr:txBody>
      </xdr:sp>
      <xdr:sp macro="" textlink="">
        <xdr:nvSpPr>
          <xdr:cNvPr id="4" name="Llave de rótulo" title="Llave de nota de introducción de datos"/>
          <xdr:cNvSpPr/>
        </xdr:nvSpPr>
        <xdr:spPr>
          <a:xfrm rot="5400000">
            <a:off x="6648451" y="157161"/>
            <a:ext cx="609600" cy="6267453"/>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PrintsWithSheet="0"/>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34</xdr:row>
      <xdr:rowOff>121858</xdr:rowOff>
    </xdr:from>
    <xdr:to>
      <xdr:col>180</xdr:col>
      <xdr:colOff>557757</xdr:colOff>
      <xdr:row>35</xdr:row>
      <xdr:rowOff>7852</xdr:rowOff>
    </xdr:to>
    <xdr:sp macro="" textlink="">
      <xdr:nvSpPr>
        <xdr:cNvPr id="2" name="Texto de nota"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 title="Uso de la clave de color"/>
        <xdr:cNvSpPr txBox="1"/>
      </xdr:nvSpPr>
      <xdr:spPr>
        <a:xfrm>
          <a:off x="0" y="7627558"/>
          <a:ext cx="101322732" cy="764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baseline="0">
              <a:solidFill>
                <a:schemeClr val="tx2">
                  <a:lumMod val="75000"/>
                  <a:lumOff val="25000"/>
                </a:schemeClr>
              </a:solidFill>
            </a:rPr>
            <a:t>ROJO-&gt; </a:t>
          </a:r>
          <a:r>
            <a:rPr lang="en-US" sz="1000" b="0" baseline="0">
              <a:solidFill>
                <a:schemeClr val="tx2">
                  <a:lumMod val="75000"/>
                  <a:lumOff val="25000"/>
                </a:schemeClr>
              </a:solidFill>
            </a:rPr>
            <a:t>Suspención oficial de labores.</a:t>
          </a:r>
        </a:p>
        <a:p>
          <a:r>
            <a:rPr lang="es-MX" sz="1100" b="1" i="0" baseline="0">
              <a:solidFill>
                <a:schemeClr val="accent2">
                  <a:lumMod val="75000"/>
                </a:schemeClr>
              </a:solidFill>
              <a:effectLst/>
              <a:latin typeface="+mn-lt"/>
              <a:ea typeface="+mn-ea"/>
              <a:cs typeface="+mn-cs"/>
            </a:rPr>
            <a:t>PRU</a:t>
          </a:r>
          <a:r>
            <a:rPr lang="es-MX" sz="1100" b="0" i="0" baseline="0">
              <a:solidFill>
                <a:schemeClr val="accent2">
                  <a:lumMod val="75000"/>
                </a:schemeClr>
              </a:solidFill>
              <a:effectLst/>
              <a:latin typeface="+mn-lt"/>
              <a:ea typeface="+mn-ea"/>
              <a:cs typeface="+mn-cs"/>
            </a:rPr>
            <a:t>-&gt;Pruebas del software, tipo caja blanca.</a:t>
          </a:r>
          <a:endParaRPr lang="en-US" sz="1000" b="0" baseline="0">
            <a:solidFill>
              <a:schemeClr val="accent2">
                <a:lumMod val="75000"/>
              </a:schemeClr>
            </a:solidFill>
          </a:endParaRPr>
        </a:p>
        <a:p>
          <a:pPr algn="l"/>
          <a:r>
            <a:rPr lang="es-MX" sz="1000" b="1" i="0" u="none" baseline="0">
              <a:solidFill>
                <a:schemeClr val="tx2">
                  <a:lumMod val="75000"/>
                  <a:lumOff val="25000"/>
                </a:schemeClr>
              </a:solidFill>
              <a:effectLst/>
              <a:latin typeface="+mn-lt"/>
              <a:ea typeface="+mn-ea"/>
              <a:cs typeface="+mn-cs"/>
            </a:rPr>
            <a:t>DOC</a:t>
          </a:r>
          <a:r>
            <a:rPr lang="es-MX" sz="1000" b="0" i="0" u="none" baseline="0">
              <a:solidFill>
                <a:schemeClr val="tx2">
                  <a:lumMod val="75000"/>
                  <a:lumOff val="25000"/>
                </a:schemeClr>
              </a:solidFill>
              <a:effectLst/>
              <a:latin typeface="+mn-lt"/>
              <a:ea typeface="+mn-ea"/>
              <a:cs typeface="+mn-cs"/>
            </a:rPr>
            <a:t>-&gt; Realizacion de la documentación </a:t>
          </a:r>
        </a:p>
        <a:p>
          <a:pPr algn="l"/>
          <a:r>
            <a:rPr lang="es-MX" sz="1000" b="1" i="0" u="none" baseline="0">
              <a:solidFill>
                <a:schemeClr val="tx2">
                  <a:lumMod val="75000"/>
                  <a:lumOff val="25000"/>
                </a:schemeClr>
              </a:solidFill>
              <a:effectLst/>
              <a:latin typeface="+mn-lt"/>
              <a:ea typeface="+mn-ea"/>
              <a:cs typeface="+mn-cs"/>
            </a:rPr>
            <a:t>FIN</a:t>
          </a:r>
          <a:r>
            <a:rPr lang="es-MX" sz="1000" b="0" i="0" u="none" baseline="0">
              <a:solidFill>
                <a:schemeClr val="tx2">
                  <a:lumMod val="75000"/>
                  <a:lumOff val="25000"/>
                </a:schemeClr>
              </a:solidFill>
              <a:effectLst/>
              <a:latin typeface="+mn-lt"/>
              <a:ea typeface="+mn-ea"/>
              <a:cs typeface="+mn-cs"/>
            </a:rPr>
            <a:t>-&gt; Fin del servicio social</a:t>
          </a:r>
        </a:p>
      </xdr:txBody>
    </xdr:sp>
    <xdr:clientData/>
  </xdr:twoCellAnchor>
  <xdr:twoCellAnchor>
    <xdr:from>
      <xdr:col>5</xdr:col>
      <xdr:colOff>9525</xdr:colOff>
      <xdr:row>9</xdr:row>
      <xdr:rowOff>104777</xdr:rowOff>
    </xdr:from>
    <xdr:to>
      <xdr:col>33</xdr:col>
      <xdr:colOff>19050</xdr:colOff>
      <xdr:row>12</xdr:row>
      <xdr:rowOff>85729</xdr:rowOff>
    </xdr:to>
    <xdr:sp macro="" textlink="">
      <xdr:nvSpPr>
        <xdr:cNvPr id="3" name="Llave de rótulo" title="Llave de nota de introducción de datos"/>
        <xdr:cNvSpPr/>
      </xdr:nvSpPr>
      <xdr:spPr>
        <a:xfrm rot="5400000">
          <a:off x="6657974" y="-1114422"/>
          <a:ext cx="552452" cy="8477250"/>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257175</xdr:colOff>
      <xdr:row>12</xdr:row>
      <xdr:rowOff>47625</xdr:rowOff>
    </xdr:from>
    <xdr:to>
      <xdr:col>34</xdr:col>
      <xdr:colOff>381000</xdr:colOff>
      <xdr:row>18</xdr:row>
      <xdr:rowOff>129915</xdr:rowOff>
    </xdr:to>
    <xdr:sp macro="" textlink="">
      <xdr:nvSpPr>
        <xdr:cNvPr id="4" name="Texto de nota" descr="Personalice los valores de la clave de colores de la hoja Prog. ausencia ene para que se ajuste a sus necesidades. Los cambios que realice se actualizarán automáticamente en toda la hoja de cálculo.  Para modificar los colores de clave, en la pestaña Diseño de página, en el grupo Temas, haga clic en Colores y seleccione otro conjunto de colores o haga clic en Crear nuevos colores del tema.  (Las notas de esta hoja de cálculo no se imprimen. Para eliminar cualquier nota de esta hoja de cálculo, selecciónela y presione la tecla Supr). " title="Uso de la clave de color"/>
        <xdr:cNvSpPr txBox="1"/>
      </xdr:nvSpPr>
      <xdr:spPr>
        <a:xfrm>
          <a:off x="2676525" y="3362325"/>
          <a:ext cx="9467850" cy="12252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000" b="1" i="0" u="none" baseline="0">
              <a:solidFill>
                <a:schemeClr val="tx2">
                  <a:lumMod val="75000"/>
                  <a:lumOff val="25000"/>
                </a:schemeClr>
              </a:solidFill>
              <a:effectLst/>
              <a:latin typeface="+mn-lt"/>
              <a:ea typeface="+mn-ea"/>
              <a:cs typeface="+mn-cs"/>
            </a:rPr>
            <a:t>DOC</a:t>
          </a:r>
          <a:r>
            <a:rPr lang="es-MX" sz="1000" b="0" i="0" u="none" baseline="0">
              <a:solidFill>
                <a:schemeClr val="tx2">
                  <a:lumMod val="75000"/>
                  <a:lumOff val="25000"/>
                </a:schemeClr>
              </a:solidFill>
              <a:effectLst/>
              <a:latin typeface="+mn-lt"/>
              <a:ea typeface="+mn-ea"/>
              <a:cs typeface="+mn-cs"/>
            </a:rPr>
            <a:t>-&gt; Realizacion de la documentación </a:t>
          </a:r>
        </a:p>
        <a:p>
          <a:pPr algn="l"/>
          <a:r>
            <a:rPr lang="es-MX" sz="1000" b="1" i="0" u="none" baseline="0">
              <a:solidFill>
                <a:schemeClr val="tx2">
                  <a:lumMod val="75000"/>
                  <a:lumOff val="25000"/>
                </a:schemeClr>
              </a:solidFill>
              <a:effectLst/>
              <a:latin typeface="+mn-lt"/>
              <a:ea typeface="+mn-ea"/>
              <a:cs typeface="+mn-cs"/>
            </a:rPr>
            <a:t>MAN</a:t>
          </a:r>
          <a:r>
            <a:rPr lang="es-MX" sz="1000" b="0" i="0" u="none" baseline="0">
              <a:solidFill>
                <a:schemeClr val="tx2">
                  <a:lumMod val="75000"/>
                  <a:lumOff val="25000"/>
                </a:schemeClr>
              </a:solidFill>
              <a:effectLst/>
              <a:latin typeface="+mn-lt"/>
              <a:ea typeface="+mn-ea"/>
              <a:cs typeface="+mn-cs"/>
            </a:rPr>
            <a:t>-&gt;Mantenimiento del sistema</a:t>
          </a:r>
        </a:p>
        <a:p>
          <a:pPr algn="l"/>
          <a:r>
            <a:rPr lang="es-MX" sz="1000" b="1" i="0" u="none" baseline="0">
              <a:solidFill>
                <a:schemeClr val="tx2">
                  <a:lumMod val="75000"/>
                  <a:lumOff val="25000"/>
                </a:schemeClr>
              </a:solidFill>
              <a:effectLst/>
              <a:latin typeface="+mn-lt"/>
              <a:ea typeface="+mn-ea"/>
              <a:cs typeface="+mn-cs"/>
            </a:rPr>
            <a:t>FIN</a:t>
          </a:r>
          <a:r>
            <a:rPr lang="es-MX" sz="1000" b="0" i="0" u="none" baseline="0">
              <a:solidFill>
                <a:schemeClr val="tx2">
                  <a:lumMod val="75000"/>
                  <a:lumOff val="25000"/>
                </a:schemeClr>
              </a:solidFill>
              <a:effectLst/>
              <a:latin typeface="+mn-lt"/>
              <a:ea typeface="+mn-ea"/>
              <a:cs typeface="+mn-cs"/>
            </a:rPr>
            <a:t>-&gt; Fin del servicio social</a:t>
          </a:r>
        </a:p>
      </xdr:txBody>
    </xdr:sp>
    <xdr:clientData/>
  </xdr:twoCellAnchor>
</xdr:wsDr>
</file>

<file path=xl/tables/table1.xml><?xml version="1.0" encoding="utf-8"?>
<table xmlns="http://schemas.openxmlformats.org/spreadsheetml/2006/main" id="3" name="tblEnero" displayName="tblEnero" ref="A4:AG7" totalsRowCount="1">
  <tableColumns count="33">
    <tableColumn id="1" name="Nombre del estudiante:" totalsRowFunction="custom" dataDxfId="484" totalsRowDxfId="483">
      <totalsRowFormula>NombreMes&amp;" Total"</totalsRowFormula>
    </tableColumn>
    <tableColumn id="2" name="1" totalsRowFunction="count" dataDxfId="482" totalsRowDxfId="481"/>
    <tableColumn id="3" name="2" totalsRowFunction="count" dataDxfId="480" totalsRowDxfId="479"/>
    <tableColumn id="4" name="3" totalsRowFunction="count" dataDxfId="478" totalsRowDxfId="477"/>
    <tableColumn id="5" name="4" totalsRowFunction="count" dataDxfId="476" totalsRowDxfId="475"/>
    <tableColumn id="6" name="5" totalsRowFunction="count" dataDxfId="474" totalsRowDxfId="473"/>
    <tableColumn id="7" name="6" totalsRowFunction="count" dataDxfId="472" totalsRowDxfId="471"/>
    <tableColumn id="8" name="7" totalsRowFunction="count" dataDxfId="470" totalsRowDxfId="469"/>
    <tableColumn id="9" name="8" totalsRowFunction="count" dataDxfId="468" totalsRowDxfId="467"/>
    <tableColumn id="10" name="9" totalsRowFunction="count" dataDxfId="466" totalsRowDxfId="465"/>
    <tableColumn id="11" name="10" totalsRowFunction="count" dataDxfId="464" totalsRowDxfId="463"/>
    <tableColumn id="12" name="11" totalsRowFunction="count" dataDxfId="462" totalsRowDxfId="461"/>
    <tableColumn id="13" name="12" totalsRowFunction="count" dataDxfId="460" totalsRowDxfId="459"/>
    <tableColumn id="14" name="13" totalsRowFunction="count" dataDxfId="458" totalsRowDxfId="457"/>
    <tableColumn id="15" name="14" totalsRowFunction="count" dataDxfId="456" totalsRowDxfId="455"/>
    <tableColumn id="16" name="15" totalsRowFunction="count" dataDxfId="454" totalsRowDxfId="453"/>
    <tableColumn id="17" name="16" totalsRowFunction="count" dataDxfId="452" totalsRowDxfId="451"/>
    <tableColumn id="18" name="17" totalsRowFunction="count" dataDxfId="450" totalsRowDxfId="449"/>
    <tableColumn id="19" name="18" totalsRowFunction="count" dataDxfId="448" totalsRowDxfId="447"/>
    <tableColumn id="20" name="19" totalsRowFunction="count" dataDxfId="446" totalsRowDxfId="445"/>
    <tableColumn id="21" name="20" totalsRowFunction="count" dataDxfId="444" totalsRowDxfId="443"/>
    <tableColumn id="22" name="21" totalsRowFunction="count" dataDxfId="442" totalsRowDxfId="441"/>
    <tableColumn id="23" name="22" totalsRowFunction="count" dataDxfId="440" totalsRowDxfId="439"/>
    <tableColumn id="24" name="23" totalsRowFunction="count" dataDxfId="438" totalsRowDxfId="437"/>
    <tableColumn id="25" name="24" totalsRowFunction="count" dataDxfId="436" totalsRowDxfId="435"/>
    <tableColumn id="26" name="25" totalsRowFunction="count" dataDxfId="434" totalsRowDxfId="433"/>
    <tableColumn id="27" name="26" totalsRowFunction="count" dataDxfId="432" totalsRowDxfId="431"/>
    <tableColumn id="28" name="27" totalsRowFunction="count" dataDxfId="430" totalsRowDxfId="429"/>
    <tableColumn id="29" name="28" totalsRowFunction="count" dataDxfId="428" totalsRowDxfId="427"/>
    <tableColumn id="30" name="29" totalsRowFunction="count" dataDxfId="426" totalsRowDxfId="425"/>
    <tableColumn id="31" name="30" totalsRowFunction="count" dataDxfId="424" totalsRowDxfId="423"/>
    <tableColumn id="32" name="31" totalsRowFunction="count" dataDxfId="422" totalsRowDxfId="421"/>
    <tableColumn id="33" name="Total de días" totalsRowFunction="sum" totalsRowDxfId="420">
      <calculatedColumnFormula>COUNTA(tblEnero[[#This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Programación de ausencias de empleados para el mes de enero" altTextSummary="Proporciona una lista de nombres y fechas para registrar las ausencias de los empleados, así como el tipo de ausencia como, por ejemplo, V=Vacaciones, E=Enfermedad, P=Personal, junto con dos marcadores de posición más para entradas personalizadas."/>
    </ext>
  </extLst>
</table>
</file>

<file path=xl/tables/table2.xml><?xml version="1.0" encoding="utf-8"?>
<table xmlns="http://schemas.openxmlformats.org/spreadsheetml/2006/main" id="2" name="tblFebrero" displayName="tblFebrero" ref="A4:AG7" totalsRowCount="1">
  <tableColumns count="33">
    <tableColumn id="1" name="Nombre del estudiante:" totalsRowFunction="custom" dataDxfId="412" totalsRowDxfId="411">
      <totalsRowFormula>NombreMes&amp;" Total"</totalsRowFormula>
    </tableColumn>
    <tableColumn id="2" name="1" dataDxfId="410"/>
    <tableColumn id="3" name="2" totalsRowFunction="count" dataDxfId="409" totalsRowDxfId="408"/>
    <tableColumn id="4" name="3" totalsRowFunction="count" dataDxfId="407" totalsRowDxfId="406"/>
    <tableColumn id="5" name="4" totalsRowFunction="count" dataDxfId="405" totalsRowDxfId="404"/>
    <tableColumn id="6" name="5" totalsRowFunction="count" dataDxfId="403" totalsRowDxfId="402"/>
    <tableColumn id="7" name="6" totalsRowFunction="count" dataDxfId="401" totalsRowDxfId="400"/>
    <tableColumn id="8" name="7" totalsRowFunction="count" dataDxfId="399" totalsRowDxfId="398"/>
    <tableColumn id="9" name="8" totalsRowFunction="count" dataDxfId="397" totalsRowDxfId="396"/>
    <tableColumn id="10" name="9" totalsRowFunction="count" dataDxfId="395" totalsRowDxfId="394"/>
    <tableColumn id="11" name="10" totalsRowFunction="count" dataDxfId="393" totalsRowDxfId="392"/>
    <tableColumn id="12" name="11" totalsRowFunction="count" dataDxfId="391" totalsRowDxfId="390"/>
    <tableColumn id="13" name="12" totalsRowFunction="count" dataDxfId="389" totalsRowDxfId="388"/>
    <tableColumn id="14" name="13" totalsRowFunction="count" dataDxfId="387" totalsRowDxfId="386"/>
    <tableColumn id="15" name="14" totalsRowFunction="count" dataDxfId="385" totalsRowDxfId="384"/>
    <tableColumn id="16" name="15" totalsRowFunction="count" dataDxfId="383" totalsRowDxfId="382"/>
    <tableColumn id="17" name="16" totalsRowFunction="count" dataDxfId="381" totalsRowDxfId="380"/>
    <tableColumn id="18" name="17" totalsRowFunction="count" dataDxfId="379" totalsRowDxfId="378"/>
    <tableColumn id="19" name="18" totalsRowFunction="count" dataDxfId="377" totalsRowDxfId="376"/>
    <tableColumn id="20" name="19" totalsRowFunction="count" dataDxfId="375" totalsRowDxfId="374"/>
    <tableColumn id="21" name="20" totalsRowFunction="count" dataDxfId="373" totalsRowDxfId="372"/>
    <tableColumn id="22" name="21" totalsRowFunction="count" dataDxfId="371" totalsRowDxfId="370"/>
    <tableColumn id="23" name="22" totalsRowFunction="count" dataDxfId="369" totalsRowDxfId="368"/>
    <tableColumn id="24" name="23" totalsRowFunction="count" dataDxfId="367" totalsRowDxfId="366"/>
    <tableColumn id="25" name="24" totalsRowFunction="count" dataDxfId="365" totalsRowDxfId="364"/>
    <tableColumn id="26" name="25" totalsRowFunction="count" dataDxfId="363" totalsRowDxfId="362"/>
    <tableColumn id="27" name="26" totalsRowFunction="count" dataDxfId="361" totalsRowDxfId="360"/>
    <tableColumn id="28" name="27" totalsRowFunction="count" dataDxfId="359" totalsRowDxfId="358"/>
    <tableColumn id="29" name="28" totalsRowFunction="count" dataDxfId="357" totalsRowDxfId="356"/>
    <tableColumn id="30" name="29" totalsRowFunction="count" dataDxfId="355" totalsRowDxfId="354"/>
    <tableColumn id="31" name=" " dataDxfId="353" totalsRowDxfId="352"/>
    <tableColumn id="32" name="  " dataDxfId="351" totalsRowDxfId="350"/>
    <tableColumn id="33" name="Total de días" totalsRowFunction="sum" totalsRowDxfId="349">
      <calculatedColumnFormula>COUNTA(tblFebrero[[#This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Programación de ausencias de empleados para el mes de febrero" altTextSummary="Proporciona una lista de nombres y fechas para registrar las ausencias de los empleados, así como el tipo de ausencia como, por ejemplo, V=Vacaciones, E=Enfermedad, P=Personal, junto con dos marcadores de posición más para entradas personalizadas."/>
    </ext>
  </extLst>
</table>
</file>

<file path=xl/tables/table3.xml><?xml version="1.0" encoding="utf-8"?>
<table xmlns="http://schemas.openxmlformats.org/spreadsheetml/2006/main" id="1" name="tblMarzo" displayName="tblMarzo" ref="A4:AG7" totalsRowCount="1">
  <tableColumns count="33">
    <tableColumn id="1" name="Nombre del estudiante:" totalsRowFunction="custom" dataDxfId="343" totalsRowDxfId="342">
      <totalsRowFormula>NombreMes&amp;" Total"</totalsRowFormula>
    </tableColumn>
    <tableColumn id="2" name="1" totalsRowFunction="count" dataDxfId="341" totalsRowDxfId="340"/>
    <tableColumn id="3" name="2" totalsRowFunction="count" dataDxfId="339" totalsRowDxfId="338"/>
    <tableColumn id="4" name="3" totalsRowFunction="count" dataDxfId="337" totalsRowDxfId="336"/>
    <tableColumn id="5" name="4" totalsRowFunction="count" dataDxfId="335" totalsRowDxfId="334"/>
    <tableColumn id="6" name="5" totalsRowFunction="count" dataDxfId="333" totalsRowDxfId="332"/>
    <tableColumn id="7" name="6" totalsRowFunction="count" dataDxfId="331" totalsRowDxfId="330"/>
    <tableColumn id="8" name="7" totalsRowFunction="count" dataDxfId="329" totalsRowDxfId="328"/>
    <tableColumn id="9" name="8" totalsRowFunction="count" dataDxfId="327" totalsRowDxfId="326"/>
    <tableColumn id="10" name="9" totalsRowFunction="count" dataDxfId="325" totalsRowDxfId="324"/>
    <tableColumn id="11" name="10" totalsRowFunction="count" dataDxfId="323" totalsRowDxfId="322"/>
    <tableColumn id="12" name="11" totalsRowFunction="count" dataDxfId="321" totalsRowDxfId="320"/>
    <tableColumn id="13" name="12" totalsRowFunction="count" dataDxfId="319" totalsRowDxfId="318"/>
    <tableColumn id="14" name="13" totalsRowFunction="count" dataDxfId="317" totalsRowDxfId="316"/>
    <tableColumn id="15" name="14" totalsRowFunction="count" dataDxfId="315" totalsRowDxfId="314"/>
    <tableColumn id="16" name="15" totalsRowFunction="count" dataDxfId="313" totalsRowDxfId="312"/>
    <tableColumn id="17" name="16" totalsRowFunction="count" dataDxfId="311" totalsRowDxfId="310"/>
    <tableColumn id="18" name="17" totalsRowFunction="count" dataDxfId="309" totalsRowDxfId="308"/>
    <tableColumn id="19" name="18" totalsRowFunction="count" dataDxfId="307" totalsRowDxfId="306"/>
    <tableColumn id="20" name="19" totalsRowFunction="count" dataDxfId="305" totalsRowDxfId="304"/>
    <tableColumn id="21" name="20" totalsRowFunction="count" dataDxfId="303" totalsRowDxfId="302"/>
    <tableColumn id="22" name="21" totalsRowFunction="count" dataDxfId="301" totalsRowDxfId="300"/>
    <tableColumn id="23" name="22" totalsRowFunction="count" dataDxfId="299" totalsRowDxfId="298"/>
    <tableColumn id="24" name="23" totalsRowFunction="count" dataDxfId="297" totalsRowDxfId="296"/>
    <tableColumn id="25" name="24" totalsRowFunction="count" dataDxfId="295" totalsRowDxfId="294"/>
    <tableColumn id="26" name="25" totalsRowFunction="count" dataDxfId="293" totalsRowDxfId="292"/>
    <tableColumn id="27" name="26" totalsRowFunction="count" dataDxfId="291" totalsRowDxfId="290"/>
    <tableColumn id="28" name="27" totalsRowFunction="count" dataDxfId="289" totalsRowDxfId="288"/>
    <tableColumn id="29" name="28" totalsRowFunction="count" dataDxfId="287" totalsRowDxfId="286"/>
    <tableColumn id="30" name="29" totalsRowFunction="count" dataDxfId="285" totalsRowDxfId="284"/>
    <tableColumn id="31" name="30" dataDxfId="283" totalsRowDxfId="282"/>
    <tableColumn id="32" name="31" dataDxfId="281" totalsRowDxfId="280"/>
    <tableColumn id="33" name="Total de días" totalsRowFunction="sum" totalsRowDxfId="279">
      <calculatedColumnFormula>COUNTA(tblMarzo[[#This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Programación de ausencias de empleados para el mes de marzo" altTextSummary="Proporciona una lista de nombres y fechas para registrar las ausencias de los empleados, así como el tipo de ausencia como, por ejemplo, V=Vacaciones, E=Enfermedad, P=Personal, junto con dos marcadores de posición más para entradas personalizadas."/>
    </ext>
  </extLst>
</table>
</file>

<file path=xl/tables/table4.xml><?xml version="1.0" encoding="utf-8"?>
<table xmlns="http://schemas.openxmlformats.org/spreadsheetml/2006/main" id="4" name="tblAbril" displayName="tblAbril" ref="A4:AG7" totalsRowCount="1">
  <tableColumns count="33">
    <tableColumn id="1" name="Nombre del estudiante:" totalsRowFunction="custom" dataDxfId="273" totalsRowDxfId="272">
      <totalsRowFormula>NombreMes&amp;" Total"</totalsRowFormula>
    </tableColumn>
    <tableColumn id="2" name="1" totalsRowFunction="count" dataDxfId="271" totalsRowDxfId="270"/>
    <tableColumn id="3" name="2" totalsRowFunction="count" dataDxfId="269" totalsRowDxfId="268"/>
    <tableColumn id="4" name="3" totalsRowFunction="count" dataDxfId="267" totalsRowDxfId="266"/>
    <tableColumn id="5" name="4" totalsRowFunction="count" dataDxfId="265" totalsRowDxfId="264"/>
    <tableColumn id="6" name="5" totalsRowFunction="count" dataDxfId="263" totalsRowDxfId="262"/>
    <tableColumn id="7" name="6" totalsRowFunction="count" dataDxfId="261" totalsRowDxfId="260"/>
    <tableColumn id="8" name="7" totalsRowFunction="count" dataDxfId="259" totalsRowDxfId="258"/>
    <tableColumn id="9" name="8" totalsRowFunction="count" dataDxfId="257" totalsRowDxfId="256"/>
    <tableColumn id="10" name="9" totalsRowFunction="count" dataDxfId="255" totalsRowDxfId="254"/>
    <tableColumn id="11" name="10" totalsRowFunction="count" dataDxfId="253" totalsRowDxfId="252"/>
    <tableColumn id="12" name="11" totalsRowFunction="count" dataDxfId="251" totalsRowDxfId="250"/>
    <tableColumn id="13" name="12" totalsRowFunction="count" dataDxfId="249" totalsRowDxfId="248"/>
    <tableColumn id="14" name="13" totalsRowFunction="count" dataDxfId="247" totalsRowDxfId="246"/>
    <tableColumn id="15" name="14" totalsRowFunction="count" dataDxfId="245" totalsRowDxfId="244"/>
    <tableColumn id="16" name="15" totalsRowFunction="count" dataDxfId="243" totalsRowDxfId="242"/>
    <tableColumn id="17" name="16" totalsRowFunction="count" dataDxfId="241" totalsRowDxfId="240"/>
    <tableColumn id="18" name="17" totalsRowFunction="count" dataDxfId="239" totalsRowDxfId="238"/>
    <tableColumn id="19" name="18" totalsRowFunction="count" dataDxfId="237" totalsRowDxfId="236"/>
    <tableColumn id="20" name="19" totalsRowFunction="count" dataDxfId="235" totalsRowDxfId="234"/>
    <tableColumn id="21" name="20" totalsRowFunction="count" dataDxfId="233" totalsRowDxfId="232"/>
    <tableColumn id="22" name="21" totalsRowFunction="count" dataDxfId="231" totalsRowDxfId="230"/>
    <tableColumn id="23" name="22" totalsRowFunction="count" dataDxfId="229" totalsRowDxfId="228"/>
    <tableColumn id="24" name="23" totalsRowFunction="count" dataDxfId="227" totalsRowDxfId="226"/>
    <tableColumn id="25" name="24" totalsRowFunction="count" dataDxfId="225" totalsRowDxfId="224"/>
    <tableColumn id="26" name="25" totalsRowFunction="count" dataDxfId="223" totalsRowDxfId="222"/>
    <tableColumn id="27" name="26" totalsRowFunction="count" dataDxfId="221" totalsRowDxfId="220"/>
    <tableColumn id="28" name="27" totalsRowFunction="count" dataDxfId="219" totalsRowDxfId="218"/>
    <tableColumn id="29" name="28" totalsRowFunction="count" dataDxfId="217" totalsRowDxfId="216"/>
    <tableColumn id="30" name="29" totalsRowFunction="count" dataDxfId="215" totalsRowDxfId="214"/>
    <tableColumn id="31" name="30" dataDxfId="213" totalsRowDxfId="212"/>
    <tableColumn id="32" name=" " dataDxfId="211" totalsRowDxfId="210"/>
    <tableColumn id="33" name="Total de días" totalsRowFunction="sum" totalsRowDxfId="209">
      <calculatedColumnFormula>COUNTA(tblAbril[[#This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Programación de ausencias de empleados para el mes de abril" altTextSummary="Proporciona una lista de nombres y fechas para registrar las ausencias de los empleados, así como el tipo de ausencia como, por ejemplo, V=Vacaciones, E=Enfermedad, P=Personal, junto con dos marcadores de posición más para entradas personalizadas."/>
    </ext>
  </extLst>
</table>
</file>

<file path=xl/tables/table5.xml><?xml version="1.0" encoding="utf-8"?>
<table xmlns="http://schemas.openxmlformats.org/spreadsheetml/2006/main" id="5" name="tblMayo" displayName="tblMayo" ref="A4:AG7" totalsRowCount="1">
  <tableColumns count="33">
    <tableColumn id="1" name="Nombre del estudiante:" totalsRowFunction="custom" dataDxfId="203" totalsRowDxfId="202">
      <totalsRowFormula>NombreMes&amp;" Total"</totalsRowFormula>
    </tableColumn>
    <tableColumn id="2" name="1" totalsRowFunction="count" dataDxfId="201" totalsRowDxfId="200"/>
    <tableColumn id="3" name="2" totalsRowFunction="count" dataDxfId="199" totalsRowDxfId="198"/>
    <tableColumn id="4" name="3" totalsRowFunction="count" dataDxfId="197" totalsRowDxfId="196"/>
    <tableColumn id="5" name="4" totalsRowFunction="count" dataDxfId="195" totalsRowDxfId="194"/>
    <tableColumn id="6" name="5" dataDxfId="193"/>
    <tableColumn id="7" name="6" totalsRowFunction="count" dataDxfId="192" totalsRowDxfId="191"/>
    <tableColumn id="8" name="7" totalsRowFunction="count" dataDxfId="190" totalsRowDxfId="189"/>
    <tableColumn id="9" name="8" totalsRowFunction="count" dataDxfId="188" totalsRowDxfId="187"/>
    <tableColumn id="10" name="9" totalsRowFunction="count" dataDxfId="186" totalsRowDxfId="185"/>
    <tableColumn id="11" name="10" totalsRowFunction="count" dataDxfId="184" totalsRowDxfId="183"/>
    <tableColumn id="12" name="11" totalsRowFunction="count" dataDxfId="182" totalsRowDxfId="181"/>
    <tableColumn id="13" name="12" totalsRowFunction="count" dataDxfId="180" totalsRowDxfId="179"/>
    <tableColumn id="14" name="13" totalsRowFunction="count" dataDxfId="178" totalsRowDxfId="177"/>
    <tableColumn id="15" name="14" totalsRowFunction="count" dataDxfId="176" totalsRowDxfId="175"/>
    <tableColumn id="16" name="15" totalsRowFunction="count" dataDxfId="174" totalsRowDxfId="173"/>
    <tableColumn id="17" name="16" totalsRowFunction="count" dataDxfId="172" totalsRowDxfId="171"/>
    <tableColumn id="18" name="17" totalsRowFunction="count" dataDxfId="170" totalsRowDxfId="169"/>
    <tableColumn id="19" name="18" totalsRowFunction="count" dataDxfId="168" totalsRowDxfId="167"/>
    <tableColumn id="20" name="19" totalsRowFunction="count" dataDxfId="166" totalsRowDxfId="165"/>
    <tableColumn id="21" name="20" totalsRowFunction="count" dataDxfId="164" totalsRowDxfId="163"/>
    <tableColumn id="22" name="21" totalsRowFunction="count" dataDxfId="162" totalsRowDxfId="161"/>
    <tableColumn id="23" name="22" totalsRowFunction="count" dataDxfId="160" totalsRowDxfId="159"/>
    <tableColumn id="24" name="23" totalsRowFunction="count" dataDxfId="158" totalsRowDxfId="157"/>
    <tableColumn id="25" name="24" totalsRowFunction="count" dataDxfId="156" totalsRowDxfId="155"/>
    <tableColumn id="26" name="25" totalsRowFunction="count" dataDxfId="154" totalsRowDxfId="153"/>
    <tableColumn id="27" name="26" totalsRowFunction="count" dataDxfId="152" totalsRowDxfId="151"/>
    <tableColumn id="28" name="27" totalsRowFunction="count" dataDxfId="150" totalsRowDxfId="149"/>
    <tableColumn id="29" name="28" totalsRowFunction="count" dataDxfId="148" totalsRowDxfId="147"/>
    <tableColumn id="30" name="29" totalsRowFunction="count" dataDxfId="146" totalsRowDxfId="145"/>
    <tableColumn id="31" name="30" totalsRowLabel="2" dataDxfId="144" totalsRowDxfId="143"/>
    <tableColumn id="32" name="31" totalsRowLabel="2" dataDxfId="142" totalsRowDxfId="141"/>
    <tableColumn id="33" name="Total de días" totalsRowFunction="sum" totalsRowDxfId="140">
      <calculatedColumnFormula>COUNTA(tblMayo[[#This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Programación de ausencias de empleados para el mes de mayo" altTextSummary="Proporciona una lista de nombres y fechas para registrar las ausencias de los empleados, así como el tipo de ausencia como, por ejemplo, V=Vacaciones, E=Enfermedad, P=Personal, junto con dos marcadores de posición más para entradas personalizadas."/>
    </ext>
  </extLst>
</table>
</file>

<file path=xl/tables/table6.xml><?xml version="1.0" encoding="utf-8"?>
<table xmlns="http://schemas.openxmlformats.org/spreadsheetml/2006/main" id="6" name="tblJunio" displayName="tblJunio" ref="A4:AG7" totalsRowCount="1">
  <tableColumns count="33">
    <tableColumn id="1" name="Nombre del estudiante:" totalsRowFunction="custom" dataDxfId="134" totalsRowDxfId="133">
      <totalsRowFormula>NombreMes&amp;" Total"</totalsRowFormula>
    </tableColumn>
    <tableColumn id="2" name="1" totalsRowFunction="count" dataDxfId="132" totalsRowDxfId="131"/>
    <tableColumn id="3" name="2" totalsRowFunction="count" dataDxfId="130" totalsRowDxfId="129"/>
    <tableColumn id="4" name="3" totalsRowFunction="count" dataDxfId="128" totalsRowDxfId="127"/>
    <tableColumn id="5" name="4" totalsRowFunction="count" dataDxfId="126" totalsRowDxfId="125"/>
    <tableColumn id="6" name="5" totalsRowFunction="count" dataDxfId="124" totalsRowDxfId="123"/>
    <tableColumn id="7" name="6" totalsRowFunction="count" dataDxfId="122" totalsRowDxfId="121"/>
    <tableColumn id="8" name="7" totalsRowFunction="count" dataDxfId="120" totalsRowDxfId="119"/>
    <tableColumn id="9" name="8" totalsRowFunction="count" dataDxfId="118" totalsRowDxfId="117"/>
    <tableColumn id="10" name="9" totalsRowFunction="count" dataDxfId="116" totalsRowDxfId="115"/>
    <tableColumn id="11" name="10" totalsRowFunction="count" dataDxfId="114" totalsRowDxfId="113"/>
    <tableColumn id="12" name="11" totalsRowFunction="count" dataDxfId="112" totalsRowDxfId="111"/>
    <tableColumn id="13" name="12" totalsRowFunction="count" dataDxfId="110" totalsRowDxfId="109"/>
    <tableColumn id="14" name="13" totalsRowFunction="count" dataDxfId="108" totalsRowDxfId="107"/>
    <tableColumn id="15" name="14" totalsRowFunction="count" dataDxfId="106" totalsRowDxfId="105"/>
    <tableColumn id="16" name="15" totalsRowFunction="count" dataDxfId="104" totalsRowDxfId="103"/>
    <tableColumn id="17" name="16" totalsRowFunction="count" dataDxfId="102" totalsRowDxfId="101"/>
    <tableColumn id="18" name="17" totalsRowFunction="count" dataDxfId="100" totalsRowDxfId="99"/>
    <tableColumn id="19" name="18" totalsRowFunction="count" dataDxfId="98" totalsRowDxfId="97"/>
    <tableColumn id="20" name="19" totalsRowFunction="count" dataDxfId="96" totalsRowDxfId="95"/>
    <tableColumn id="21" name="20" totalsRowFunction="count" dataDxfId="94" totalsRowDxfId="93"/>
    <tableColumn id="22" name="21" totalsRowFunction="count" dataDxfId="92" totalsRowDxfId="91"/>
    <tableColumn id="23" name="22" totalsRowFunction="count" dataDxfId="90" totalsRowDxfId="89"/>
    <tableColumn id="24" name="23" totalsRowFunction="count" dataDxfId="88" totalsRowDxfId="87"/>
    <tableColumn id="25" name="24" totalsRowFunction="count" dataDxfId="86" totalsRowDxfId="85"/>
    <tableColumn id="26" name="25" totalsRowFunction="count" dataDxfId="84" totalsRowDxfId="83"/>
    <tableColumn id="27" name="26" totalsRowFunction="count" dataDxfId="82" totalsRowDxfId="81"/>
    <tableColumn id="28" name="27" totalsRowFunction="count" dataDxfId="80" totalsRowDxfId="79"/>
    <tableColumn id="29" name="28" totalsRowFunction="count" dataDxfId="78" totalsRowDxfId="77"/>
    <tableColumn id="30" name="29" totalsRowFunction="count" dataDxfId="76" totalsRowDxfId="75"/>
    <tableColumn id="31" name="30" dataDxfId="74" totalsRowDxfId="73"/>
    <tableColumn id="32" name=" " dataDxfId="72" totalsRowDxfId="71"/>
    <tableColumn id="33" name="Total de días" totalsRowFunction="sum" totalsRowDxfId="70">
      <calculatedColumnFormula>COUNTA(tblJunio[[#This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Programación de ausencias de empleados para el mes de junio" altTextSummary="Proporciona una lista de nombres y fechas para registrar las ausencias de los empleados, así como el tipo de ausencia como, por ejemplo, V=Vacaciones, E=Enfermedad, P=Personal, junto con dos marcadores de posición más para entradas personalizadas."/>
    </ext>
  </extLst>
</table>
</file>

<file path=xl/tables/table7.xml><?xml version="1.0" encoding="utf-8"?>
<table xmlns="http://schemas.openxmlformats.org/spreadsheetml/2006/main" id="7" name="tblJulio" displayName="tblJulio" ref="A4:AG7" totalsRowCount="1">
  <tableColumns count="33">
    <tableColumn id="1" name="Nombre del estudiante:" totalsRowFunction="custom" dataDxfId="64" totalsRowDxfId="63">
      <totalsRowFormula>NombreMes&amp;" Total"</totalsRowFormula>
    </tableColumn>
    <tableColumn id="2" name="1" totalsRowFunction="count" dataDxfId="62" totalsRowDxfId="61"/>
    <tableColumn id="3" name="2" totalsRowFunction="count" dataDxfId="60" totalsRowDxfId="59"/>
    <tableColumn id="4" name="3" totalsRowFunction="count" dataDxfId="58" totalsRowDxfId="57"/>
    <tableColumn id="5" name="4" totalsRowFunction="count" dataDxfId="56" totalsRowDxfId="55"/>
    <tableColumn id="6" name="5" totalsRowFunction="count" dataDxfId="54" totalsRowDxfId="53"/>
    <tableColumn id="7" name="6" totalsRowFunction="count" dataDxfId="52" totalsRowDxfId="51"/>
    <tableColumn id="8" name="7" totalsRowFunction="count" dataDxfId="50" totalsRowDxfId="49"/>
    <tableColumn id="9" name="8" totalsRowFunction="count" dataDxfId="48" totalsRowDxfId="47"/>
    <tableColumn id="10" name="9" totalsRowFunction="count" dataDxfId="46" totalsRowDxfId="45"/>
    <tableColumn id="11" name="10" totalsRowFunction="count" dataDxfId="44" totalsRowDxfId="43"/>
    <tableColumn id="12" name="11" totalsRowFunction="count" dataDxfId="42" totalsRowDxfId="41"/>
    <tableColumn id="13" name="12" totalsRowFunction="count" dataDxfId="40" totalsRowDxfId="39"/>
    <tableColumn id="14" name="13" totalsRowFunction="count" dataDxfId="38" totalsRowDxfId="37"/>
    <tableColumn id="15" name="14" totalsRowFunction="count" dataDxfId="36" totalsRowDxfId="35"/>
    <tableColumn id="16" name="15" totalsRowFunction="count" dataDxfId="34" totalsRowDxfId="33"/>
    <tableColumn id="17" name="16" totalsRowFunction="count" dataDxfId="32" totalsRowDxfId="31"/>
    <tableColumn id="18" name="17" totalsRowFunction="count" dataDxfId="30" totalsRowDxfId="29"/>
    <tableColumn id="19" name="18" totalsRowFunction="count" dataDxfId="28" totalsRowDxfId="27"/>
    <tableColumn id="20" name="19" totalsRowFunction="count" dataDxfId="26" totalsRowDxfId="25"/>
    <tableColumn id="21" name="20" totalsRowFunction="count" dataDxfId="24" totalsRowDxfId="23"/>
    <tableColumn id="22" name="21" totalsRowFunction="count" dataDxfId="22" totalsRowDxfId="21"/>
    <tableColumn id="23" name="22" totalsRowFunction="count" dataDxfId="20" totalsRowDxfId="19"/>
    <tableColumn id="24" name="23" totalsRowFunction="count" dataDxfId="18" totalsRowDxfId="17"/>
    <tableColumn id="25" name="24" totalsRowFunction="count" dataDxfId="16" totalsRowDxfId="15"/>
    <tableColumn id="26" name="25" totalsRowFunction="count" dataDxfId="14" totalsRowDxfId="13"/>
    <tableColumn id="27" name="26" totalsRowFunction="count" dataDxfId="12" totalsRowDxfId="11"/>
    <tableColumn id="28" name="27" totalsRowFunction="count" dataDxfId="10" totalsRowDxfId="9"/>
    <tableColumn id="29" name="28" totalsRowFunction="count" dataDxfId="8" totalsRowDxfId="7"/>
    <tableColumn id="30" name="29" totalsRowFunction="count" dataDxfId="6" totalsRowDxfId="5"/>
    <tableColumn id="31" name="30" dataDxfId="4" totalsRowDxfId="3"/>
    <tableColumn id="32" name="31" dataDxfId="2" totalsRowDxfId="1"/>
    <tableColumn id="33" name="Total de días" totalsRowFunction="sum" totalsRowDxfId="0">
      <calculatedColumnFormula>COUNTA(tblJulio[[#This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Programación de ausencias de empleados para el mes de julio" altTextSummary="Proporciona una lista de nombres y fechas para registrar las ausencias de los empleados, así como el tipo de ausencia como, por ejemplo, V=Vacaciones, E=Enfermedad, P=Personal, junto con dos marcadores de posición más para entradas personalizadas."/>
    </ext>
  </extLst>
</table>
</file>

<file path=xl/theme/theme1.xml><?xml version="1.0" encoding="utf-8"?>
<a:theme xmlns:a="http://schemas.openxmlformats.org/drawingml/2006/main" name="Office Theme">
  <a:themeElements>
    <a:clrScheme name="Employee Absenc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pageSetUpPr fitToPage="1"/>
  </sheetPr>
  <dimension ref="A1:AH1399"/>
  <sheetViews>
    <sheetView showGridLines="0" tabSelected="1" zoomScaleNormal="100" workbookViewId="0">
      <selection activeCell="B2" sqref="B2:AF2"/>
    </sheetView>
  </sheetViews>
  <sheetFormatPr baseColWidth="10" defaultColWidth="9.140625" defaultRowHeight="15" customHeight="1" x14ac:dyDescent="0.25"/>
  <cols>
    <col min="1" max="1" width="24.28515625" style="17" customWidth="1"/>
    <col min="2" max="8" width="4" style="14" customWidth="1"/>
    <col min="9" max="9" width="5.42578125" style="14" customWidth="1"/>
    <col min="10" max="12" width="4" style="14" customWidth="1"/>
    <col min="13" max="13" width="5" style="14" customWidth="1"/>
    <col min="14" max="14" width="4.7109375" style="14" customWidth="1"/>
    <col min="15" max="19" width="4" style="14" customWidth="1"/>
    <col min="20" max="20" width="3.7109375" style="14" customWidth="1"/>
    <col min="21" max="21" width="6.28515625" style="14" customWidth="1"/>
    <col min="22" max="22" width="4.7109375" style="14" customWidth="1"/>
    <col min="23" max="23" width="4.28515625" style="14" customWidth="1"/>
    <col min="24" max="24" width="5" style="14" customWidth="1"/>
    <col min="25" max="25" width="3.28515625" style="14" customWidth="1"/>
    <col min="26" max="26" width="5" style="14" customWidth="1"/>
    <col min="27" max="28" width="4" style="14" customWidth="1"/>
    <col min="29" max="29" width="6.5703125" style="14" customWidth="1"/>
    <col min="30" max="30" width="5" style="14" customWidth="1"/>
    <col min="31" max="32" width="4" style="14" customWidth="1"/>
    <col min="33" max="33" width="12" style="13" customWidth="1"/>
    <col min="34" max="34" width="6.28515625" style="14" customWidth="1"/>
    <col min="35" max="16384" width="9.140625" style="15"/>
  </cols>
  <sheetData>
    <row r="1" spans="1:34" s="34" customFormat="1" ht="50.25" customHeight="1" x14ac:dyDescent="0.5">
      <c r="A1" s="47"/>
      <c r="B1" s="29"/>
      <c r="C1" s="29"/>
      <c r="D1" s="29"/>
      <c r="E1" s="29"/>
      <c r="F1" s="29"/>
      <c r="G1" s="48" t="s">
        <v>43</v>
      </c>
      <c r="H1" s="29"/>
      <c r="I1" s="29"/>
      <c r="J1" s="29"/>
      <c r="K1" s="29"/>
      <c r="L1" s="29"/>
      <c r="M1" s="29"/>
      <c r="N1" s="29"/>
      <c r="O1" s="29"/>
      <c r="P1" s="29"/>
      <c r="Q1" s="29"/>
      <c r="R1" s="29"/>
      <c r="S1" s="29"/>
      <c r="T1" s="29"/>
      <c r="U1" s="29"/>
      <c r="V1" s="29"/>
      <c r="W1" s="29"/>
      <c r="X1" s="29"/>
      <c r="Y1" s="29"/>
      <c r="Z1" s="29"/>
      <c r="AA1" s="29"/>
      <c r="AB1" s="29"/>
      <c r="AC1" s="30"/>
      <c r="AD1" s="30"/>
      <c r="AE1" s="31"/>
      <c r="AF1" s="32"/>
      <c r="AG1" s="32"/>
      <c r="AH1" s="33"/>
    </row>
    <row r="2" spans="1:34" s="4" customFormat="1" ht="30" customHeight="1" x14ac:dyDescent="0.25">
      <c r="A2" s="60" t="s">
        <v>33</v>
      </c>
      <c r="B2" s="58" t="s">
        <v>63</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61">
        <v>2016</v>
      </c>
      <c r="AH2" s="3"/>
    </row>
    <row r="3" spans="1:34" s="6" customFormat="1" ht="15.75" customHeight="1" x14ac:dyDescent="0.3">
      <c r="A3" s="60"/>
      <c r="B3" s="26" t="str">
        <f>TEXT(WEEKDAY(DATE(AñoCalendario,1,1),1),"ooo")</f>
        <v>vie</v>
      </c>
      <c r="C3" s="27" t="str">
        <f>TEXT(WEEKDAY(DATE(AñoCalendario,1,2),1),"ooo")</f>
        <v>sáb</v>
      </c>
      <c r="D3" s="27" t="str">
        <f>TEXT(WEEKDAY(DATE(AñoCalendario,1,3),1),"ooo")</f>
        <v>dom</v>
      </c>
      <c r="E3" s="27" t="str">
        <f>TEXT(WEEKDAY(DATE(AñoCalendario,1,4),1),"ooo")</f>
        <v>lun</v>
      </c>
      <c r="F3" s="27" t="str">
        <f>TEXT(WEEKDAY(DATE(AñoCalendario,1,5),1),"ooo")</f>
        <v>mar</v>
      </c>
      <c r="G3" s="27" t="str">
        <f>TEXT(WEEKDAY(DATE(AñoCalendario,1,6),1),"ooo")</f>
        <v>mié</v>
      </c>
      <c r="H3" s="27" t="str">
        <f>TEXT(WEEKDAY(DATE(AñoCalendario,1,7),1),"ooo")</f>
        <v>jue</v>
      </c>
      <c r="I3" s="27" t="str">
        <f>TEXT(WEEKDAY(DATE(AñoCalendario,1,8),1),"ooo")</f>
        <v>vie</v>
      </c>
      <c r="J3" s="27" t="str">
        <f>TEXT(WEEKDAY(DATE(AñoCalendario,1,9),1),"ooo")</f>
        <v>sáb</v>
      </c>
      <c r="K3" s="27" t="str">
        <f>TEXT(WEEKDAY(DATE(AñoCalendario,1,10),1),"ooo")</f>
        <v>dom</v>
      </c>
      <c r="L3" s="27" t="str">
        <f>TEXT(WEEKDAY(DATE(AñoCalendario,1,11),1),"ooo")</f>
        <v>lun</v>
      </c>
      <c r="M3" s="27" t="str">
        <f>TEXT(WEEKDAY(DATE(AñoCalendario,1,12),1),"ooo")</f>
        <v>mar</v>
      </c>
      <c r="N3" s="27" t="str">
        <f>TEXT(WEEKDAY(DATE(AñoCalendario,1,13),1),"ooo")</f>
        <v>mié</v>
      </c>
      <c r="O3" s="27" t="str">
        <f>TEXT(WEEKDAY(DATE(AñoCalendario,1,14),1),"ooo")</f>
        <v>jue</v>
      </c>
      <c r="P3" s="27" t="str">
        <f>TEXT(WEEKDAY(DATE(AñoCalendario,1,15),1),"ooo")</f>
        <v>vie</v>
      </c>
      <c r="Q3" s="27" t="str">
        <f>TEXT(WEEKDAY(DATE(AñoCalendario,1,16),1),"ooo")</f>
        <v>sáb</v>
      </c>
      <c r="R3" s="27" t="str">
        <f>TEXT(WEEKDAY(DATE(AñoCalendario,1,17),1),"ooo")</f>
        <v>dom</v>
      </c>
      <c r="S3" s="27" t="str">
        <f>TEXT(WEEKDAY(DATE(AñoCalendario,1,18),1),"ooo")</f>
        <v>lun</v>
      </c>
      <c r="T3" s="27" t="str">
        <f>TEXT(WEEKDAY(DATE(AñoCalendario,1,19),1),"ooo")</f>
        <v>mar</v>
      </c>
      <c r="U3" s="27" t="str">
        <f>TEXT(WEEKDAY(DATE(AñoCalendario,1,20),1),"ooo")</f>
        <v>mié</v>
      </c>
      <c r="V3" s="27" t="str">
        <f>TEXT(WEEKDAY(DATE(AñoCalendario,1,21),1),"ooo")</f>
        <v>jue</v>
      </c>
      <c r="W3" s="27" t="str">
        <f>TEXT(WEEKDAY(DATE(AñoCalendario,1,22),1),"ooo")</f>
        <v>vie</v>
      </c>
      <c r="X3" s="27" t="str">
        <f>TEXT(WEEKDAY(DATE(AñoCalendario,1,23),1),"ooo")</f>
        <v>sáb</v>
      </c>
      <c r="Y3" s="27" t="str">
        <f>TEXT(WEEKDAY(DATE(AñoCalendario,1,24),1),"ooo")</f>
        <v>dom</v>
      </c>
      <c r="Z3" s="27" t="str">
        <f>TEXT(WEEKDAY(DATE(AñoCalendario,1,25),1),"ooo")</f>
        <v>lun</v>
      </c>
      <c r="AA3" s="27" t="str">
        <f>TEXT(WEEKDAY(DATE(AñoCalendario,1,26),1),"ooo")</f>
        <v>mar</v>
      </c>
      <c r="AB3" s="27" t="str">
        <f>TEXT(WEEKDAY(DATE(AñoCalendario,1,27),1),"ooo")</f>
        <v>mié</v>
      </c>
      <c r="AC3" s="27" t="str">
        <f>TEXT(WEEKDAY(DATE(AñoCalendario,1,28),1),"ooo")</f>
        <v>jue</v>
      </c>
      <c r="AD3" s="27" t="str">
        <f>TEXT(WEEKDAY(DATE(AñoCalendario,1,29),1),"ooo")</f>
        <v>vie</v>
      </c>
      <c r="AE3" s="27" t="str">
        <f>TEXT(WEEKDAY(DATE(AñoCalendario,1,30),1),"ooo")</f>
        <v>sáb</v>
      </c>
      <c r="AF3" s="28" t="str">
        <f>TEXT(WEEKDAY(DATE(AñoCalendario,1,31),1),"ooo")</f>
        <v>dom</v>
      </c>
      <c r="AG3" s="61"/>
      <c r="AH3" s="5"/>
    </row>
    <row r="4" spans="1:34" s="9" customFormat="1" x14ac:dyDescent="0.25">
      <c r="A4" s="35" t="s">
        <v>44</v>
      </c>
      <c r="B4" s="7" t="s">
        <v>41</v>
      </c>
      <c r="C4" s="7" t="s">
        <v>0</v>
      </c>
      <c r="D4" s="7" t="s">
        <v>1</v>
      </c>
      <c r="E4" s="7" t="s">
        <v>2</v>
      </c>
      <c r="F4" s="7" t="s">
        <v>3</v>
      </c>
      <c r="G4" s="7" t="s">
        <v>4</v>
      </c>
      <c r="H4" s="7" t="s">
        <v>5</v>
      </c>
      <c r="I4" s="7" t="s">
        <v>6</v>
      </c>
      <c r="J4" s="7" t="s">
        <v>7</v>
      </c>
      <c r="K4" s="7" t="s">
        <v>8</v>
      </c>
      <c r="L4" s="7" t="s">
        <v>9</v>
      </c>
      <c r="M4" s="7" t="s">
        <v>10</v>
      </c>
      <c r="N4" s="7" t="s">
        <v>11</v>
      </c>
      <c r="O4" s="7" t="s">
        <v>12</v>
      </c>
      <c r="P4" s="7" t="s">
        <v>13</v>
      </c>
      <c r="Q4" s="7" t="s">
        <v>14</v>
      </c>
      <c r="R4" s="7" t="s">
        <v>15</v>
      </c>
      <c r="S4" s="7" t="s">
        <v>16</v>
      </c>
      <c r="T4" s="7" t="s">
        <v>17</v>
      </c>
      <c r="U4" s="7" t="s">
        <v>18</v>
      </c>
      <c r="V4" s="7" t="s">
        <v>19</v>
      </c>
      <c r="W4" s="7" t="s">
        <v>20</v>
      </c>
      <c r="X4" s="7" t="s">
        <v>21</v>
      </c>
      <c r="Y4" s="7" t="s">
        <v>22</v>
      </c>
      <c r="Z4" s="7" t="s">
        <v>23</v>
      </c>
      <c r="AA4" s="7" t="s">
        <v>24</v>
      </c>
      <c r="AB4" s="7" t="s">
        <v>25</v>
      </c>
      <c r="AC4" s="7" t="s">
        <v>26</v>
      </c>
      <c r="AD4" s="7" t="s">
        <v>27</v>
      </c>
      <c r="AE4" s="7" t="s">
        <v>28</v>
      </c>
      <c r="AF4" s="7" t="s">
        <v>29</v>
      </c>
      <c r="AG4" s="7" t="s">
        <v>30</v>
      </c>
      <c r="AH4" s="8"/>
    </row>
    <row r="5" spans="1:34" s="9" customFormat="1" ht="30" x14ac:dyDescent="0.25">
      <c r="A5" s="42" t="s">
        <v>59</v>
      </c>
      <c r="B5" s="7"/>
      <c r="C5" s="7"/>
      <c r="D5" s="7"/>
      <c r="E5" s="7"/>
      <c r="F5" s="7"/>
      <c r="G5" s="7"/>
      <c r="H5" s="7"/>
      <c r="I5" s="7"/>
      <c r="J5" s="7"/>
      <c r="K5" s="7"/>
      <c r="L5" s="7"/>
      <c r="M5" s="7"/>
      <c r="N5" s="7"/>
      <c r="O5" s="7"/>
      <c r="P5" s="7"/>
      <c r="Q5" s="7"/>
      <c r="R5" s="7"/>
      <c r="S5" s="7"/>
      <c r="T5" s="7"/>
      <c r="U5" s="7"/>
      <c r="V5" s="7"/>
      <c r="W5" s="7"/>
      <c r="X5" s="7"/>
      <c r="Y5" s="7"/>
      <c r="Z5" s="7" t="s">
        <v>42</v>
      </c>
      <c r="AA5" s="7" t="s">
        <v>45</v>
      </c>
      <c r="AB5" s="7" t="s">
        <v>45</v>
      </c>
      <c r="AC5" s="7" t="s">
        <v>45</v>
      </c>
      <c r="AD5" s="7" t="s">
        <v>45</v>
      </c>
      <c r="AE5" s="7"/>
      <c r="AF5" s="7"/>
      <c r="AG5" s="10">
        <f>COUNTA(tblEnero[[#This Row],[1]:[31]])</f>
        <v>5</v>
      </c>
      <c r="AH5" s="8"/>
    </row>
    <row r="6" spans="1:34" s="9" customFormat="1" ht="30" x14ac:dyDescent="0.25">
      <c r="A6" s="42" t="s">
        <v>60</v>
      </c>
      <c r="B6" s="7"/>
      <c r="C6" s="7"/>
      <c r="D6" s="7"/>
      <c r="E6" s="7"/>
      <c r="F6" s="7"/>
      <c r="G6" s="7"/>
      <c r="H6" s="7"/>
      <c r="I6" s="7"/>
      <c r="J6" s="7"/>
      <c r="K6" s="7"/>
      <c r="L6" s="7"/>
      <c r="M6" s="7"/>
      <c r="N6" s="7"/>
      <c r="O6" s="7"/>
      <c r="P6" s="7"/>
      <c r="Q6" s="7"/>
      <c r="R6" s="7"/>
      <c r="S6" s="7"/>
      <c r="T6" s="7"/>
      <c r="U6" s="7"/>
      <c r="V6" s="7"/>
      <c r="W6" s="7"/>
      <c r="X6" s="7"/>
      <c r="Y6" s="7"/>
      <c r="Z6" s="7" t="s">
        <v>42</v>
      </c>
      <c r="AA6" s="7" t="s">
        <v>45</v>
      </c>
      <c r="AB6" s="7" t="s">
        <v>45</v>
      </c>
      <c r="AC6" s="7" t="s">
        <v>45</v>
      </c>
      <c r="AD6" s="7" t="s">
        <v>45</v>
      </c>
      <c r="AE6" s="7"/>
      <c r="AF6" s="7"/>
      <c r="AG6" s="10">
        <f>COUNTA(tblEnero[[#This Row],[1]:[31]])</f>
        <v>5</v>
      </c>
      <c r="AH6" s="8"/>
    </row>
    <row r="7" spans="1:34" s="12" customFormat="1" x14ac:dyDescent="0.25">
      <c r="A7" s="36" t="str">
        <f>NombreMes&amp;" Total"</f>
        <v>Enero Total</v>
      </c>
      <c r="B7" s="10">
        <f>SUBTOTAL(103,tblEnero[1])</f>
        <v>0</v>
      </c>
      <c r="C7" s="10">
        <f>SUBTOTAL(103,tblEnero[2])</f>
        <v>0</v>
      </c>
      <c r="D7" s="10">
        <f>SUBTOTAL(103,tblEnero[3])</f>
        <v>0</v>
      </c>
      <c r="E7" s="10">
        <f>SUBTOTAL(103,tblEnero[4])</f>
        <v>0</v>
      </c>
      <c r="F7" s="10">
        <f>SUBTOTAL(103,tblEnero[5])</f>
        <v>0</v>
      </c>
      <c r="G7" s="10">
        <f>SUBTOTAL(103,tblEnero[6])</f>
        <v>0</v>
      </c>
      <c r="H7" s="10">
        <f>SUBTOTAL(103,tblEnero[7])</f>
        <v>0</v>
      </c>
      <c r="I7" s="10">
        <f>SUBTOTAL(103,tblEnero[8])</f>
        <v>0</v>
      </c>
      <c r="J7" s="10">
        <f>SUBTOTAL(103,tblEnero[9])</f>
        <v>0</v>
      </c>
      <c r="K7" s="10">
        <f>SUBTOTAL(103,tblEnero[10])</f>
        <v>0</v>
      </c>
      <c r="L7" s="10">
        <f>SUBTOTAL(103,tblEnero[11])</f>
        <v>0</v>
      </c>
      <c r="M7" s="10">
        <f>SUBTOTAL(103,tblEnero[12])</f>
        <v>0</v>
      </c>
      <c r="N7" s="10">
        <f>SUBTOTAL(103,tblEnero[13])</f>
        <v>0</v>
      </c>
      <c r="O7" s="10">
        <f>SUBTOTAL(103,tblEnero[14])</f>
        <v>0</v>
      </c>
      <c r="P7" s="10">
        <f>SUBTOTAL(103,tblEnero[15])</f>
        <v>0</v>
      </c>
      <c r="Q7" s="10">
        <f>SUBTOTAL(103,tblEnero[16])</f>
        <v>0</v>
      </c>
      <c r="R7" s="10">
        <f>SUBTOTAL(103,tblEnero[17])</f>
        <v>0</v>
      </c>
      <c r="S7" s="10">
        <f>SUBTOTAL(103,tblEnero[18])</f>
        <v>0</v>
      </c>
      <c r="T7" s="10">
        <f>SUBTOTAL(103,tblEnero[19])</f>
        <v>0</v>
      </c>
      <c r="U7" s="10">
        <f>SUBTOTAL(103,tblEnero[20])</f>
        <v>0</v>
      </c>
      <c r="V7" s="10">
        <f>SUBTOTAL(103,tblEnero[21])</f>
        <v>0</v>
      </c>
      <c r="W7" s="10">
        <f>SUBTOTAL(103,tblEnero[22])</f>
        <v>0</v>
      </c>
      <c r="X7" s="10">
        <f>SUBTOTAL(103,tblEnero[23])</f>
        <v>0</v>
      </c>
      <c r="Y7" s="10">
        <f>SUBTOTAL(103,tblEnero[24])</f>
        <v>0</v>
      </c>
      <c r="Z7" s="10">
        <f>SUBTOTAL(103,tblEnero[25])</f>
        <v>2</v>
      </c>
      <c r="AA7" s="10">
        <f>SUBTOTAL(103,tblEnero[26])</f>
        <v>2</v>
      </c>
      <c r="AB7" s="10">
        <f>SUBTOTAL(103,tblEnero[27])</f>
        <v>2</v>
      </c>
      <c r="AC7" s="10">
        <f>SUBTOTAL(103,tblEnero[28])</f>
        <v>2</v>
      </c>
      <c r="AD7" s="10">
        <f>SUBTOTAL(103,tblEnero[29])</f>
        <v>2</v>
      </c>
      <c r="AE7" s="10">
        <f>SUBTOTAL(103,tblEnero[30])</f>
        <v>0</v>
      </c>
      <c r="AF7" s="10">
        <f>SUBTOTAL(103,tblEnero[31])</f>
        <v>0</v>
      </c>
      <c r="AG7" s="10">
        <f>SUBTOTAL(109,tblEnero[Total de días])</f>
        <v>10</v>
      </c>
      <c r="AH7" s="11"/>
    </row>
    <row r="8" spans="1:34" s="12" customFormat="1" x14ac:dyDescent="0.25">
      <c r="A8" s="59"/>
      <c r="B8" s="59"/>
      <c r="C8" s="59"/>
      <c r="D8" s="59"/>
      <c r="E8" s="59"/>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11"/>
    </row>
    <row r="9" spans="1:34" s="12" customFormat="1" x14ac:dyDescent="0.25">
      <c r="A9" s="40" t="s">
        <v>34</v>
      </c>
      <c r="B9" s="40"/>
      <c r="C9" s="40"/>
      <c r="D9" s="40"/>
      <c r="E9" s="41"/>
      <c r="F9" s="21" t="s">
        <v>45</v>
      </c>
      <c r="G9" s="37" t="s">
        <v>46</v>
      </c>
      <c r="H9" s="38"/>
      <c r="I9" s="38"/>
      <c r="J9" s="22" t="s">
        <v>47</v>
      </c>
      <c r="K9" s="37" t="s">
        <v>50</v>
      </c>
      <c r="L9" s="38"/>
      <c r="M9" s="38"/>
      <c r="N9" s="23" t="s">
        <v>48</v>
      </c>
      <c r="O9" s="37" t="s">
        <v>51</v>
      </c>
      <c r="P9" s="39"/>
      <c r="Q9" s="38"/>
      <c r="R9" s="24" t="s">
        <v>49</v>
      </c>
      <c r="S9" s="37" t="s">
        <v>52</v>
      </c>
      <c r="T9" s="38"/>
      <c r="U9" s="39"/>
      <c r="V9" s="44" t="s">
        <v>53</v>
      </c>
      <c r="W9" s="37" t="s">
        <v>54</v>
      </c>
      <c r="X9" s="39"/>
      <c r="Y9" s="38"/>
      <c r="Z9" s="45" t="s">
        <v>55</v>
      </c>
      <c r="AA9" s="37" t="s">
        <v>56</v>
      </c>
      <c r="AB9" s="38"/>
      <c r="AC9" s="39"/>
      <c r="AD9" s="46" t="s">
        <v>57</v>
      </c>
      <c r="AE9" s="37" t="s">
        <v>58</v>
      </c>
      <c r="AF9" s="38"/>
      <c r="AG9" s="39"/>
    </row>
    <row r="10" spans="1:34" x14ac:dyDescent="0.25">
      <c r="A10"/>
      <c r="B10"/>
      <c r="C10"/>
      <c r="D10"/>
      <c r="E10"/>
      <c r="F10"/>
      <c r="G10"/>
      <c r="H10"/>
      <c r="I10"/>
      <c r="J10"/>
      <c r="K10"/>
      <c r="L10"/>
      <c r="M10"/>
      <c r="N10"/>
      <c r="O10"/>
      <c r="P10"/>
      <c r="Q10"/>
      <c r="R10"/>
      <c r="S10"/>
      <c r="T10"/>
      <c r="U10"/>
      <c r="V10"/>
      <c r="W10"/>
      <c r="X10"/>
      <c r="Y10"/>
      <c r="Z10"/>
      <c r="AA10"/>
      <c r="AB10"/>
      <c r="AC10"/>
      <c r="AD10"/>
      <c r="AE10"/>
      <c r="AF10"/>
      <c r="AG10"/>
    </row>
    <row r="11" spans="1:34" customFormat="1" x14ac:dyDescent="0.25"/>
    <row r="12" spans="1:34" customFormat="1" x14ac:dyDescent="0.25"/>
    <row r="13" spans="1:34" customFormat="1" x14ac:dyDescent="0.25"/>
    <row r="14" spans="1:34" customFormat="1" x14ac:dyDescent="0.25"/>
    <row r="15" spans="1:34" customFormat="1" x14ac:dyDescent="0.25"/>
    <row r="16" spans="1:34" customFormat="1" ht="15" customHeight="1" x14ac:dyDescent="0.25"/>
    <row r="17" customFormat="1" ht="15" customHeight="1" x14ac:dyDescent="0.25"/>
    <row r="18" customFormat="1" ht="15" customHeight="1" x14ac:dyDescent="0.25"/>
    <row r="19" customFormat="1" ht="15" customHeight="1" x14ac:dyDescent="0.25"/>
    <row r="20" customFormat="1" ht="15" customHeight="1" x14ac:dyDescent="0.25"/>
    <row r="21" customFormat="1" ht="15" customHeight="1" x14ac:dyDescent="0.25"/>
    <row r="22" customFormat="1" ht="15" customHeight="1" x14ac:dyDescent="0.25"/>
    <row r="23" customFormat="1" ht="15" customHeight="1" x14ac:dyDescent="0.25"/>
    <row r="24" customFormat="1" ht="15" customHeight="1" x14ac:dyDescent="0.25"/>
    <row r="25" customFormat="1" ht="15" customHeight="1" x14ac:dyDescent="0.25"/>
    <row r="26" customFormat="1" ht="15" customHeight="1" x14ac:dyDescent="0.25"/>
    <row r="27" customFormat="1" ht="15" customHeight="1" x14ac:dyDescent="0.25"/>
    <row r="28" customFormat="1" ht="15" customHeight="1" x14ac:dyDescent="0.25"/>
    <row r="29" customFormat="1" ht="15" customHeight="1" x14ac:dyDescent="0.25"/>
    <row r="30" customFormat="1" ht="15" customHeight="1" x14ac:dyDescent="0.25"/>
    <row r="31" customFormat="1" ht="15" customHeight="1" x14ac:dyDescent="0.25"/>
    <row r="32" customFormat="1" ht="15" customHeight="1" x14ac:dyDescent="0.25"/>
    <row r="33" customFormat="1" ht="15" customHeight="1" x14ac:dyDescent="0.25"/>
    <row r="34" customFormat="1" ht="15" customHeight="1" x14ac:dyDescent="0.25"/>
    <row r="35" customFormat="1" ht="15" customHeight="1" x14ac:dyDescent="0.25"/>
    <row r="36" customFormat="1" ht="15" customHeight="1" x14ac:dyDescent="0.25"/>
    <row r="37" customFormat="1" ht="15" customHeight="1" x14ac:dyDescent="0.25"/>
    <row r="38" customFormat="1" ht="15" customHeight="1" x14ac:dyDescent="0.25"/>
    <row r="39" customFormat="1" ht="15" customHeight="1" x14ac:dyDescent="0.25"/>
    <row r="40" customFormat="1" ht="15" customHeight="1" x14ac:dyDescent="0.25"/>
    <row r="41" customFormat="1" ht="15" customHeight="1" x14ac:dyDescent="0.25"/>
    <row r="42" customFormat="1" ht="15" customHeight="1" x14ac:dyDescent="0.25"/>
    <row r="43" customFormat="1" ht="15" customHeight="1" x14ac:dyDescent="0.25"/>
    <row r="44" customFormat="1" ht="15" customHeight="1" x14ac:dyDescent="0.25"/>
    <row r="45" customFormat="1" ht="15" customHeight="1" x14ac:dyDescent="0.25"/>
    <row r="46" customFormat="1" ht="15" customHeight="1" x14ac:dyDescent="0.25"/>
    <row r="47" customFormat="1" ht="15" customHeight="1" x14ac:dyDescent="0.25"/>
    <row r="48" customFormat="1" ht="15" customHeight="1" x14ac:dyDescent="0.25"/>
    <row r="49" customFormat="1" ht="15" customHeight="1" x14ac:dyDescent="0.25"/>
    <row r="50" customFormat="1" ht="15" customHeight="1" x14ac:dyDescent="0.25"/>
    <row r="51" customFormat="1" ht="15" customHeight="1" x14ac:dyDescent="0.25"/>
    <row r="52" customFormat="1" ht="15" customHeight="1" x14ac:dyDescent="0.25"/>
    <row r="53" customFormat="1" ht="15" customHeight="1" x14ac:dyDescent="0.25"/>
    <row r="54" customFormat="1" ht="15" customHeight="1" x14ac:dyDescent="0.25"/>
    <row r="55" customFormat="1" ht="15" customHeight="1" x14ac:dyDescent="0.25"/>
    <row r="56" customFormat="1" ht="15" customHeight="1" x14ac:dyDescent="0.25"/>
    <row r="57" customFormat="1" ht="15" customHeight="1" x14ac:dyDescent="0.25"/>
    <row r="58" customFormat="1" ht="15" customHeight="1" x14ac:dyDescent="0.25"/>
    <row r="59" customFormat="1" ht="15" customHeight="1" x14ac:dyDescent="0.25"/>
    <row r="60" customFormat="1" ht="15" customHeight="1" x14ac:dyDescent="0.25"/>
    <row r="61" customFormat="1" ht="15" customHeight="1" x14ac:dyDescent="0.25"/>
    <row r="62" customFormat="1" ht="15" customHeight="1" x14ac:dyDescent="0.25"/>
    <row r="63" customFormat="1" ht="15" customHeight="1" x14ac:dyDescent="0.25"/>
    <row r="64" customFormat="1" ht="15" customHeight="1" x14ac:dyDescent="0.25"/>
    <row r="65" customFormat="1" ht="15" customHeight="1" x14ac:dyDescent="0.25"/>
    <row r="66" customFormat="1" ht="15" customHeight="1" x14ac:dyDescent="0.25"/>
    <row r="67" customFormat="1" ht="15" customHeight="1" x14ac:dyDescent="0.25"/>
    <row r="68" customFormat="1" ht="15" customHeight="1" x14ac:dyDescent="0.25"/>
    <row r="69" customFormat="1" ht="15" customHeight="1" x14ac:dyDescent="0.25"/>
    <row r="70" customFormat="1" ht="15" customHeight="1" x14ac:dyDescent="0.25"/>
    <row r="71" customFormat="1" ht="15" customHeight="1" x14ac:dyDescent="0.25"/>
    <row r="72" customFormat="1" ht="15" customHeight="1" x14ac:dyDescent="0.25"/>
    <row r="73" customFormat="1" ht="15" customHeight="1" x14ac:dyDescent="0.25"/>
    <row r="74" customFormat="1" ht="15" customHeight="1" x14ac:dyDescent="0.25"/>
    <row r="75" customFormat="1" ht="15" customHeight="1" x14ac:dyDescent="0.25"/>
    <row r="76" customFormat="1" ht="15" customHeight="1" x14ac:dyDescent="0.25"/>
    <row r="77" customFormat="1" ht="15" customHeight="1" x14ac:dyDescent="0.25"/>
    <row r="78" customFormat="1" ht="15" customHeight="1" x14ac:dyDescent="0.25"/>
    <row r="79" customFormat="1" ht="15" customHeight="1" x14ac:dyDescent="0.25"/>
    <row r="80" customFormat="1" ht="15" customHeight="1" x14ac:dyDescent="0.25"/>
    <row r="81" customFormat="1" ht="15" customHeight="1" x14ac:dyDescent="0.25"/>
    <row r="82" customFormat="1" ht="15" customHeight="1" x14ac:dyDescent="0.25"/>
    <row r="83" customFormat="1" ht="15" customHeight="1" x14ac:dyDescent="0.25"/>
    <row r="84" customFormat="1" ht="15" customHeight="1" x14ac:dyDescent="0.25"/>
    <row r="85" customFormat="1" ht="15" customHeight="1" x14ac:dyDescent="0.25"/>
    <row r="86" customFormat="1" ht="15" customHeight="1" x14ac:dyDescent="0.25"/>
    <row r="87" customFormat="1" ht="15" customHeight="1" x14ac:dyDescent="0.25"/>
    <row r="88" customFormat="1" ht="15" customHeight="1" x14ac:dyDescent="0.25"/>
    <row r="89" customFormat="1" ht="15" customHeight="1" x14ac:dyDescent="0.25"/>
    <row r="90" customFormat="1" ht="15" customHeight="1" x14ac:dyDescent="0.25"/>
    <row r="91" customFormat="1" ht="15" customHeight="1" x14ac:dyDescent="0.25"/>
    <row r="92" customFormat="1" ht="15" customHeight="1" x14ac:dyDescent="0.25"/>
    <row r="93" customFormat="1" ht="15" customHeight="1" x14ac:dyDescent="0.25"/>
    <row r="94" customFormat="1" ht="15" customHeight="1" x14ac:dyDescent="0.25"/>
    <row r="95" customFormat="1" ht="15" customHeight="1" x14ac:dyDescent="0.25"/>
    <row r="96" customFormat="1" ht="15" customHeight="1" x14ac:dyDescent="0.25"/>
    <row r="97" customFormat="1" ht="15" customHeight="1" x14ac:dyDescent="0.25"/>
    <row r="98" customFormat="1" ht="15" customHeight="1" x14ac:dyDescent="0.25"/>
    <row r="99" customFormat="1" ht="15" customHeight="1" x14ac:dyDescent="0.25"/>
    <row r="100" customFormat="1" ht="15" customHeight="1" x14ac:dyDescent="0.25"/>
    <row r="101" customFormat="1" ht="15" customHeight="1" x14ac:dyDescent="0.25"/>
    <row r="102" customFormat="1" ht="15" customHeight="1" x14ac:dyDescent="0.25"/>
    <row r="103" customFormat="1" ht="15" customHeight="1" x14ac:dyDescent="0.25"/>
    <row r="104" customFormat="1" ht="15" customHeight="1" x14ac:dyDescent="0.25"/>
    <row r="105" customFormat="1" ht="15" customHeight="1" x14ac:dyDescent="0.25"/>
    <row r="106" customFormat="1" ht="15" customHeight="1" x14ac:dyDescent="0.25"/>
    <row r="107" customFormat="1" ht="15" customHeight="1" x14ac:dyDescent="0.25"/>
    <row r="108" customFormat="1" ht="15" customHeight="1" x14ac:dyDescent="0.25"/>
    <row r="109" customFormat="1" ht="15" customHeight="1" x14ac:dyDescent="0.25"/>
    <row r="110" customFormat="1" ht="15" customHeight="1" x14ac:dyDescent="0.25"/>
    <row r="111" customFormat="1" ht="15" customHeight="1" x14ac:dyDescent="0.25"/>
    <row r="112" customFormat="1" ht="15" customHeight="1" x14ac:dyDescent="0.25"/>
    <row r="113" customFormat="1" ht="15" customHeight="1" x14ac:dyDescent="0.25"/>
    <row r="114" customFormat="1" ht="15" customHeight="1" x14ac:dyDescent="0.25"/>
    <row r="115" customFormat="1" ht="15" customHeight="1" x14ac:dyDescent="0.25"/>
    <row r="116" customFormat="1" ht="15" customHeight="1" x14ac:dyDescent="0.25"/>
    <row r="117" customFormat="1" ht="15" customHeight="1" x14ac:dyDescent="0.25"/>
    <row r="118" customFormat="1" ht="15" customHeight="1" x14ac:dyDescent="0.25"/>
    <row r="119" customFormat="1" ht="15" customHeight="1" x14ac:dyDescent="0.25"/>
    <row r="120" customFormat="1" ht="15" customHeight="1" x14ac:dyDescent="0.25"/>
    <row r="121" customFormat="1" ht="15" customHeight="1" x14ac:dyDescent="0.25"/>
    <row r="122" customFormat="1" ht="15" customHeight="1" x14ac:dyDescent="0.25"/>
    <row r="123" customFormat="1" ht="15" customHeight="1" x14ac:dyDescent="0.25"/>
    <row r="124" customFormat="1" ht="15" customHeight="1" x14ac:dyDescent="0.25"/>
    <row r="125" customFormat="1" ht="15" customHeight="1" x14ac:dyDescent="0.25"/>
    <row r="126" customFormat="1" ht="15" customHeight="1" x14ac:dyDescent="0.25"/>
    <row r="127" customFormat="1" ht="15" customHeight="1" x14ac:dyDescent="0.25"/>
    <row r="128" customFormat="1" ht="15" customHeight="1" x14ac:dyDescent="0.25"/>
    <row r="129" customFormat="1" ht="15" customHeight="1" x14ac:dyDescent="0.25"/>
    <row r="130" customFormat="1" ht="15" customHeight="1" x14ac:dyDescent="0.25"/>
    <row r="131" customFormat="1" ht="15" customHeight="1" x14ac:dyDescent="0.25"/>
    <row r="132" customFormat="1" ht="15" customHeight="1" x14ac:dyDescent="0.25"/>
    <row r="133" customFormat="1" ht="15" customHeight="1" x14ac:dyDescent="0.25"/>
    <row r="134" customFormat="1" ht="15" customHeight="1" x14ac:dyDescent="0.25"/>
    <row r="135" customFormat="1" ht="15" customHeight="1" x14ac:dyDescent="0.25"/>
    <row r="136" customFormat="1" ht="15" customHeight="1" x14ac:dyDescent="0.25"/>
    <row r="137" customFormat="1" ht="15" customHeight="1" x14ac:dyDescent="0.25"/>
    <row r="138" customFormat="1" ht="15" customHeight="1" x14ac:dyDescent="0.25"/>
    <row r="139" customFormat="1" ht="15" customHeight="1" x14ac:dyDescent="0.25"/>
    <row r="140" customFormat="1" ht="15" customHeight="1" x14ac:dyDescent="0.25"/>
    <row r="141" customFormat="1" ht="15" customHeight="1" x14ac:dyDescent="0.25"/>
    <row r="142" customFormat="1" ht="15" customHeight="1" x14ac:dyDescent="0.25"/>
    <row r="143" customFormat="1" ht="15" customHeight="1" x14ac:dyDescent="0.25"/>
    <row r="144" customFormat="1" ht="15" customHeight="1" x14ac:dyDescent="0.25"/>
    <row r="145" customFormat="1" ht="15" customHeight="1" x14ac:dyDescent="0.25"/>
    <row r="146" customFormat="1" ht="15" customHeight="1" x14ac:dyDescent="0.25"/>
    <row r="147" customFormat="1" ht="15" customHeight="1" x14ac:dyDescent="0.25"/>
    <row r="148" customFormat="1" ht="15" customHeight="1" x14ac:dyDescent="0.25"/>
    <row r="149" customFormat="1" ht="15" customHeight="1" x14ac:dyDescent="0.25"/>
    <row r="150" customFormat="1" ht="15" customHeight="1" x14ac:dyDescent="0.25"/>
    <row r="151" customFormat="1" ht="15" customHeight="1" x14ac:dyDescent="0.25"/>
    <row r="152" customFormat="1" ht="15" customHeight="1" x14ac:dyDescent="0.25"/>
    <row r="153" customFormat="1" ht="15" customHeight="1" x14ac:dyDescent="0.25"/>
    <row r="154" customFormat="1" ht="15" customHeight="1" x14ac:dyDescent="0.25"/>
    <row r="155" customFormat="1" ht="15" customHeight="1" x14ac:dyDescent="0.25"/>
    <row r="156" customFormat="1" ht="15" customHeight="1" x14ac:dyDescent="0.25"/>
    <row r="157" customFormat="1" ht="15" customHeight="1" x14ac:dyDescent="0.25"/>
    <row r="158" customFormat="1" ht="15" customHeight="1" x14ac:dyDescent="0.25"/>
    <row r="159" customFormat="1" ht="15" customHeight="1" x14ac:dyDescent="0.25"/>
    <row r="160" customFormat="1" ht="15" customHeight="1" x14ac:dyDescent="0.25"/>
    <row r="161" customFormat="1" ht="15" customHeight="1" x14ac:dyDescent="0.25"/>
    <row r="162" customFormat="1" ht="15" customHeight="1" x14ac:dyDescent="0.25"/>
    <row r="163" customFormat="1" ht="15" customHeight="1" x14ac:dyDescent="0.25"/>
    <row r="164" customFormat="1" ht="15" customHeight="1" x14ac:dyDescent="0.25"/>
    <row r="165" customFormat="1" ht="15" customHeight="1" x14ac:dyDescent="0.25"/>
    <row r="166" customFormat="1" ht="15" customHeight="1" x14ac:dyDescent="0.25"/>
    <row r="167" customFormat="1" ht="15" customHeight="1" x14ac:dyDescent="0.25"/>
    <row r="168" customFormat="1" ht="15" customHeight="1" x14ac:dyDescent="0.25"/>
    <row r="169" customFormat="1" ht="15" customHeight="1" x14ac:dyDescent="0.25"/>
    <row r="170" customFormat="1" ht="15" customHeight="1" x14ac:dyDescent="0.25"/>
    <row r="171" customFormat="1" ht="15" customHeight="1" x14ac:dyDescent="0.25"/>
    <row r="172" customFormat="1" ht="15" customHeight="1" x14ac:dyDescent="0.25"/>
    <row r="173" customFormat="1" ht="15" customHeight="1" x14ac:dyDescent="0.25"/>
    <row r="174" customFormat="1" ht="15" customHeight="1" x14ac:dyDescent="0.25"/>
    <row r="175" customFormat="1" ht="15" customHeight="1" x14ac:dyDescent="0.25"/>
    <row r="176" customFormat="1" ht="15" customHeight="1" x14ac:dyDescent="0.25"/>
    <row r="177" customFormat="1" ht="15" customHeight="1" x14ac:dyDescent="0.25"/>
    <row r="178" customFormat="1" ht="15" customHeight="1" x14ac:dyDescent="0.25"/>
    <row r="179" customFormat="1" ht="15" customHeight="1" x14ac:dyDescent="0.25"/>
    <row r="180" customFormat="1" ht="15" customHeight="1" x14ac:dyDescent="0.25"/>
    <row r="181" customFormat="1" ht="15" customHeight="1" x14ac:dyDescent="0.25"/>
    <row r="182" customFormat="1" ht="15" customHeight="1" x14ac:dyDescent="0.25"/>
    <row r="183" customFormat="1" ht="15" customHeight="1" x14ac:dyDescent="0.25"/>
    <row r="184" customFormat="1" ht="15" customHeight="1" x14ac:dyDescent="0.25"/>
    <row r="185" customFormat="1" ht="15" customHeight="1" x14ac:dyDescent="0.25"/>
    <row r="186" customFormat="1" ht="15" customHeight="1" x14ac:dyDescent="0.25"/>
    <row r="187" customFormat="1" ht="15" customHeight="1" x14ac:dyDescent="0.25"/>
    <row r="188" customFormat="1" ht="15" customHeight="1" x14ac:dyDescent="0.25"/>
    <row r="189" customFormat="1" ht="15" customHeight="1" x14ac:dyDescent="0.25"/>
    <row r="190" customFormat="1" ht="15" customHeight="1" x14ac:dyDescent="0.25"/>
    <row r="191" customFormat="1" ht="15" customHeight="1" x14ac:dyDescent="0.25"/>
    <row r="192" customFormat="1" ht="15" customHeight="1" x14ac:dyDescent="0.25"/>
    <row r="193" customFormat="1" ht="15" customHeight="1" x14ac:dyDescent="0.25"/>
    <row r="194" customFormat="1" ht="15" customHeight="1" x14ac:dyDescent="0.25"/>
    <row r="195" customFormat="1" ht="15" customHeight="1" x14ac:dyDescent="0.25"/>
    <row r="196" customFormat="1" ht="15" customHeight="1" x14ac:dyDescent="0.25"/>
    <row r="197" customFormat="1" ht="15" customHeight="1" x14ac:dyDescent="0.25"/>
    <row r="198" customFormat="1" ht="15" customHeight="1" x14ac:dyDescent="0.25"/>
    <row r="199" customFormat="1" ht="15" customHeight="1" x14ac:dyDescent="0.25"/>
    <row r="200" customFormat="1" ht="15" customHeight="1" x14ac:dyDescent="0.25"/>
    <row r="201" customFormat="1" ht="15" customHeight="1" x14ac:dyDescent="0.25"/>
    <row r="202" customFormat="1" ht="15" customHeight="1" x14ac:dyDescent="0.25"/>
    <row r="203" customFormat="1" ht="15" customHeight="1" x14ac:dyDescent="0.25"/>
    <row r="204" customFormat="1" ht="15" customHeight="1" x14ac:dyDescent="0.25"/>
    <row r="205" customFormat="1" ht="15" customHeight="1" x14ac:dyDescent="0.25"/>
    <row r="206" customFormat="1" ht="15" customHeight="1" x14ac:dyDescent="0.25"/>
    <row r="207" customFormat="1" ht="15" customHeight="1" x14ac:dyDescent="0.25"/>
    <row r="208" customFormat="1" ht="15" customHeight="1" x14ac:dyDescent="0.25"/>
    <row r="209" customFormat="1" ht="15" customHeight="1" x14ac:dyDescent="0.25"/>
    <row r="210" customFormat="1" ht="15" customHeight="1" x14ac:dyDescent="0.25"/>
    <row r="211" customFormat="1" ht="15" customHeight="1" x14ac:dyDescent="0.25"/>
    <row r="212" customFormat="1" ht="15" customHeight="1" x14ac:dyDescent="0.25"/>
    <row r="213" customFormat="1" ht="15" customHeight="1" x14ac:dyDescent="0.25"/>
    <row r="214" customFormat="1" ht="15" customHeight="1" x14ac:dyDescent="0.25"/>
    <row r="215" customFormat="1" ht="15" customHeight="1" x14ac:dyDescent="0.25"/>
    <row r="216" customFormat="1" ht="15" customHeight="1" x14ac:dyDescent="0.25"/>
    <row r="217" customFormat="1" ht="15" customHeight="1" x14ac:dyDescent="0.25"/>
    <row r="218" customFormat="1" ht="15" customHeight="1" x14ac:dyDescent="0.25"/>
    <row r="219" customFormat="1" ht="15" customHeight="1" x14ac:dyDescent="0.25"/>
    <row r="220" customFormat="1" ht="15" customHeight="1" x14ac:dyDescent="0.25"/>
    <row r="221" customFormat="1" ht="15" customHeight="1" x14ac:dyDescent="0.25"/>
    <row r="222" customFormat="1" ht="15" customHeight="1" x14ac:dyDescent="0.25"/>
    <row r="223" customFormat="1" ht="15" customHeight="1" x14ac:dyDescent="0.25"/>
    <row r="224" customFormat="1" ht="15" customHeight="1" x14ac:dyDescent="0.25"/>
    <row r="225" customFormat="1" ht="15" customHeight="1" x14ac:dyDescent="0.25"/>
    <row r="226" customFormat="1" ht="15" customHeight="1" x14ac:dyDescent="0.25"/>
    <row r="227" customFormat="1" ht="15" customHeight="1" x14ac:dyDescent="0.25"/>
    <row r="228" customFormat="1" ht="15" customHeight="1" x14ac:dyDescent="0.25"/>
    <row r="229" customFormat="1" ht="15" customHeight="1" x14ac:dyDescent="0.25"/>
    <row r="230" customFormat="1" ht="15" customHeight="1" x14ac:dyDescent="0.25"/>
    <row r="231" customFormat="1" ht="15" customHeight="1" x14ac:dyDescent="0.25"/>
    <row r="232" customFormat="1" ht="15" customHeight="1" x14ac:dyDescent="0.25"/>
    <row r="233" customFormat="1" ht="15" customHeight="1" x14ac:dyDescent="0.25"/>
    <row r="234" customFormat="1" ht="15" customHeight="1" x14ac:dyDescent="0.25"/>
    <row r="235" customFormat="1" ht="15" customHeight="1" x14ac:dyDescent="0.25"/>
    <row r="236" customFormat="1" ht="15" customHeight="1" x14ac:dyDescent="0.25"/>
    <row r="237" customFormat="1" ht="15" customHeight="1" x14ac:dyDescent="0.25"/>
    <row r="238" customFormat="1" ht="15" customHeight="1" x14ac:dyDescent="0.25"/>
    <row r="239" customFormat="1" ht="15" customHeight="1" x14ac:dyDescent="0.25"/>
    <row r="240" customFormat="1" ht="15" customHeight="1" x14ac:dyDescent="0.25"/>
    <row r="241" customFormat="1" ht="15" customHeight="1" x14ac:dyDescent="0.25"/>
    <row r="242" customFormat="1" ht="15" customHeight="1" x14ac:dyDescent="0.25"/>
    <row r="243" customFormat="1" ht="15" customHeight="1" x14ac:dyDescent="0.25"/>
    <row r="244" customFormat="1" ht="15" customHeight="1" x14ac:dyDescent="0.25"/>
    <row r="245" customFormat="1" ht="15" customHeight="1" x14ac:dyDescent="0.25"/>
    <row r="246" customFormat="1" ht="15" customHeight="1" x14ac:dyDescent="0.25"/>
    <row r="247" customFormat="1" ht="15" customHeight="1" x14ac:dyDescent="0.25"/>
    <row r="248" customFormat="1" ht="15" customHeight="1" x14ac:dyDescent="0.25"/>
    <row r="249" customFormat="1" ht="15" customHeight="1" x14ac:dyDescent="0.25"/>
    <row r="250" customFormat="1" ht="15" customHeight="1" x14ac:dyDescent="0.25"/>
    <row r="251" customFormat="1" ht="15" customHeight="1" x14ac:dyDescent="0.25"/>
    <row r="252" customFormat="1" ht="15" customHeight="1" x14ac:dyDescent="0.25"/>
    <row r="253" customFormat="1" ht="15" customHeight="1" x14ac:dyDescent="0.25"/>
    <row r="254" customFormat="1" ht="15" customHeight="1" x14ac:dyDescent="0.25"/>
    <row r="255" customFormat="1" ht="15" customHeight="1" x14ac:dyDescent="0.25"/>
    <row r="256" customFormat="1" ht="15" customHeight="1" x14ac:dyDescent="0.25"/>
    <row r="257" customFormat="1" ht="15" customHeight="1" x14ac:dyDescent="0.25"/>
    <row r="258" customFormat="1" ht="15" customHeight="1" x14ac:dyDescent="0.25"/>
    <row r="259" customFormat="1" ht="15" customHeight="1" x14ac:dyDescent="0.25"/>
    <row r="260" customFormat="1" ht="15" customHeight="1" x14ac:dyDescent="0.25"/>
    <row r="261" customFormat="1" ht="15" customHeight="1" x14ac:dyDescent="0.25"/>
    <row r="262" customFormat="1" ht="15" customHeight="1" x14ac:dyDescent="0.25"/>
    <row r="263" customFormat="1" ht="15" customHeight="1" x14ac:dyDescent="0.25"/>
    <row r="264" customFormat="1" ht="15" customHeight="1" x14ac:dyDescent="0.25"/>
    <row r="265" customFormat="1" ht="15" customHeight="1" x14ac:dyDescent="0.25"/>
    <row r="266" customFormat="1" ht="15" customHeight="1" x14ac:dyDescent="0.25"/>
    <row r="267" customFormat="1" ht="15" customHeight="1" x14ac:dyDescent="0.25"/>
    <row r="268" customFormat="1" ht="15" customHeight="1" x14ac:dyDescent="0.25"/>
    <row r="269" customFormat="1" ht="15" customHeight="1" x14ac:dyDescent="0.25"/>
    <row r="270" customFormat="1" ht="15" customHeight="1" x14ac:dyDescent="0.25"/>
    <row r="271" customFormat="1" ht="15" customHeight="1" x14ac:dyDescent="0.25"/>
    <row r="272" customFormat="1" ht="15" customHeight="1" x14ac:dyDescent="0.25"/>
    <row r="273" customFormat="1" ht="15" customHeight="1" x14ac:dyDescent="0.25"/>
    <row r="274" customFormat="1" ht="15" customHeight="1" x14ac:dyDescent="0.25"/>
    <row r="275" customFormat="1" ht="15" customHeight="1" x14ac:dyDescent="0.25"/>
    <row r="276" customFormat="1" ht="15" customHeight="1" x14ac:dyDescent="0.25"/>
    <row r="277" customFormat="1" ht="15" customHeight="1" x14ac:dyDescent="0.25"/>
    <row r="278" customFormat="1" ht="15" customHeight="1" x14ac:dyDescent="0.25"/>
    <row r="279" customFormat="1" ht="15" customHeight="1" x14ac:dyDescent="0.25"/>
    <row r="280" customFormat="1" ht="15" customHeight="1" x14ac:dyDescent="0.25"/>
    <row r="281" customFormat="1" ht="15" customHeight="1" x14ac:dyDescent="0.25"/>
    <row r="282" customFormat="1" ht="15" customHeight="1" x14ac:dyDescent="0.25"/>
    <row r="283" customFormat="1" ht="15" customHeight="1" x14ac:dyDescent="0.25"/>
    <row r="284" customFormat="1" ht="15" customHeight="1" x14ac:dyDescent="0.25"/>
    <row r="285" customFormat="1" ht="15" customHeight="1" x14ac:dyDescent="0.25"/>
    <row r="286" customFormat="1" ht="15" customHeight="1" x14ac:dyDescent="0.25"/>
    <row r="287" customFormat="1" ht="15" customHeight="1" x14ac:dyDescent="0.25"/>
    <row r="288" customFormat="1" ht="15" customHeight="1" x14ac:dyDescent="0.25"/>
    <row r="289" customFormat="1" ht="15" customHeight="1" x14ac:dyDescent="0.25"/>
    <row r="290" customFormat="1" ht="15" customHeight="1" x14ac:dyDescent="0.25"/>
    <row r="291" customFormat="1" ht="15" customHeight="1" x14ac:dyDescent="0.25"/>
    <row r="292" customFormat="1" ht="15" customHeight="1" x14ac:dyDescent="0.25"/>
    <row r="293" customFormat="1" ht="15" customHeight="1" x14ac:dyDescent="0.25"/>
    <row r="294" customFormat="1" ht="15" customHeight="1" x14ac:dyDescent="0.25"/>
    <row r="295" customFormat="1" ht="15" customHeight="1" x14ac:dyDescent="0.25"/>
    <row r="296" customFormat="1" ht="15" customHeight="1" x14ac:dyDescent="0.25"/>
    <row r="297" customFormat="1" ht="15" customHeight="1" x14ac:dyDescent="0.25"/>
    <row r="298" customFormat="1" ht="15" customHeight="1" x14ac:dyDescent="0.25"/>
    <row r="299" customFormat="1" ht="15" customHeight="1" x14ac:dyDescent="0.25"/>
    <row r="300" customFormat="1" ht="15" customHeight="1" x14ac:dyDescent="0.25"/>
    <row r="301" customFormat="1" ht="15" customHeight="1" x14ac:dyDescent="0.25"/>
    <row r="302" customFormat="1" ht="15" customHeight="1" x14ac:dyDescent="0.25"/>
    <row r="303" customFormat="1" ht="15" customHeight="1" x14ac:dyDescent="0.25"/>
    <row r="304" customFormat="1" ht="15" customHeight="1" x14ac:dyDescent="0.25"/>
    <row r="305" customFormat="1" ht="15" customHeight="1" x14ac:dyDescent="0.25"/>
    <row r="306" customFormat="1" ht="15" customHeight="1" x14ac:dyDescent="0.25"/>
    <row r="307" customFormat="1" ht="15" customHeight="1" x14ac:dyDescent="0.25"/>
    <row r="308" customFormat="1" ht="15" customHeight="1" x14ac:dyDescent="0.25"/>
    <row r="309" customFormat="1" ht="15" customHeight="1" x14ac:dyDescent="0.25"/>
    <row r="310" customFormat="1" ht="15" customHeight="1" x14ac:dyDescent="0.25"/>
    <row r="311" customFormat="1" ht="15" customHeight="1" x14ac:dyDescent="0.25"/>
    <row r="312" customFormat="1" ht="15" customHeight="1" x14ac:dyDescent="0.25"/>
    <row r="313" customFormat="1" ht="15" customHeight="1" x14ac:dyDescent="0.25"/>
    <row r="314" customFormat="1" ht="15" customHeight="1" x14ac:dyDescent="0.25"/>
    <row r="315" customFormat="1" ht="15" customHeight="1" x14ac:dyDescent="0.25"/>
    <row r="316" customFormat="1" ht="15" customHeight="1" x14ac:dyDescent="0.25"/>
    <row r="317" customFormat="1" ht="15" customHeight="1" x14ac:dyDescent="0.25"/>
    <row r="318" customFormat="1" ht="15" customHeight="1" x14ac:dyDescent="0.25"/>
    <row r="319" customFormat="1" ht="15" customHeight="1" x14ac:dyDescent="0.25"/>
    <row r="320" customFormat="1" ht="15" customHeight="1" x14ac:dyDescent="0.25"/>
    <row r="321" customFormat="1" ht="15" customHeight="1" x14ac:dyDescent="0.25"/>
    <row r="322" customFormat="1" ht="15" customHeight="1" x14ac:dyDescent="0.25"/>
    <row r="323" customFormat="1" ht="15" customHeight="1" x14ac:dyDescent="0.25"/>
    <row r="324" customFormat="1" ht="15" customHeight="1" x14ac:dyDescent="0.25"/>
    <row r="325" customFormat="1" ht="15" customHeight="1" x14ac:dyDescent="0.25"/>
    <row r="326" customFormat="1" ht="15" customHeight="1" x14ac:dyDescent="0.25"/>
    <row r="327" customFormat="1" ht="15" customHeight="1" x14ac:dyDescent="0.25"/>
    <row r="328" customFormat="1" ht="15" customHeight="1" x14ac:dyDescent="0.25"/>
    <row r="329" customFormat="1" ht="15" customHeight="1" x14ac:dyDescent="0.25"/>
    <row r="330" customFormat="1" ht="15" customHeight="1" x14ac:dyDescent="0.25"/>
    <row r="331" customFormat="1" ht="15" customHeight="1" x14ac:dyDescent="0.25"/>
    <row r="332" customFormat="1" ht="15" customHeight="1" x14ac:dyDescent="0.25"/>
    <row r="333" customFormat="1" ht="15" customHeight="1" x14ac:dyDescent="0.25"/>
    <row r="334" customFormat="1" ht="15" customHeight="1" x14ac:dyDescent="0.25"/>
    <row r="335" customFormat="1" ht="15" customHeight="1" x14ac:dyDescent="0.25"/>
    <row r="336" customFormat="1" ht="15" customHeight="1" x14ac:dyDescent="0.25"/>
    <row r="337" customFormat="1" ht="15" customHeight="1" x14ac:dyDescent="0.25"/>
    <row r="338" customFormat="1" ht="15" customHeight="1" x14ac:dyDescent="0.25"/>
    <row r="339" customFormat="1" ht="15" customHeight="1" x14ac:dyDescent="0.25"/>
    <row r="340" customFormat="1" ht="15" customHeight="1" x14ac:dyDescent="0.25"/>
    <row r="341" customFormat="1" ht="15" customHeight="1" x14ac:dyDescent="0.25"/>
    <row r="342" customFormat="1" ht="15" customHeight="1" x14ac:dyDescent="0.25"/>
    <row r="343" customFormat="1" ht="15" customHeight="1" x14ac:dyDescent="0.25"/>
    <row r="344" customFormat="1" ht="15" customHeight="1" x14ac:dyDescent="0.25"/>
    <row r="345" customFormat="1" ht="15" customHeight="1" x14ac:dyDescent="0.25"/>
    <row r="346" customFormat="1" ht="15" customHeight="1" x14ac:dyDescent="0.25"/>
    <row r="347" customFormat="1" ht="15" customHeight="1" x14ac:dyDescent="0.25"/>
    <row r="348" customFormat="1" ht="15" customHeight="1" x14ac:dyDescent="0.25"/>
    <row r="349" customFormat="1" ht="15" customHeight="1" x14ac:dyDescent="0.25"/>
    <row r="350" customFormat="1" ht="15" customHeight="1" x14ac:dyDescent="0.25"/>
    <row r="351" customFormat="1" ht="15" customHeight="1" x14ac:dyDescent="0.25"/>
    <row r="352" customFormat="1" ht="15" customHeight="1" x14ac:dyDescent="0.25"/>
    <row r="353" customFormat="1" ht="15" customHeight="1" x14ac:dyDescent="0.25"/>
    <row r="354" customFormat="1" ht="15" customHeight="1" x14ac:dyDescent="0.25"/>
    <row r="355" customFormat="1" ht="15" customHeight="1" x14ac:dyDescent="0.25"/>
    <row r="356" customFormat="1" ht="15" customHeight="1" x14ac:dyDescent="0.25"/>
    <row r="357" customFormat="1" ht="15" customHeight="1" x14ac:dyDescent="0.25"/>
    <row r="358" customFormat="1" ht="15" customHeight="1" x14ac:dyDescent="0.25"/>
    <row r="359" customFormat="1" ht="15" customHeight="1" x14ac:dyDescent="0.25"/>
    <row r="360" customFormat="1" ht="15" customHeight="1" x14ac:dyDescent="0.25"/>
    <row r="361" customFormat="1" ht="15" customHeight="1" x14ac:dyDescent="0.25"/>
    <row r="362" customFormat="1" ht="15" customHeight="1" x14ac:dyDescent="0.25"/>
    <row r="363" customFormat="1" ht="15" customHeight="1" x14ac:dyDescent="0.25"/>
    <row r="364" customFormat="1" ht="15" customHeight="1" x14ac:dyDescent="0.25"/>
    <row r="365" customFormat="1" ht="15" customHeight="1" x14ac:dyDescent="0.25"/>
    <row r="366" customFormat="1" ht="15" customHeight="1" x14ac:dyDescent="0.25"/>
    <row r="367" customFormat="1" ht="15" customHeight="1" x14ac:dyDescent="0.25"/>
    <row r="368" customFormat="1" ht="15" customHeight="1" x14ac:dyDescent="0.25"/>
    <row r="369" customFormat="1" ht="15" customHeight="1" x14ac:dyDescent="0.25"/>
    <row r="370" customFormat="1" ht="15" customHeight="1" x14ac:dyDescent="0.25"/>
    <row r="371" customFormat="1" ht="15" customHeight="1" x14ac:dyDescent="0.25"/>
    <row r="372" customFormat="1" ht="15" customHeight="1" x14ac:dyDescent="0.25"/>
    <row r="373" customFormat="1" ht="15" customHeight="1" x14ac:dyDescent="0.25"/>
    <row r="374" customFormat="1" ht="15" customHeight="1" x14ac:dyDescent="0.25"/>
    <row r="375" customFormat="1" ht="15" customHeight="1" x14ac:dyDescent="0.25"/>
    <row r="376" customFormat="1" ht="15" customHeight="1" x14ac:dyDescent="0.25"/>
    <row r="377" customFormat="1" ht="15" customHeight="1" x14ac:dyDescent="0.25"/>
    <row r="378" customFormat="1" ht="15" customHeight="1" x14ac:dyDescent="0.25"/>
    <row r="379" customFormat="1" ht="15" customHeight="1" x14ac:dyDescent="0.25"/>
    <row r="380" customFormat="1" ht="15" customHeight="1" x14ac:dyDescent="0.25"/>
    <row r="381" customFormat="1" ht="15" customHeight="1" x14ac:dyDescent="0.25"/>
    <row r="382" customFormat="1" ht="15" customHeight="1" x14ac:dyDescent="0.25"/>
    <row r="383" customFormat="1" ht="15" customHeight="1" x14ac:dyDescent="0.25"/>
    <row r="384" customFormat="1" ht="15" customHeight="1" x14ac:dyDescent="0.25"/>
    <row r="385" customFormat="1" ht="15" customHeight="1" x14ac:dyDescent="0.25"/>
    <row r="386" customFormat="1" ht="15" customHeight="1" x14ac:dyDescent="0.25"/>
    <row r="387" customFormat="1" ht="15" customHeight="1" x14ac:dyDescent="0.25"/>
    <row r="388" customFormat="1" ht="15" customHeight="1" x14ac:dyDescent="0.25"/>
    <row r="389" customFormat="1" ht="15" customHeight="1" x14ac:dyDescent="0.25"/>
    <row r="390" customFormat="1" ht="15" customHeight="1" x14ac:dyDescent="0.25"/>
    <row r="391" customFormat="1" ht="15" customHeight="1" x14ac:dyDescent="0.25"/>
    <row r="392" customFormat="1" ht="15" customHeight="1" x14ac:dyDescent="0.25"/>
    <row r="393" customFormat="1" ht="15" customHeight="1" x14ac:dyDescent="0.25"/>
    <row r="394" customFormat="1" ht="15" customHeight="1" x14ac:dyDescent="0.25"/>
    <row r="395" customFormat="1" ht="15" customHeight="1" x14ac:dyDescent="0.25"/>
    <row r="396" customFormat="1" ht="15" customHeight="1" x14ac:dyDescent="0.25"/>
    <row r="397" customFormat="1" ht="15" customHeight="1" x14ac:dyDescent="0.25"/>
    <row r="398" customFormat="1" ht="15" customHeight="1" x14ac:dyDescent="0.25"/>
    <row r="399" customFormat="1" ht="15" customHeight="1" x14ac:dyDescent="0.25"/>
    <row r="400" customFormat="1" ht="15" customHeight="1" x14ac:dyDescent="0.25"/>
    <row r="401" customFormat="1" ht="15" customHeight="1" x14ac:dyDescent="0.25"/>
    <row r="402" customFormat="1" ht="15" customHeight="1" x14ac:dyDescent="0.25"/>
    <row r="403" customFormat="1" ht="15" customHeight="1" x14ac:dyDescent="0.25"/>
    <row r="404" customFormat="1" ht="15" customHeight="1" x14ac:dyDescent="0.25"/>
    <row r="405" customFormat="1" ht="15" customHeight="1" x14ac:dyDescent="0.25"/>
    <row r="406" customFormat="1" ht="15" customHeight="1" x14ac:dyDescent="0.25"/>
    <row r="407" customFormat="1" ht="15" customHeight="1" x14ac:dyDescent="0.25"/>
    <row r="408" customFormat="1" ht="15" customHeight="1" x14ac:dyDescent="0.25"/>
    <row r="409" customFormat="1" ht="15" customHeight="1" x14ac:dyDescent="0.25"/>
    <row r="410" customFormat="1" ht="15" customHeight="1" x14ac:dyDescent="0.25"/>
    <row r="411" customFormat="1" ht="15" customHeight="1" x14ac:dyDescent="0.25"/>
    <row r="412" customFormat="1" ht="15" customHeight="1" x14ac:dyDescent="0.25"/>
    <row r="413" customFormat="1" ht="15" customHeight="1" x14ac:dyDescent="0.25"/>
    <row r="414" customFormat="1" ht="15" customHeight="1" x14ac:dyDescent="0.25"/>
    <row r="415" customFormat="1" ht="15" customHeight="1" x14ac:dyDescent="0.25"/>
    <row r="416" customFormat="1" ht="15" customHeight="1" x14ac:dyDescent="0.25"/>
    <row r="417" customFormat="1" ht="15" customHeight="1" x14ac:dyDescent="0.25"/>
    <row r="418" customFormat="1" ht="15" customHeight="1" x14ac:dyDescent="0.25"/>
    <row r="419" customFormat="1" ht="15" customHeight="1" x14ac:dyDescent="0.25"/>
    <row r="420" customFormat="1" ht="15" customHeight="1" x14ac:dyDescent="0.25"/>
    <row r="421" customFormat="1" ht="15" customHeight="1" x14ac:dyDescent="0.25"/>
    <row r="422" customFormat="1" ht="15" customHeight="1" x14ac:dyDescent="0.25"/>
    <row r="423" customFormat="1" ht="15" customHeight="1" x14ac:dyDescent="0.25"/>
    <row r="424" customFormat="1" ht="15" customHeight="1" x14ac:dyDescent="0.25"/>
    <row r="425" customFormat="1" ht="15" customHeight="1" x14ac:dyDescent="0.25"/>
    <row r="426" customFormat="1" ht="15" customHeight="1" x14ac:dyDescent="0.25"/>
    <row r="427" customFormat="1" ht="15" customHeight="1" x14ac:dyDescent="0.25"/>
    <row r="428" customFormat="1" ht="15" customHeight="1" x14ac:dyDescent="0.25"/>
    <row r="429" customFormat="1" ht="15" customHeight="1" x14ac:dyDescent="0.25"/>
    <row r="430" customFormat="1" ht="15" customHeight="1" x14ac:dyDescent="0.25"/>
    <row r="431" customFormat="1" ht="15" customHeight="1" x14ac:dyDescent="0.25"/>
    <row r="432" customFormat="1" ht="15" customHeight="1" x14ac:dyDescent="0.25"/>
    <row r="433" customFormat="1" ht="15" customHeight="1" x14ac:dyDescent="0.25"/>
    <row r="434" customFormat="1" ht="15" customHeight="1" x14ac:dyDescent="0.25"/>
    <row r="435" customFormat="1" ht="15" customHeight="1" x14ac:dyDescent="0.25"/>
    <row r="436" customFormat="1" ht="15" customHeight="1" x14ac:dyDescent="0.25"/>
    <row r="437" customFormat="1" ht="15" customHeight="1" x14ac:dyDescent="0.25"/>
    <row r="438" customFormat="1" ht="15" customHeight="1" x14ac:dyDescent="0.25"/>
    <row r="439" customFormat="1" ht="15" customHeight="1" x14ac:dyDescent="0.25"/>
    <row r="440" customFormat="1" ht="15" customHeight="1" x14ac:dyDescent="0.25"/>
    <row r="441" customFormat="1" ht="15" customHeight="1" x14ac:dyDescent="0.25"/>
    <row r="442" customFormat="1" ht="15" customHeight="1" x14ac:dyDescent="0.25"/>
    <row r="443" customFormat="1" ht="15" customHeight="1" x14ac:dyDescent="0.25"/>
    <row r="444" customFormat="1" ht="15" customHeight="1" x14ac:dyDescent="0.25"/>
    <row r="445" customFormat="1" ht="15" customHeight="1" x14ac:dyDescent="0.25"/>
    <row r="446" customFormat="1" ht="15" customHeight="1" x14ac:dyDescent="0.25"/>
    <row r="447" customFormat="1" ht="15" customHeight="1" x14ac:dyDescent="0.25"/>
    <row r="448" customFormat="1" ht="15" customHeight="1" x14ac:dyDescent="0.25"/>
    <row r="449" customFormat="1" ht="15" customHeight="1" x14ac:dyDescent="0.25"/>
    <row r="450" customFormat="1" ht="15" customHeight="1" x14ac:dyDescent="0.25"/>
    <row r="451" customFormat="1" ht="15" customHeight="1" x14ac:dyDescent="0.25"/>
    <row r="452" customFormat="1" ht="15" customHeight="1" x14ac:dyDescent="0.25"/>
    <row r="453" customFormat="1" ht="15" customHeight="1" x14ac:dyDescent="0.25"/>
    <row r="454" customFormat="1" ht="15" customHeight="1" x14ac:dyDescent="0.25"/>
    <row r="455" customFormat="1" ht="15" customHeight="1" x14ac:dyDescent="0.25"/>
    <row r="456" customFormat="1" ht="15" customHeight="1" x14ac:dyDescent="0.25"/>
    <row r="457" customFormat="1" ht="15" customHeight="1" x14ac:dyDescent="0.25"/>
    <row r="458" customFormat="1" ht="15" customHeight="1" x14ac:dyDescent="0.25"/>
    <row r="459" customFormat="1" ht="15" customHeight="1" x14ac:dyDescent="0.25"/>
    <row r="460" customFormat="1" ht="15" customHeight="1" x14ac:dyDescent="0.25"/>
    <row r="461" customFormat="1" ht="15" customHeight="1" x14ac:dyDescent="0.25"/>
    <row r="462" customFormat="1" ht="15" customHeight="1" x14ac:dyDescent="0.25"/>
    <row r="463" customFormat="1" ht="15" customHeight="1" x14ac:dyDescent="0.25"/>
    <row r="464" customFormat="1" ht="15" customHeight="1" x14ac:dyDescent="0.25"/>
    <row r="465" customFormat="1" ht="15" customHeight="1" x14ac:dyDescent="0.25"/>
    <row r="466" customFormat="1" ht="15" customHeight="1" x14ac:dyDescent="0.25"/>
    <row r="467" customFormat="1" ht="15" customHeight="1" x14ac:dyDescent="0.25"/>
    <row r="468" customFormat="1" ht="15" customHeight="1" x14ac:dyDescent="0.25"/>
    <row r="469" customFormat="1" ht="15" customHeight="1" x14ac:dyDescent="0.25"/>
    <row r="470" customFormat="1" ht="15" customHeight="1" x14ac:dyDescent="0.25"/>
    <row r="471" customFormat="1" ht="15" customHeight="1" x14ac:dyDescent="0.25"/>
    <row r="472" customFormat="1" ht="15" customHeight="1" x14ac:dyDescent="0.25"/>
    <row r="473" customFormat="1" ht="15" customHeight="1" x14ac:dyDescent="0.25"/>
    <row r="474" customFormat="1" ht="15" customHeight="1" x14ac:dyDescent="0.25"/>
    <row r="475" customFormat="1" ht="15" customHeight="1" x14ac:dyDescent="0.25"/>
    <row r="476" customFormat="1" ht="15" customHeight="1" x14ac:dyDescent="0.25"/>
    <row r="477" customFormat="1" ht="15" customHeight="1" x14ac:dyDescent="0.25"/>
    <row r="478" customFormat="1" ht="15" customHeight="1" x14ac:dyDescent="0.25"/>
    <row r="479" customFormat="1" ht="15" customHeight="1" x14ac:dyDescent="0.25"/>
    <row r="480" customFormat="1" ht="15" customHeight="1" x14ac:dyDescent="0.25"/>
    <row r="481" customFormat="1" ht="15" customHeight="1" x14ac:dyDescent="0.25"/>
    <row r="482" customFormat="1" ht="15" customHeight="1" x14ac:dyDescent="0.25"/>
    <row r="483" customFormat="1" ht="15" customHeight="1" x14ac:dyDescent="0.25"/>
    <row r="484" customFormat="1" ht="15" customHeight="1" x14ac:dyDescent="0.25"/>
    <row r="485" customFormat="1" ht="15" customHeight="1" x14ac:dyDescent="0.25"/>
    <row r="486" customFormat="1" ht="15" customHeight="1" x14ac:dyDescent="0.25"/>
    <row r="487" customFormat="1" ht="15" customHeight="1" x14ac:dyDescent="0.25"/>
    <row r="488" customFormat="1" ht="15" customHeight="1" x14ac:dyDescent="0.25"/>
    <row r="489" customFormat="1" ht="15" customHeight="1" x14ac:dyDescent="0.25"/>
    <row r="490" customFormat="1" ht="15" customHeight="1" x14ac:dyDescent="0.25"/>
    <row r="491" customFormat="1" ht="15" customHeight="1" x14ac:dyDescent="0.25"/>
    <row r="492" customFormat="1" ht="15" customHeight="1" x14ac:dyDescent="0.25"/>
    <row r="493" customFormat="1" ht="15" customHeight="1" x14ac:dyDescent="0.25"/>
    <row r="494" customFormat="1" ht="15" customHeight="1" x14ac:dyDescent="0.25"/>
    <row r="495" customFormat="1" ht="15" customHeight="1" x14ac:dyDescent="0.25"/>
    <row r="496" customFormat="1" ht="15" customHeight="1" x14ac:dyDescent="0.25"/>
    <row r="497" customFormat="1" ht="15" customHeight="1" x14ac:dyDescent="0.25"/>
    <row r="498" customFormat="1" ht="15" customHeight="1" x14ac:dyDescent="0.25"/>
    <row r="499" customFormat="1" ht="15" customHeight="1" x14ac:dyDescent="0.25"/>
    <row r="500" customFormat="1" ht="15" customHeight="1" x14ac:dyDescent="0.25"/>
    <row r="501" customFormat="1" ht="15" customHeight="1" x14ac:dyDescent="0.25"/>
    <row r="502" customFormat="1" ht="15" customHeight="1" x14ac:dyDescent="0.25"/>
    <row r="503" customFormat="1" ht="15" customHeight="1" x14ac:dyDescent="0.25"/>
    <row r="504" customFormat="1" ht="15" customHeight="1" x14ac:dyDescent="0.25"/>
    <row r="505" customFormat="1" ht="15" customHeight="1" x14ac:dyDescent="0.25"/>
    <row r="506" customFormat="1" ht="15" customHeight="1" x14ac:dyDescent="0.25"/>
    <row r="507" customFormat="1" ht="15" customHeight="1" x14ac:dyDescent="0.25"/>
    <row r="508" customFormat="1" ht="15" customHeight="1" x14ac:dyDescent="0.25"/>
    <row r="509" customFormat="1" ht="15" customHeight="1" x14ac:dyDescent="0.25"/>
    <row r="510" customFormat="1" ht="15" customHeight="1" x14ac:dyDescent="0.25"/>
    <row r="511" customFormat="1" ht="15" customHeight="1" x14ac:dyDescent="0.25"/>
    <row r="512" customFormat="1" ht="15" customHeight="1" x14ac:dyDescent="0.25"/>
    <row r="513" customFormat="1" ht="15" customHeight="1" x14ac:dyDescent="0.25"/>
    <row r="514" customFormat="1" ht="15" customHeight="1" x14ac:dyDescent="0.25"/>
    <row r="515" customFormat="1" ht="15" customHeight="1" x14ac:dyDescent="0.25"/>
    <row r="516" customFormat="1" ht="15" customHeight="1" x14ac:dyDescent="0.25"/>
    <row r="517" customFormat="1" ht="15" customHeight="1" x14ac:dyDescent="0.25"/>
    <row r="518" customFormat="1" ht="15" customHeight="1" x14ac:dyDescent="0.25"/>
    <row r="519" customFormat="1" ht="15" customHeight="1" x14ac:dyDescent="0.25"/>
    <row r="520" customFormat="1" ht="15" customHeight="1" x14ac:dyDescent="0.25"/>
    <row r="521" customFormat="1" ht="15" customHeight="1" x14ac:dyDescent="0.25"/>
    <row r="522" customFormat="1" ht="15" customHeight="1" x14ac:dyDescent="0.25"/>
    <row r="523" customFormat="1" ht="15" customHeight="1" x14ac:dyDescent="0.25"/>
    <row r="524" customFormat="1" ht="15" customHeight="1" x14ac:dyDescent="0.25"/>
    <row r="525" customFormat="1" ht="15" customHeight="1" x14ac:dyDescent="0.25"/>
    <row r="526" customFormat="1" ht="15" customHeight="1" x14ac:dyDescent="0.25"/>
    <row r="527" customFormat="1" ht="15" customHeight="1" x14ac:dyDescent="0.25"/>
    <row r="528" customFormat="1" ht="15" customHeight="1" x14ac:dyDescent="0.25"/>
    <row r="529" customFormat="1" ht="15" customHeight="1" x14ac:dyDescent="0.25"/>
    <row r="530" customFormat="1" ht="15" customHeight="1" x14ac:dyDescent="0.25"/>
    <row r="531" customFormat="1" ht="15" customHeight="1" x14ac:dyDescent="0.25"/>
    <row r="532" customFormat="1" ht="15" customHeight="1" x14ac:dyDescent="0.25"/>
    <row r="533" customFormat="1" ht="15" customHeight="1" x14ac:dyDescent="0.25"/>
    <row r="534" customFormat="1" ht="15" customHeight="1" x14ac:dyDescent="0.25"/>
    <row r="535" customFormat="1" ht="15" customHeight="1" x14ac:dyDescent="0.25"/>
    <row r="536" customFormat="1" ht="15" customHeight="1" x14ac:dyDescent="0.25"/>
    <row r="537" customFormat="1" ht="15" customHeight="1" x14ac:dyDescent="0.25"/>
    <row r="538" customFormat="1" ht="15" customHeight="1" x14ac:dyDescent="0.25"/>
    <row r="539" customFormat="1" ht="15" customHeight="1" x14ac:dyDescent="0.25"/>
    <row r="540" customFormat="1" ht="15" customHeight="1" x14ac:dyDescent="0.25"/>
    <row r="541" customFormat="1" ht="15" customHeight="1" x14ac:dyDescent="0.25"/>
    <row r="542" customFormat="1" ht="15" customHeight="1" x14ac:dyDescent="0.25"/>
    <row r="543" customFormat="1" ht="15" customHeight="1" x14ac:dyDescent="0.25"/>
    <row r="544" customFormat="1" ht="15" customHeight="1" x14ac:dyDescent="0.25"/>
    <row r="545" customFormat="1" ht="15" customHeight="1" x14ac:dyDescent="0.25"/>
    <row r="546" customFormat="1" ht="15" customHeight="1" x14ac:dyDescent="0.25"/>
    <row r="547" customFormat="1" ht="15" customHeight="1" x14ac:dyDescent="0.25"/>
    <row r="548" customFormat="1" ht="15" customHeight="1" x14ac:dyDescent="0.25"/>
    <row r="549" customFormat="1" ht="15" customHeight="1" x14ac:dyDescent="0.25"/>
    <row r="550" customFormat="1" ht="15" customHeight="1" x14ac:dyDescent="0.25"/>
    <row r="551" customFormat="1" ht="15" customHeight="1" x14ac:dyDescent="0.25"/>
    <row r="552" customFormat="1" ht="15" customHeight="1" x14ac:dyDescent="0.25"/>
    <row r="553" customFormat="1" ht="15" customHeight="1" x14ac:dyDescent="0.25"/>
    <row r="554" customFormat="1" ht="15" customHeight="1" x14ac:dyDescent="0.25"/>
    <row r="555" customFormat="1" ht="15" customHeight="1" x14ac:dyDescent="0.25"/>
    <row r="556" customFormat="1" ht="15" customHeight="1" x14ac:dyDescent="0.25"/>
    <row r="557" customFormat="1" ht="15" customHeight="1" x14ac:dyDescent="0.25"/>
    <row r="558" customFormat="1" ht="15" customHeight="1" x14ac:dyDescent="0.25"/>
    <row r="559" customFormat="1" ht="15" customHeight="1" x14ac:dyDescent="0.25"/>
    <row r="560" customFormat="1" ht="15" customHeight="1" x14ac:dyDescent="0.25"/>
    <row r="561" customFormat="1" ht="15" customHeight="1" x14ac:dyDescent="0.25"/>
    <row r="562" customFormat="1" ht="15" customHeight="1" x14ac:dyDescent="0.25"/>
    <row r="563" customFormat="1" ht="15" customHeight="1" x14ac:dyDescent="0.25"/>
    <row r="564" customFormat="1" ht="15" customHeight="1" x14ac:dyDescent="0.25"/>
    <row r="565" customFormat="1" ht="15" customHeight="1" x14ac:dyDescent="0.25"/>
    <row r="566" customFormat="1" ht="15" customHeight="1" x14ac:dyDescent="0.25"/>
    <row r="567" customFormat="1" ht="15" customHeight="1" x14ac:dyDescent="0.25"/>
    <row r="568" customFormat="1" ht="15" customHeight="1" x14ac:dyDescent="0.25"/>
    <row r="569" customFormat="1" ht="15" customHeight="1" x14ac:dyDescent="0.25"/>
    <row r="570" customFormat="1" ht="15" customHeight="1" x14ac:dyDescent="0.25"/>
    <row r="571" customFormat="1" ht="15" customHeight="1" x14ac:dyDescent="0.25"/>
    <row r="572" customFormat="1" ht="15" customHeight="1" x14ac:dyDescent="0.25"/>
    <row r="573" customFormat="1" ht="15" customHeight="1" x14ac:dyDescent="0.25"/>
    <row r="574" customFormat="1" ht="15" customHeight="1" x14ac:dyDescent="0.25"/>
    <row r="575" customFormat="1" ht="15" customHeight="1" x14ac:dyDescent="0.25"/>
    <row r="576" customFormat="1" ht="15" customHeight="1" x14ac:dyDescent="0.25"/>
    <row r="577" customFormat="1" ht="15" customHeight="1" x14ac:dyDescent="0.25"/>
    <row r="578" customFormat="1" ht="15" customHeight="1" x14ac:dyDescent="0.25"/>
    <row r="579" customFormat="1" ht="15" customHeight="1" x14ac:dyDescent="0.25"/>
    <row r="580" customFormat="1" ht="15" customHeight="1" x14ac:dyDescent="0.25"/>
    <row r="581" customFormat="1" ht="15" customHeight="1" x14ac:dyDescent="0.25"/>
    <row r="582" customFormat="1" ht="15" customHeight="1" x14ac:dyDescent="0.25"/>
    <row r="583" customFormat="1" ht="15" customHeight="1" x14ac:dyDescent="0.25"/>
    <row r="584" customFormat="1" ht="15" customHeight="1" x14ac:dyDescent="0.25"/>
    <row r="585" customFormat="1" ht="15" customHeight="1" x14ac:dyDescent="0.25"/>
    <row r="586" customFormat="1" ht="15" customHeight="1" x14ac:dyDescent="0.25"/>
    <row r="587" customFormat="1" ht="15" customHeight="1" x14ac:dyDescent="0.25"/>
    <row r="588" customFormat="1" ht="15" customHeight="1" x14ac:dyDescent="0.25"/>
    <row r="589" customFormat="1" ht="15" customHeight="1" x14ac:dyDescent="0.25"/>
    <row r="590" customFormat="1" ht="15" customHeight="1" x14ac:dyDescent="0.25"/>
    <row r="591" customFormat="1" ht="15" customHeight="1" x14ac:dyDescent="0.25"/>
    <row r="592" customFormat="1" ht="15" customHeight="1" x14ac:dyDescent="0.25"/>
    <row r="593" customFormat="1" ht="15" customHeight="1" x14ac:dyDescent="0.25"/>
    <row r="594" customFormat="1" ht="15" customHeight="1" x14ac:dyDescent="0.25"/>
    <row r="595" customFormat="1" ht="15" customHeight="1" x14ac:dyDescent="0.25"/>
    <row r="596" customFormat="1" ht="15" customHeight="1" x14ac:dyDescent="0.25"/>
    <row r="597" customFormat="1" ht="15" customHeight="1" x14ac:dyDescent="0.25"/>
    <row r="598" customFormat="1" ht="15" customHeight="1" x14ac:dyDescent="0.25"/>
    <row r="599" customFormat="1" ht="15" customHeight="1" x14ac:dyDescent="0.25"/>
    <row r="600" customFormat="1" ht="15" customHeight="1" x14ac:dyDescent="0.25"/>
    <row r="601" customFormat="1" ht="15" customHeight="1" x14ac:dyDescent="0.25"/>
    <row r="602" customFormat="1" ht="15" customHeight="1" x14ac:dyDescent="0.25"/>
    <row r="603" customFormat="1" ht="15" customHeight="1" x14ac:dyDescent="0.25"/>
    <row r="604" customFormat="1" ht="15" customHeight="1" x14ac:dyDescent="0.25"/>
    <row r="605" customFormat="1" ht="15" customHeight="1" x14ac:dyDescent="0.25"/>
    <row r="606" customFormat="1" ht="15" customHeight="1" x14ac:dyDescent="0.25"/>
    <row r="607" customFormat="1" ht="15" customHeight="1" x14ac:dyDescent="0.25"/>
    <row r="608" customFormat="1" ht="15" customHeight="1" x14ac:dyDescent="0.25"/>
    <row r="609" customFormat="1" ht="15" customHeight="1" x14ac:dyDescent="0.25"/>
    <row r="610" customFormat="1" ht="15" customHeight="1" x14ac:dyDescent="0.25"/>
    <row r="611" customFormat="1" ht="15" customHeight="1" x14ac:dyDescent="0.25"/>
    <row r="612" customFormat="1" ht="15" customHeight="1" x14ac:dyDescent="0.25"/>
    <row r="613" customFormat="1" ht="15" customHeight="1" x14ac:dyDescent="0.25"/>
    <row r="614" customFormat="1" ht="15" customHeight="1" x14ac:dyDescent="0.25"/>
    <row r="615" customFormat="1" ht="15" customHeight="1" x14ac:dyDescent="0.25"/>
    <row r="616" customFormat="1" ht="15" customHeight="1" x14ac:dyDescent="0.25"/>
    <row r="617" customFormat="1" ht="15" customHeight="1" x14ac:dyDescent="0.25"/>
    <row r="618" customFormat="1" ht="15" customHeight="1" x14ac:dyDescent="0.25"/>
    <row r="619" customFormat="1" ht="15" customHeight="1" x14ac:dyDescent="0.25"/>
    <row r="620" customFormat="1" ht="15" customHeight="1" x14ac:dyDescent="0.25"/>
    <row r="621" customFormat="1" ht="15" customHeight="1" x14ac:dyDescent="0.25"/>
    <row r="622" customFormat="1" ht="15" customHeight="1" x14ac:dyDescent="0.25"/>
    <row r="623" customFormat="1" ht="15" customHeight="1" x14ac:dyDescent="0.25"/>
    <row r="624" customFormat="1" ht="15" customHeight="1" x14ac:dyDescent="0.25"/>
    <row r="625" customFormat="1" ht="15" customHeight="1" x14ac:dyDescent="0.25"/>
    <row r="626" customFormat="1" ht="15" customHeight="1" x14ac:dyDescent="0.25"/>
    <row r="627" customFormat="1" ht="15" customHeight="1" x14ac:dyDescent="0.25"/>
    <row r="628" customFormat="1" ht="15" customHeight="1" x14ac:dyDescent="0.25"/>
    <row r="629" customFormat="1" ht="15" customHeight="1" x14ac:dyDescent="0.25"/>
    <row r="630" customFormat="1" ht="15" customHeight="1" x14ac:dyDescent="0.25"/>
    <row r="631" customFormat="1" ht="15" customHeight="1" x14ac:dyDescent="0.25"/>
    <row r="632" customFormat="1" ht="15" customHeight="1" x14ac:dyDescent="0.25"/>
    <row r="633" customFormat="1" ht="15" customHeight="1" x14ac:dyDescent="0.25"/>
    <row r="634" customFormat="1" ht="15" customHeight="1" x14ac:dyDescent="0.25"/>
    <row r="635" customFormat="1" ht="15" customHeight="1" x14ac:dyDescent="0.25"/>
    <row r="636" customFormat="1" ht="15" customHeight="1" x14ac:dyDescent="0.25"/>
    <row r="637" customFormat="1" ht="15" customHeight="1" x14ac:dyDescent="0.25"/>
    <row r="638" customFormat="1" ht="15" customHeight="1" x14ac:dyDescent="0.25"/>
    <row r="639" customFormat="1" ht="15" customHeight="1" x14ac:dyDescent="0.25"/>
    <row r="640" customFormat="1" ht="15" customHeight="1" x14ac:dyDescent="0.25"/>
    <row r="641" customFormat="1" ht="15" customHeight="1" x14ac:dyDescent="0.25"/>
    <row r="642" customFormat="1" ht="15" customHeight="1" x14ac:dyDescent="0.25"/>
    <row r="643" customFormat="1" ht="15" customHeight="1" x14ac:dyDescent="0.25"/>
    <row r="644" customFormat="1" ht="15" customHeight="1" x14ac:dyDescent="0.25"/>
    <row r="645" customFormat="1" ht="15" customHeight="1" x14ac:dyDescent="0.25"/>
    <row r="646" customFormat="1" ht="15" customHeight="1" x14ac:dyDescent="0.25"/>
    <row r="647" customFormat="1" ht="15" customHeight="1" x14ac:dyDescent="0.25"/>
    <row r="648" customFormat="1" ht="15" customHeight="1" x14ac:dyDescent="0.25"/>
    <row r="649" customFormat="1" ht="15" customHeight="1" x14ac:dyDescent="0.25"/>
    <row r="650" customFormat="1" ht="15" customHeight="1" x14ac:dyDescent="0.25"/>
    <row r="651" customFormat="1" ht="15" customHeight="1" x14ac:dyDescent="0.25"/>
    <row r="652" customFormat="1" ht="15" customHeight="1" x14ac:dyDescent="0.25"/>
    <row r="653" customFormat="1" ht="15" customHeight="1" x14ac:dyDescent="0.25"/>
    <row r="654" customFormat="1" ht="15" customHeight="1" x14ac:dyDescent="0.25"/>
    <row r="655" customFormat="1" ht="15" customHeight="1" x14ac:dyDescent="0.25"/>
    <row r="656" customFormat="1" ht="15" customHeight="1" x14ac:dyDescent="0.25"/>
    <row r="657" customFormat="1" ht="15" customHeight="1" x14ac:dyDescent="0.25"/>
    <row r="658" customFormat="1" ht="15" customHeight="1" x14ac:dyDescent="0.25"/>
    <row r="659" customFormat="1" ht="15" customHeight="1" x14ac:dyDescent="0.25"/>
    <row r="660" customFormat="1" ht="15" customHeight="1" x14ac:dyDescent="0.25"/>
    <row r="661" customFormat="1" ht="15" customHeight="1" x14ac:dyDescent="0.25"/>
    <row r="662" customFormat="1" ht="15" customHeight="1" x14ac:dyDescent="0.25"/>
    <row r="663" customFormat="1" ht="15" customHeight="1" x14ac:dyDescent="0.25"/>
    <row r="664" customFormat="1" ht="15" customHeight="1" x14ac:dyDescent="0.25"/>
    <row r="665" customFormat="1" ht="15" customHeight="1" x14ac:dyDescent="0.25"/>
    <row r="666" customFormat="1" ht="15" customHeight="1" x14ac:dyDescent="0.25"/>
    <row r="667" customFormat="1" ht="15" customHeight="1" x14ac:dyDescent="0.25"/>
    <row r="668" customFormat="1" ht="15" customHeight="1" x14ac:dyDescent="0.25"/>
    <row r="669" customFormat="1" ht="15" customHeight="1" x14ac:dyDescent="0.25"/>
    <row r="670" customFormat="1" ht="15" customHeight="1" x14ac:dyDescent="0.25"/>
    <row r="671" customFormat="1" ht="15" customHeight="1" x14ac:dyDescent="0.25"/>
    <row r="672" customFormat="1" ht="15" customHeight="1" x14ac:dyDescent="0.25"/>
    <row r="673" customFormat="1" ht="15" customHeight="1" x14ac:dyDescent="0.25"/>
    <row r="674" customFormat="1" ht="15" customHeight="1" x14ac:dyDescent="0.25"/>
    <row r="675" customFormat="1" ht="15" customHeight="1" x14ac:dyDescent="0.25"/>
    <row r="676" customFormat="1" ht="15" customHeight="1" x14ac:dyDescent="0.25"/>
    <row r="677" customFormat="1" ht="15" customHeight="1" x14ac:dyDescent="0.25"/>
    <row r="678" customFormat="1" ht="15" customHeight="1" x14ac:dyDescent="0.25"/>
    <row r="679" customFormat="1" ht="15" customHeight="1" x14ac:dyDescent="0.25"/>
    <row r="680" customFormat="1" ht="15" customHeight="1" x14ac:dyDescent="0.25"/>
    <row r="681" customFormat="1" ht="15" customHeight="1" x14ac:dyDescent="0.25"/>
    <row r="682" customFormat="1" ht="15" customHeight="1" x14ac:dyDescent="0.25"/>
    <row r="683" customFormat="1" ht="15" customHeight="1" x14ac:dyDescent="0.25"/>
    <row r="684" customFormat="1" ht="15" customHeight="1" x14ac:dyDescent="0.25"/>
    <row r="685" customFormat="1" ht="15" customHeight="1" x14ac:dyDescent="0.25"/>
    <row r="686" customFormat="1" ht="15" customHeight="1" x14ac:dyDescent="0.25"/>
    <row r="687" customFormat="1" ht="15" customHeight="1" x14ac:dyDescent="0.25"/>
    <row r="688" customFormat="1" ht="15" customHeight="1" x14ac:dyDescent="0.25"/>
    <row r="689" customFormat="1" ht="15" customHeight="1" x14ac:dyDescent="0.25"/>
    <row r="690" customFormat="1" ht="15" customHeight="1" x14ac:dyDescent="0.25"/>
    <row r="691" customFormat="1" ht="15" customHeight="1" x14ac:dyDescent="0.25"/>
    <row r="692" customFormat="1" ht="15" customHeight="1" x14ac:dyDescent="0.25"/>
    <row r="693" customFormat="1" ht="15" customHeight="1" x14ac:dyDescent="0.25"/>
    <row r="694" customFormat="1" ht="15" customHeight="1" x14ac:dyDescent="0.25"/>
    <row r="695" customFormat="1" ht="15" customHeight="1" x14ac:dyDescent="0.25"/>
    <row r="696" customFormat="1" ht="15" customHeight="1" x14ac:dyDescent="0.25"/>
    <row r="697" customFormat="1" ht="15" customHeight="1" x14ac:dyDescent="0.25"/>
    <row r="698" customFormat="1" ht="15" customHeight="1" x14ac:dyDescent="0.25"/>
    <row r="699" customFormat="1" ht="15" customHeight="1" x14ac:dyDescent="0.25"/>
    <row r="700" customFormat="1" ht="15" customHeight="1" x14ac:dyDescent="0.25"/>
    <row r="701" customFormat="1" ht="15" customHeight="1" x14ac:dyDescent="0.25"/>
    <row r="702" customFormat="1" ht="15" customHeight="1" x14ac:dyDescent="0.25"/>
    <row r="703" customFormat="1" ht="15" customHeight="1" x14ac:dyDescent="0.25"/>
    <row r="704" customFormat="1" ht="15" customHeight="1" x14ac:dyDescent="0.25"/>
    <row r="705" customFormat="1" ht="15" customHeight="1" x14ac:dyDescent="0.25"/>
    <row r="706" customFormat="1" ht="15" customHeight="1" x14ac:dyDescent="0.25"/>
    <row r="707" customFormat="1" ht="15" customHeight="1" x14ac:dyDescent="0.25"/>
    <row r="708" customFormat="1" ht="15" customHeight="1" x14ac:dyDescent="0.25"/>
    <row r="709" customFormat="1" ht="15" customHeight="1" x14ac:dyDescent="0.25"/>
    <row r="710" customFormat="1" ht="15" customHeight="1" x14ac:dyDescent="0.25"/>
    <row r="711" customFormat="1" ht="15" customHeight="1" x14ac:dyDescent="0.25"/>
    <row r="712" customFormat="1" ht="15" customHeight="1" x14ac:dyDescent="0.25"/>
    <row r="713" customFormat="1" ht="15" customHeight="1" x14ac:dyDescent="0.25"/>
    <row r="714" customFormat="1" ht="15" customHeight="1" x14ac:dyDescent="0.25"/>
    <row r="715" customFormat="1" ht="15" customHeight="1" x14ac:dyDescent="0.25"/>
    <row r="716" customFormat="1" ht="15" customHeight="1" x14ac:dyDescent="0.25"/>
    <row r="717" customFormat="1" ht="15" customHeight="1" x14ac:dyDescent="0.25"/>
    <row r="718" customFormat="1" ht="15" customHeight="1" x14ac:dyDescent="0.25"/>
    <row r="719" customFormat="1" ht="15" customHeight="1" x14ac:dyDescent="0.25"/>
    <row r="720" customFormat="1" ht="15" customHeight="1" x14ac:dyDescent="0.25"/>
    <row r="721" customFormat="1" ht="15" customHeight="1" x14ac:dyDescent="0.25"/>
    <row r="722" customFormat="1" ht="15" customHeight="1" x14ac:dyDescent="0.25"/>
    <row r="723" customFormat="1" ht="15" customHeight="1" x14ac:dyDescent="0.25"/>
    <row r="724" customFormat="1" ht="15" customHeight="1" x14ac:dyDescent="0.25"/>
    <row r="725" customFormat="1" ht="15" customHeight="1" x14ac:dyDescent="0.25"/>
    <row r="726" customFormat="1" ht="15" customHeight="1" x14ac:dyDescent="0.25"/>
    <row r="727" customFormat="1" ht="15" customHeight="1" x14ac:dyDescent="0.25"/>
    <row r="728" customFormat="1" ht="15" customHeight="1" x14ac:dyDescent="0.25"/>
    <row r="729" customFormat="1" ht="15" customHeight="1" x14ac:dyDescent="0.25"/>
    <row r="730" customFormat="1" ht="15" customHeight="1" x14ac:dyDescent="0.25"/>
    <row r="731" customFormat="1" ht="15" customHeight="1" x14ac:dyDescent="0.25"/>
    <row r="732" customFormat="1" ht="15" customHeight="1" x14ac:dyDescent="0.25"/>
    <row r="733" customFormat="1" ht="15" customHeight="1" x14ac:dyDescent="0.25"/>
    <row r="734" customFormat="1" ht="15" customHeight="1" x14ac:dyDescent="0.25"/>
    <row r="735" customFormat="1" ht="15" customHeight="1" x14ac:dyDescent="0.25"/>
    <row r="736" customFormat="1" ht="15" customHeight="1" x14ac:dyDescent="0.25"/>
    <row r="737" customFormat="1" ht="15" customHeight="1" x14ac:dyDescent="0.25"/>
    <row r="738" customFormat="1" ht="15" customHeight="1" x14ac:dyDescent="0.25"/>
    <row r="739" customFormat="1" ht="15" customHeight="1" x14ac:dyDescent="0.25"/>
    <row r="740" customFormat="1" ht="15" customHeight="1" x14ac:dyDescent="0.25"/>
    <row r="741" customFormat="1" ht="15" customHeight="1" x14ac:dyDescent="0.25"/>
    <row r="742" customFormat="1" ht="15" customHeight="1" x14ac:dyDescent="0.25"/>
    <row r="743" customFormat="1" ht="15" customHeight="1" x14ac:dyDescent="0.25"/>
    <row r="744" customFormat="1" ht="15" customHeight="1" x14ac:dyDescent="0.25"/>
    <row r="745" customFormat="1" ht="15" customHeight="1" x14ac:dyDescent="0.25"/>
    <row r="746" customFormat="1" ht="15" customHeight="1" x14ac:dyDescent="0.25"/>
    <row r="747" customFormat="1" ht="15" customHeight="1" x14ac:dyDescent="0.25"/>
    <row r="748" customFormat="1" ht="15" customHeight="1" x14ac:dyDescent="0.25"/>
    <row r="749" customFormat="1" ht="15" customHeight="1" x14ac:dyDescent="0.25"/>
    <row r="750" customFormat="1" ht="15" customHeight="1" x14ac:dyDescent="0.25"/>
    <row r="751" customFormat="1" ht="15" customHeight="1" x14ac:dyDescent="0.25"/>
    <row r="752" customFormat="1" ht="15" customHeight="1" x14ac:dyDescent="0.25"/>
    <row r="753" customFormat="1" ht="15" customHeight="1" x14ac:dyDescent="0.25"/>
    <row r="754" customFormat="1" ht="15" customHeight="1" x14ac:dyDescent="0.25"/>
    <row r="755" customFormat="1" ht="15" customHeight="1" x14ac:dyDescent="0.25"/>
    <row r="756" customFormat="1" ht="15" customHeight="1" x14ac:dyDescent="0.25"/>
    <row r="757" customFormat="1" ht="15" customHeight="1" x14ac:dyDescent="0.25"/>
    <row r="758" customFormat="1" ht="15" customHeight="1" x14ac:dyDescent="0.25"/>
    <row r="759" customFormat="1" ht="15" customHeight="1" x14ac:dyDescent="0.25"/>
    <row r="760" customFormat="1" ht="15" customHeight="1" x14ac:dyDescent="0.25"/>
    <row r="761" customFormat="1" ht="15" customHeight="1" x14ac:dyDescent="0.25"/>
    <row r="762" customFormat="1" ht="15" customHeight="1" x14ac:dyDescent="0.25"/>
    <row r="763" customFormat="1" ht="15" customHeight="1" x14ac:dyDescent="0.25"/>
    <row r="764" customFormat="1" ht="15" customHeight="1" x14ac:dyDescent="0.25"/>
    <row r="765" customFormat="1" ht="15" customHeight="1" x14ac:dyDescent="0.25"/>
    <row r="766" customFormat="1" ht="15" customHeight="1" x14ac:dyDescent="0.25"/>
    <row r="767" customFormat="1" ht="15" customHeight="1" x14ac:dyDescent="0.25"/>
    <row r="768" customFormat="1" ht="15" customHeight="1" x14ac:dyDescent="0.25"/>
    <row r="769" customFormat="1" ht="15" customHeight="1" x14ac:dyDescent="0.25"/>
    <row r="770" customFormat="1" ht="15" customHeight="1" x14ac:dyDescent="0.25"/>
    <row r="771" customFormat="1" ht="15" customHeight="1" x14ac:dyDescent="0.25"/>
    <row r="772" customFormat="1" ht="15" customHeight="1" x14ac:dyDescent="0.25"/>
    <row r="773" customFormat="1" ht="15" customHeight="1" x14ac:dyDescent="0.25"/>
    <row r="774" customFormat="1" ht="15" customHeight="1" x14ac:dyDescent="0.25"/>
    <row r="775" customFormat="1" ht="15" customHeight="1" x14ac:dyDescent="0.25"/>
    <row r="776" customFormat="1" ht="15" customHeight="1" x14ac:dyDescent="0.25"/>
    <row r="777" customFormat="1" ht="15" customHeight="1" x14ac:dyDescent="0.25"/>
    <row r="778" customFormat="1" ht="15" customHeight="1" x14ac:dyDescent="0.25"/>
    <row r="779" customFormat="1" ht="15" customHeight="1" x14ac:dyDescent="0.25"/>
    <row r="780" customFormat="1" ht="15" customHeight="1" x14ac:dyDescent="0.25"/>
    <row r="781" customFormat="1" ht="15" customHeight="1" x14ac:dyDescent="0.25"/>
    <row r="782" customFormat="1" ht="15" customHeight="1" x14ac:dyDescent="0.25"/>
    <row r="783" customFormat="1" ht="15" customHeight="1" x14ac:dyDescent="0.25"/>
    <row r="784" customFormat="1" ht="15" customHeight="1" x14ac:dyDescent="0.25"/>
    <row r="785" customFormat="1" ht="15" customHeight="1" x14ac:dyDescent="0.25"/>
    <row r="786" customFormat="1" ht="15" customHeight="1" x14ac:dyDescent="0.25"/>
    <row r="787" customFormat="1" ht="15" customHeight="1" x14ac:dyDescent="0.25"/>
    <row r="788" customFormat="1" ht="15" customHeight="1" x14ac:dyDescent="0.25"/>
    <row r="789" customFormat="1" ht="15" customHeight="1" x14ac:dyDescent="0.25"/>
    <row r="790" customFormat="1" ht="15" customHeight="1" x14ac:dyDescent="0.25"/>
    <row r="791" customFormat="1" ht="15" customHeight="1" x14ac:dyDescent="0.25"/>
    <row r="792" customFormat="1" ht="15" customHeight="1" x14ac:dyDescent="0.25"/>
    <row r="793" customFormat="1" ht="15" customHeight="1" x14ac:dyDescent="0.25"/>
    <row r="794" customFormat="1" ht="15" customHeight="1" x14ac:dyDescent="0.25"/>
    <row r="795" customFormat="1" ht="15" customHeight="1" x14ac:dyDescent="0.25"/>
    <row r="796" customFormat="1" ht="15" customHeight="1" x14ac:dyDescent="0.25"/>
    <row r="797" customFormat="1" ht="15" customHeight="1" x14ac:dyDescent="0.25"/>
    <row r="798" customFormat="1" ht="15" customHeight="1" x14ac:dyDescent="0.25"/>
    <row r="799" customFormat="1" ht="15" customHeight="1" x14ac:dyDescent="0.25"/>
    <row r="800" customFormat="1" ht="15" customHeight="1" x14ac:dyDescent="0.25"/>
    <row r="801" customFormat="1" ht="15" customHeight="1" x14ac:dyDescent="0.25"/>
    <row r="802" customFormat="1" ht="15" customHeight="1" x14ac:dyDescent="0.25"/>
    <row r="803" customFormat="1" ht="15" customHeight="1" x14ac:dyDescent="0.25"/>
    <row r="804" customFormat="1" ht="15" customHeight="1" x14ac:dyDescent="0.25"/>
    <row r="805" customFormat="1" ht="15" customHeight="1" x14ac:dyDescent="0.25"/>
    <row r="806" customFormat="1" ht="15" customHeight="1" x14ac:dyDescent="0.25"/>
    <row r="807" customFormat="1" ht="15" customHeight="1" x14ac:dyDescent="0.25"/>
    <row r="808" customFormat="1" ht="15" customHeight="1" x14ac:dyDescent="0.25"/>
    <row r="809" customFormat="1" ht="15" customHeight="1" x14ac:dyDescent="0.25"/>
    <row r="810" customFormat="1" ht="15" customHeight="1" x14ac:dyDescent="0.25"/>
    <row r="811" customFormat="1" ht="15" customHeight="1" x14ac:dyDescent="0.25"/>
    <row r="812" customFormat="1" ht="15" customHeight="1" x14ac:dyDescent="0.25"/>
    <row r="813" customFormat="1" ht="15" customHeight="1" x14ac:dyDescent="0.25"/>
    <row r="814" customFormat="1" ht="15" customHeight="1" x14ac:dyDescent="0.25"/>
    <row r="815" customFormat="1" ht="15" customHeight="1" x14ac:dyDescent="0.25"/>
    <row r="816" customFormat="1" ht="15" customHeight="1" x14ac:dyDescent="0.25"/>
    <row r="817" customFormat="1" ht="15" customHeight="1" x14ac:dyDescent="0.25"/>
    <row r="818" customFormat="1" ht="15" customHeight="1" x14ac:dyDescent="0.25"/>
    <row r="819" customFormat="1" ht="15" customHeight="1" x14ac:dyDescent="0.25"/>
    <row r="820" customFormat="1" ht="15" customHeight="1" x14ac:dyDescent="0.25"/>
    <row r="821" customFormat="1" ht="15" customHeight="1" x14ac:dyDescent="0.25"/>
    <row r="822" customFormat="1" ht="15" customHeight="1" x14ac:dyDescent="0.25"/>
    <row r="823" customFormat="1" ht="15" customHeight="1" x14ac:dyDescent="0.25"/>
    <row r="824" customFormat="1" ht="15" customHeight="1" x14ac:dyDescent="0.25"/>
    <row r="825" customFormat="1" ht="15" customHeight="1" x14ac:dyDescent="0.25"/>
    <row r="826" customFormat="1" ht="15" customHeight="1" x14ac:dyDescent="0.25"/>
    <row r="827" customFormat="1" ht="15" customHeight="1" x14ac:dyDescent="0.25"/>
    <row r="828" customFormat="1" ht="15" customHeight="1" x14ac:dyDescent="0.25"/>
    <row r="829" customFormat="1" ht="15" customHeight="1" x14ac:dyDescent="0.25"/>
    <row r="830" customFormat="1" ht="15" customHeight="1" x14ac:dyDescent="0.25"/>
    <row r="831" customFormat="1" ht="15" customHeight="1" x14ac:dyDescent="0.25"/>
    <row r="832" customFormat="1" ht="15" customHeight="1" x14ac:dyDescent="0.25"/>
    <row r="833" customFormat="1" ht="15" customHeight="1" x14ac:dyDescent="0.25"/>
    <row r="834" customFormat="1" ht="15" customHeight="1" x14ac:dyDescent="0.25"/>
    <row r="835" customFormat="1" ht="15" customHeight="1" x14ac:dyDescent="0.25"/>
    <row r="836" customFormat="1" ht="15" customHeight="1" x14ac:dyDescent="0.25"/>
    <row r="837" customFormat="1" ht="15" customHeight="1" x14ac:dyDescent="0.25"/>
    <row r="838" customFormat="1" ht="15" customHeight="1" x14ac:dyDescent="0.25"/>
    <row r="839" customFormat="1" ht="15" customHeight="1" x14ac:dyDescent="0.25"/>
    <row r="840" customFormat="1" ht="15" customHeight="1" x14ac:dyDescent="0.25"/>
    <row r="841" customFormat="1" ht="15" customHeight="1" x14ac:dyDescent="0.25"/>
    <row r="842" customFormat="1" ht="15" customHeight="1" x14ac:dyDescent="0.25"/>
    <row r="843" customFormat="1" ht="15" customHeight="1" x14ac:dyDescent="0.25"/>
    <row r="844" customFormat="1" ht="15" customHeight="1" x14ac:dyDescent="0.25"/>
    <row r="845" customFormat="1" ht="15" customHeight="1" x14ac:dyDescent="0.25"/>
    <row r="846" customFormat="1" ht="15" customHeight="1" x14ac:dyDescent="0.25"/>
    <row r="847" customFormat="1" ht="15" customHeight="1" x14ac:dyDescent="0.25"/>
    <row r="848" customFormat="1" ht="15" customHeight="1" x14ac:dyDescent="0.25"/>
    <row r="849" customFormat="1" ht="15" customHeight="1" x14ac:dyDescent="0.25"/>
    <row r="850" customFormat="1" ht="15" customHeight="1" x14ac:dyDescent="0.25"/>
    <row r="851" customFormat="1" ht="15" customHeight="1" x14ac:dyDescent="0.25"/>
    <row r="852" customFormat="1" ht="15" customHeight="1" x14ac:dyDescent="0.25"/>
    <row r="853" customFormat="1" ht="15" customHeight="1" x14ac:dyDescent="0.25"/>
    <row r="854" customFormat="1" ht="15" customHeight="1" x14ac:dyDescent="0.25"/>
    <row r="855" customFormat="1" ht="15" customHeight="1" x14ac:dyDescent="0.25"/>
    <row r="856" customFormat="1" ht="15" customHeight="1" x14ac:dyDescent="0.25"/>
    <row r="857" customFormat="1" ht="15" customHeight="1" x14ac:dyDescent="0.25"/>
    <row r="858" customFormat="1" ht="15" customHeight="1" x14ac:dyDescent="0.25"/>
    <row r="859" customFormat="1" ht="15" customHeight="1" x14ac:dyDescent="0.25"/>
    <row r="860" customFormat="1" ht="15" customHeight="1" x14ac:dyDescent="0.25"/>
    <row r="861" customFormat="1" ht="15" customHeight="1" x14ac:dyDescent="0.25"/>
    <row r="862" customFormat="1" ht="15" customHeight="1" x14ac:dyDescent="0.25"/>
    <row r="863" customFormat="1" ht="15" customHeight="1" x14ac:dyDescent="0.25"/>
    <row r="864" customFormat="1" ht="15" customHeight="1" x14ac:dyDescent="0.25"/>
    <row r="865" customFormat="1" ht="15" customHeight="1" x14ac:dyDescent="0.25"/>
    <row r="866" customFormat="1" ht="15" customHeight="1" x14ac:dyDescent="0.25"/>
    <row r="867" customFormat="1" ht="15" customHeight="1" x14ac:dyDescent="0.25"/>
    <row r="868" customFormat="1" ht="15" customHeight="1" x14ac:dyDescent="0.25"/>
    <row r="869" customFormat="1" ht="15" customHeight="1" x14ac:dyDescent="0.25"/>
    <row r="870" customFormat="1" ht="15" customHeight="1" x14ac:dyDescent="0.25"/>
    <row r="871" customFormat="1" ht="15" customHeight="1" x14ac:dyDescent="0.25"/>
    <row r="872" customFormat="1" ht="15" customHeight="1" x14ac:dyDescent="0.25"/>
    <row r="873" customFormat="1" ht="15" customHeight="1" x14ac:dyDescent="0.25"/>
    <row r="874" customFormat="1" ht="15" customHeight="1" x14ac:dyDescent="0.25"/>
    <row r="875" customFormat="1" ht="15" customHeight="1" x14ac:dyDescent="0.25"/>
    <row r="876" customFormat="1" ht="15" customHeight="1" x14ac:dyDescent="0.25"/>
    <row r="877" customFormat="1" ht="15" customHeight="1" x14ac:dyDescent="0.25"/>
    <row r="878" customFormat="1" ht="15" customHeight="1" x14ac:dyDescent="0.25"/>
    <row r="879" customFormat="1" ht="15" customHeight="1" x14ac:dyDescent="0.25"/>
    <row r="880" customFormat="1" ht="15" customHeight="1" x14ac:dyDescent="0.25"/>
    <row r="881" customFormat="1" ht="15" customHeight="1" x14ac:dyDescent="0.25"/>
    <row r="882" customFormat="1" ht="15" customHeight="1" x14ac:dyDescent="0.25"/>
    <row r="883" customFormat="1" ht="15" customHeight="1" x14ac:dyDescent="0.25"/>
    <row r="884" customFormat="1" ht="15" customHeight="1" x14ac:dyDescent="0.25"/>
    <row r="885" customFormat="1" ht="15" customHeight="1" x14ac:dyDescent="0.25"/>
    <row r="886" customFormat="1" ht="15" customHeight="1" x14ac:dyDescent="0.25"/>
    <row r="887" customFormat="1" ht="15" customHeight="1" x14ac:dyDescent="0.25"/>
    <row r="888" customFormat="1" ht="15" customHeight="1" x14ac:dyDescent="0.25"/>
    <row r="889" customFormat="1" ht="15" customHeight="1" x14ac:dyDescent="0.25"/>
    <row r="890" customFormat="1" ht="15" customHeight="1" x14ac:dyDescent="0.25"/>
    <row r="891" customFormat="1" ht="15" customHeight="1" x14ac:dyDescent="0.25"/>
    <row r="892" customFormat="1" ht="15" customHeight="1" x14ac:dyDescent="0.25"/>
    <row r="893" customFormat="1" ht="15" customHeight="1" x14ac:dyDescent="0.25"/>
    <row r="894" customFormat="1" ht="15" customHeight="1" x14ac:dyDescent="0.25"/>
    <row r="895" customFormat="1" ht="15" customHeight="1" x14ac:dyDescent="0.25"/>
    <row r="896" customFormat="1" ht="15" customHeight="1" x14ac:dyDescent="0.25"/>
    <row r="897" customFormat="1" ht="15" customHeight="1" x14ac:dyDescent="0.25"/>
    <row r="898" customFormat="1" ht="15" customHeight="1" x14ac:dyDescent="0.25"/>
    <row r="899" customFormat="1" ht="15" customHeight="1" x14ac:dyDescent="0.25"/>
    <row r="900" customFormat="1" ht="15" customHeight="1" x14ac:dyDescent="0.25"/>
    <row r="901" customFormat="1" ht="15" customHeight="1" x14ac:dyDescent="0.25"/>
    <row r="902" customFormat="1" ht="15" customHeight="1" x14ac:dyDescent="0.25"/>
    <row r="903" customFormat="1" ht="15" customHeight="1" x14ac:dyDescent="0.25"/>
    <row r="904" customFormat="1" ht="15" customHeight="1" x14ac:dyDescent="0.25"/>
    <row r="905" customFormat="1" ht="15" customHeight="1" x14ac:dyDescent="0.25"/>
    <row r="906" customFormat="1" ht="15" customHeight="1" x14ac:dyDescent="0.25"/>
    <row r="907" customFormat="1" ht="15" customHeight="1" x14ac:dyDescent="0.25"/>
    <row r="908" customFormat="1" ht="15" customHeight="1" x14ac:dyDescent="0.25"/>
    <row r="909" customFormat="1" ht="15" customHeight="1" x14ac:dyDescent="0.25"/>
    <row r="910" customFormat="1" ht="15" customHeight="1" x14ac:dyDescent="0.25"/>
    <row r="911" customFormat="1" ht="15" customHeight="1" x14ac:dyDescent="0.25"/>
    <row r="912" customFormat="1" ht="15" customHeight="1" x14ac:dyDescent="0.25"/>
    <row r="913" customFormat="1" ht="15" customHeight="1" x14ac:dyDescent="0.25"/>
    <row r="914" customFormat="1" ht="15" customHeight="1" x14ac:dyDescent="0.25"/>
    <row r="915" customFormat="1" ht="15" customHeight="1" x14ac:dyDescent="0.25"/>
    <row r="916" customFormat="1" ht="15" customHeight="1" x14ac:dyDescent="0.25"/>
    <row r="917" customFormat="1" ht="15" customHeight="1" x14ac:dyDescent="0.25"/>
    <row r="918" customFormat="1" ht="15" customHeight="1" x14ac:dyDescent="0.25"/>
    <row r="919" customFormat="1" ht="15" customHeight="1" x14ac:dyDescent="0.25"/>
    <row r="920" customFormat="1" ht="15" customHeight="1" x14ac:dyDescent="0.25"/>
    <row r="921" customFormat="1" ht="15" customHeight="1" x14ac:dyDescent="0.25"/>
    <row r="922" customFormat="1" ht="15" customHeight="1" x14ac:dyDescent="0.25"/>
    <row r="923" customFormat="1" ht="15" customHeight="1" x14ac:dyDescent="0.25"/>
    <row r="924" customFormat="1" ht="15" customHeight="1" x14ac:dyDescent="0.25"/>
    <row r="925" customFormat="1" ht="15" customHeight="1" x14ac:dyDescent="0.25"/>
    <row r="926" customFormat="1" ht="15" customHeight="1" x14ac:dyDescent="0.25"/>
    <row r="927" customFormat="1" ht="15" customHeight="1" x14ac:dyDescent="0.25"/>
    <row r="928" customFormat="1" ht="15" customHeight="1" x14ac:dyDescent="0.25"/>
    <row r="929" customFormat="1" ht="15" customHeight="1" x14ac:dyDescent="0.25"/>
    <row r="930" customFormat="1" ht="15" customHeight="1" x14ac:dyDescent="0.25"/>
    <row r="931" customFormat="1" ht="15" customHeight="1" x14ac:dyDescent="0.25"/>
    <row r="932" customFormat="1" ht="15" customHeight="1" x14ac:dyDescent="0.25"/>
    <row r="933" customFormat="1" ht="15" customHeight="1" x14ac:dyDescent="0.25"/>
    <row r="934" customFormat="1" ht="15" customHeight="1" x14ac:dyDescent="0.25"/>
    <row r="935" customFormat="1" ht="15" customHeight="1" x14ac:dyDescent="0.25"/>
    <row r="936" customFormat="1" ht="15" customHeight="1" x14ac:dyDescent="0.25"/>
    <row r="937" customFormat="1" ht="15" customHeight="1" x14ac:dyDescent="0.25"/>
    <row r="938" customFormat="1" ht="15" customHeight="1" x14ac:dyDescent="0.25"/>
    <row r="939" customFormat="1" ht="15" customHeight="1" x14ac:dyDescent="0.25"/>
    <row r="940" customFormat="1" ht="15" customHeight="1" x14ac:dyDescent="0.25"/>
    <row r="941" customFormat="1" ht="15" customHeight="1" x14ac:dyDescent="0.25"/>
    <row r="942" customFormat="1" ht="15" customHeight="1" x14ac:dyDescent="0.25"/>
    <row r="943" customFormat="1" ht="15" customHeight="1" x14ac:dyDescent="0.25"/>
    <row r="944" customFormat="1" ht="15" customHeight="1" x14ac:dyDescent="0.25"/>
    <row r="945" customFormat="1" ht="15" customHeight="1" x14ac:dyDescent="0.25"/>
    <row r="946" customFormat="1" ht="15" customHeight="1" x14ac:dyDescent="0.25"/>
    <row r="947" customFormat="1" ht="15" customHeight="1" x14ac:dyDescent="0.25"/>
    <row r="948" customFormat="1" ht="15" customHeight="1" x14ac:dyDescent="0.25"/>
    <row r="949" customFormat="1" ht="15" customHeight="1" x14ac:dyDescent="0.25"/>
    <row r="950" customFormat="1" ht="15" customHeight="1" x14ac:dyDescent="0.25"/>
    <row r="951" customFormat="1" ht="15" customHeight="1" x14ac:dyDescent="0.25"/>
    <row r="952" customFormat="1" ht="15" customHeight="1" x14ac:dyDescent="0.25"/>
    <row r="953" customFormat="1" ht="15" customHeight="1" x14ac:dyDescent="0.25"/>
    <row r="954" customFormat="1" ht="15" customHeight="1" x14ac:dyDescent="0.25"/>
    <row r="955" customFormat="1" ht="15" customHeight="1" x14ac:dyDescent="0.25"/>
    <row r="956" customFormat="1" ht="15" customHeight="1" x14ac:dyDescent="0.25"/>
    <row r="957" customFormat="1" ht="15" customHeight="1" x14ac:dyDescent="0.25"/>
    <row r="958" customFormat="1" ht="15" customHeight="1" x14ac:dyDescent="0.25"/>
    <row r="959" customFormat="1" ht="15" customHeight="1" x14ac:dyDescent="0.25"/>
    <row r="960" customFormat="1" ht="15" customHeight="1" x14ac:dyDescent="0.25"/>
    <row r="961" customFormat="1" ht="15" customHeight="1" x14ac:dyDescent="0.25"/>
    <row r="962" customFormat="1" ht="15" customHeight="1" x14ac:dyDescent="0.25"/>
    <row r="963" customFormat="1" ht="15" customHeight="1" x14ac:dyDescent="0.25"/>
    <row r="964" customFormat="1" ht="15" customHeight="1" x14ac:dyDescent="0.25"/>
    <row r="965" customFormat="1" ht="15" customHeight="1" x14ac:dyDescent="0.25"/>
    <row r="966" customFormat="1" ht="15" customHeight="1" x14ac:dyDescent="0.25"/>
    <row r="967" customFormat="1" ht="15" customHeight="1" x14ac:dyDescent="0.25"/>
    <row r="968" customFormat="1" ht="15" customHeight="1" x14ac:dyDescent="0.25"/>
    <row r="969" customFormat="1" ht="15" customHeight="1" x14ac:dyDescent="0.25"/>
    <row r="970" customFormat="1" ht="15" customHeight="1" x14ac:dyDescent="0.25"/>
    <row r="971" customFormat="1" ht="15" customHeight="1" x14ac:dyDescent="0.25"/>
    <row r="972" customFormat="1" ht="15" customHeight="1" x14ac:dyDescent="0.25"/>
    <row r="973" customFormat="1" ht="15" customHeight="1" x14ac:dyDescent="0.25"/>
    <row r="974" customFormat="1" ht="15" customHeight="1" x14ac:dyDescent="0.25"/>
    <row r="975" customFormat="1" ht="15" customHeight="1" x14ac:dyDescent="0.25"/>
    <row r="976" customFormat="1" ht="15" customHeight="1" x14ac:dyDescent="0.25"/>
    <row r="977" customFormat="1" ht="15" customHeight="1" x14ac:dyDescent="0.25"/>
    <row r="978" customFormat="1" ht="15" customHeight="1" x14ac:dyDescent="0.25"/>
    <row r="979" customFormat="1" ht="15" customHeight="1" x14ac:dyDescent="0.25"/>
    <row r="980" customFormat="1" ht="15" customHeight="1" x14ac:dyDescent="0.25"/>
    <row r="981" customFormat="1" ht="15" customHeight="1" x14ac:dyDescent="0.25"/>
    <row r="982" customFormat="1" ht="15" customHeight="1" x14ac:dyDescent="0.25"/>
    <row r="983" customFormat="1" ht="15" customHeight="1" x14ac:dyDescent="0.25"/>
    <row r="984" customFormat="1" ht="15" customHeight="1" x14ac:dyDescent="0.25"/>
    <row r="985" customFormat="1" ht="15" customHeight="1" x14ac:dyDescent="0.25"/>
    <row r="986" customFormat="1" ht="15" customHeight="1" x14ac:dyDescent="0.25"/>
    <row r="987" customFormat="1" ht="15" customHeight="1" x14ac:dyDescent="0.25"/>
    <row r="988" customFormat="1" ht="15" customHeight="1" x14ac:dyDescent="0.25"/>
    <row r="989" customFormat="1" ht="15" customHeight="1" x14ac:dyDescent="0.25"/>
    <row r="990" customFormat="1" ht="15" customHeight="1" x14ac:dyDescent="0.25"/>
    <row r="991" customFormat="1" ht="15" customHeight="1" x14ac:dyDescent="0.25"/>
    <row r="992" customFormat="1" ht="15" customHeight="1" x14ac:dyDescent="0.25"/>
    <row r="993" customFormat="1" ht="15" customHeight="1" x14ac:dyDescent="0.25"/>
    <row r="994" customFormat="1" ht="15" customHeight="1" x14ac:dyDescent="0.25"/>
    <row r="995" customFormat="1" ht="15" customHeight="1" x14ac:dyDescent="0.25"/>
    <row r="996" customFormat="1" ht="15" customHeight="1" x14ac:dyDescent="0.25"/>
    <row r="997" customFormat="1" ht="15" customHeight="1" x14ac:dyDescent="0.25"/>
    <row r="998" customFormat="1" ht="15" customHeight="1" x14ac:dyDescent="0.25"/>
    <row r="999" customFormat="1" ht="15" customHeight="1" x14ac:dyDescent="0.25"/>
    <row r="1000" customFormat="1" ht="15" customHeight="1" x14ac:dyDescent="0.25"/>
    <row r="1001" customFormat="1" ht="15" customHeight="1" x14ac:dyDescent="0.25"/>
    <row r="1002" customFormat="1" ht="15" customHeight="1" x14ac:dyDescent="0.25"/>
    <row r="1003" customFormat="1" ht="15" customHeight="1" x14ac:dyDescent="0.25"/>
    <row r="1004" customFormat="1" ht="15" customHeight="1" x14ac:dyDescent="0.25"/>
    <row r="1005" customFormat="1" ht="15" customHeight="1" x14ac:dyDescent="0.25"/>
    <row r="1006" customFormat="1" ht="15" customHeight="1" x14ac:dyDescent="0.25"/>
    <row r="1007" customFormat="1" ht="15" customHeight="1" x14ac:dyDescent="0.25"/>
    <row r="1008" customFormat="1" ht="15" customHeight="1" x14ac:dyDescent="0.25"/>
    <row r="1009" customFormat="1" ht="15" customHeight="1" x14ac:dyDescent="0.25"/>
    <row r="1010" customFormat="1" ht="15" customHeight="1" x14ac:dyDescent="0.25"/>
    <row r="1011" customFormat="1" ht="15" customHeight="1" x14ac:dyDescent="0.25"/>
    <row r="1012" customFormat="1" ht="15" customHeight="1" x14ac:dyDescent="0.25"/>
    <row r="1013" customFormat="1" ht="15" customHeight="1" x14ac:dyDescent="0.25"/>
    <row r="1014" customFormat="1" ht="15" customHeight="1" x14ac:dyDescent="0.25"/>
    <row r="1015" customFormat="1" ht="15" customHeight="1" x14ac:dyDescent="0.25"/>
    <row r="1016" customFormat="1" ht="15" customHeight="1" x14ac:dyDescent="0.25"/>
    <row r="1017" customFormat="1" ht="15" customHeight="1" x14ac:dyDescent="0.25"/>
    <row r="1018" customFormat="1" ht="15" customHeight="1" x14ac:dyDescent="0.25"/>
    <row r="1019" customFormat="1" ht="15" customHeight="1" x14ac:dyDescent="0.25"/>
    <row r="1020" customFormat="1" ht="15" customHeight="1" x14ac:dyDescent="0.25"/>
    <row r="1021" customFormat="1" ht="15" customHeight="1" x14ac:dyDescent="0.25"/>
    <row r="1022" customFormat="1" ht="15" customHeight="1" x14ac:dyDescent="0.25"/>
    <row r="1023" customFormat="1" ht="15" customHeight="1" x14ac:dyDescent="0.25"/>
    <row r="1024" customFormat="1" ht="15" customHeight="1" x14ac:dyDescent="0.25"/>
    <row r="1025" customFormat="1" ht="15" customHeight="1" x14ac:dyDescent="0.25"/>
    <row r="1026" customFormat="1" ht="15" customHeight="1" x14ac:dyDescent="0.25"/>
    <row r="1027" customFormat="1" ht="15" customHeight="1" x14ac:dyDescent="0.25"/>
    <row r="1028" customFormat="1" ht="15" customHeight="1" x14ac:dyDescent="0.25"/>
    <row r="1029" customFormat="1" ht="15" customHeight="1" x14ac:dyDescent="0.25"/>
    <row r="1030" customFormat="1" ht="15" customHeight="1" x14ac:dyDescent="0.25"/>
    <row r="1031" customFormat="1" ht="15" customHeight="1" x14ac:dyDescent="0.25"/>
    <row r="1032" customFormat="1" ht="15" customHeight="1" x14ac:dyDescent="0.25"/>
    <row r="1033" customFormat="1" ht="15" customHeight="1" x14ac:dyDescent="0.25"/>
    <row r="1034" customFormat="1" ht="15" customHeight="1" x14ac:dyDescent="0.25"/>
    <row r="1035" customFormat="1" ht="15" customHeight="1" x14ac:dyDescent="0.25"/>
    <row r="1036" customFormat="1" ht="15" customHeight="1" x14ac:dyDescent="0.25"/>
    <row r="1037" customFormat="1" ht="15" customHeight="1" x14ac:dyDescent="0.25"/>
    <row r="1038" customFormat="1" ht="15" customHeight="1" x14ac:dyDescent="0.25"/>
    <row r="1039" customFormat="1" ht="15" customHeight="1" x14ac:dyDescent="0.25"/>
    <row r="1040" customFormat="1" ht="15" customHeight="1" x14ac:dyDescent="0.25"/>
    <row r="1041" customFormat="1" ht="15" customHeight="1" x14ac:dyDescent="0.25"/>
    <row r="1042" customFormat="1" ht="15" customHeight="1" x14ac:dyDescent="0.25"/>
    <row r="1043" customFormat="1" ht="15" customHeight="1" x14ac:dyDescent="0.25"/>
    <row r="1044" customFormat="1" ht="15" customHeight="1" x14ac:dyDescent="0.25"/>
    <row r="1045" customFormat="1" ht="15" customHeight="1" x14ac:dyDescent="0.25"/>
    <row r="1046" customFormat="1" ht="15" customHeight="1" x14ac:dyDescent="0.25"/>
    <row r="1047" customFormat="1" ht="15" customHeight="1" x14ac:dyDescent="0.25"/>
    <row r="1048" customFormat="1" ht="15" customHeight="1" x14ac:dyDescent="0.25"/>
    <row r="1049" customFormat="1" ht="15" customHeight="1" x14ac:dyDescent="0.25"/>
    <row r="1050" customFormat="1" ht="15" customHeight="1" x14ac:dyDescent="0.25"/>
    <row r="1051" customFormat="1" ht="15" customHeight="1" x14ac:dyDescent="0.25"/>
    <row r="1052" customFormat="1" ht="15" customHeight="1" x14ac:dyDescent="0.25"/>
    <row r="1053" customFormat="1" ht="15" customHeight="1" x14ac:dyDescent="0.25"/>
    <row r="1054" customFormat="1" ht="15" customHeight="1" x14ac:dyDescent="0.25"/>
    <row r="1055" customFormat="1" ht="15" customHeight="1" x14ac:dyDescent="0.25"/>
    <row r="1056" customFormat="1" ht="15" customHeight="1" x14ac:dyDescent="0.25"/>
    <row r="1057" customFormat="1" ht="15" customHeight="1" x14ac:dyDescent="0.25"/>
    <row r="1058" customFormat="1" ht="15" customHeight="1" x14ac:dyDescent="0.25"/>
    <row r="1059" customFormat="1" ht="15" customHeight="1" x14ac:dyDescent="0.25"/>
    <row r="1060" customFormat="1" ht="15" customHeight="1" x14ac:dyDescent="0.25"/>
    <row r="1061" customFormat="1" ht="15" customHeight="1" x14ac:dyDescent="0.25"/>
    <row r="1062" customFormat="1" ht="15" customHeight="1" x14ac:dyDescent="0.25"/>
    <row r="1063" customFormat="1" ht="15" customHeight="1" x14ac:dyDescent="0.25"/>
    <row r="1064" customFormat="1" ht="15" customHeight="1" x14ac:dyDescent="0.25"/>
    <row r="1065" customFormat="1" ht="15" customHeight="1" x14ac:dyDescent="0.25"/>
    <row r="1066" customFormat="1" ht="15" customHeight="1" x14ac:dyDescent="0.25"/>
    <row r="1067" customFormat="1" ht="15" customHeight="1" x14ac:dyDescent="0.25"/>
    <row r="1068" customFormat="1" ht="15" customHeight="1" x14ac:dyDescent="0.25"/>
    <row r="1069" customFormat="1" ht="15" customHeight="1" x14ac:dyDescent="0.25"/>
    <row r="1070" customFormat="1" ht="15" customHeight="1" x14ac:dyDescent="0.25"/>
    <row r="1071" customFormat="1" ht="15" customHeight="1" x14ac:dyDescent="0.25"/>
    <row r="1072" customFormat="1" ht="15" customHeight="1" x14ac:dyDescent="0.25"/>
    <row r="1073" customFormat="1" ht="15" customHeight="1" x14ac:dyDescent="0.25"/>
    <row r="1074" customFormat="1" ht="15" customHeight="1" x14ac:dyDescent="0.25"/>
    <row r="1075" customFormat="1" ht="15" customHeight="1" x14ac:dyDescent="0.25"/>
    <row r="1076" customFormat="1" ht="15" customHeight="1" x14ac:dyDescent="0.25"/>
    <row r="1077" customFormat="1" ht="15" customHeight="1" x14ac:dyDescent="0.25"/>
    <row r="1078" customFormat="1" ht="15" customHeight="1" x14ac:dyDescent="0.25"/>
    <row r="1079" customFormat="1" ht="15" customHeight="1" x14ac:dyDescent="0.25"/>
    <row r="1080" customFormat="1" ht="15" customHeight="1" x14ac:dyDescent="0.25"/>
    <row r="1081" customFormat="1" ht="15" customHeight="1" x14ac:dyDescent="0.25"/>
    <row r="1082" customFormat="1" ht="15" customHeight="1" x14ac:dyDescent="0.25"/>
    <row r="1083" customFormat="1" ht="15" customHeight="1" x14ac:dyDescent="0.25"/>
    <row r="1084" customFormat="1" ht="15" customHeight="1" x14ac:dyDescent="0.25"/>
    <row r="1085" customFormat="1" ht="15" customHeight="1" x14ac:dyDescent="0.25"/>
    <row r="1086" customFormat="1" ht="15" customHeight="1" x14ac:dyDescent="0.25"/>
    <row r="1087" customFormat="1" ht="15" customHeight="1" x14ac:dyDescent="0.25"/>
    <row r="1088" customFormat="1" ht="15" customHeight="1" x14ac:dyDescent="0.25"/>
    <row r="1089" customFormat="1" ht="15" customHeight="1" x14ac:dyDescent="0.25"/>
    <row r="1090" customFormat="1" ht="15" customHeight="1" x14ac:dyDescent="0.25"/>
    <row r="1091" customFormat="1" ht="15" customHeight="1" x14ac:dyDescent="0.25"/>
    <row r="1092" customFormat="1" ht="15" customHeight="1" x14ac:dyDescent="0.25"/>
    <row r="1093" customFormat="1" ht="15" customHeight="1" x14ac:dyDescent="0.25"/>
    <row r="1094" customFormat="1" ht="15" customHeight="1" x14ac:dyDescent="0.25"/>
    <row r="1095" customFormat="1" ht="15" customHeight="1" x14ac:dyDescent="0.25"/>
    <row r="1096" customFormat="1" ht="15" customHeight="1" x14ac:dyDescent="0.25"/>
    <row r="1097" customFormat="1" ht="15" customHeight="1" x14ac:dyDescent="0.25"/>
    <row r="1098" customFormat="1" ht="15" customHeight="1" x14ac:dyDescent="0.25"/>
    <row r="1099" customFormat="1" ht="15" customHeight="1" x14ac:dyDescent="0.25"/>
    <row r="1100" customFormat="1" ht="15" customHeight="1" x14ac:dyDescent="0.25"/>
    <row r="1101" customFormat="1" ht="15" customHeight="1" x14ac:dyDescent="0.25"/>
    <row r="1102" customFormat="1" ht="15" customHeight="1" x14ac:dyDescent="0.25"/>
    <row r="1103" customFormat="1" ht="15" customHeight="1" x14ac:dyDescent="0.25"/>
    <row r="1104" customFormat="1" ht="15" customHeight="1" x14ac:dyDescent="0.25"/>
    <row r="1105" customFormat="1" ht="15" customHeight="1" x14ac:dyDescent="0.25"/>
    <row r="1106" customFormat="1" ht="15" customHeight="1" x14ac:dyDescent="0.25"/>
    <row r="1107" customFormat="1" ht="15" customHeight="1" x14ac:dyDescent="0.25"/>
    <row r="1108" customFormat="1" ht="15" customHeight="1" x14ac:dyDescent="0.25"/>
    <row r="1109" customFormat="1" ht="15" customHeight="1" x14ac:dyDescent="0.25"/>
    <row r="1110" customFormat="1" ht="15" customHeight="1" x14ac:dyDescent="0.25"/>
    <row r="1111" customFormat="1" ht="15" customHeight="1" x14ac:dyDescent="0.25"/>
    <row r="1112" customFormat="1" ht="15" customHeight="1" x14ac:dyDescent="0.25"/>
    <row r="1113" customFormat="1" ht="15" customHeight="1" x14ac:dyDescent="0.25"/>
    <row r="1114" customFormat="1" ht="15" customHeight="1" x14ac:dyDescent="0.25"/>
    <row r="1115" customFormat="1" ht="15" customHeight="1" x14ac:dyDescent="0.25"/>
    <row r="1116" customFormat="1" ht="15" customHeight="1" x14ac:dyDescent="0.25"/>
    <row r="1117" customFormat="1" ht="15" customHeight="1" x14ac:dyDescent="0.25"/>
    <row r="1118" customFormat="1" ht="15" customHeight="1" x14ac:dyDescent="0.25"/>
    <row r="1119" customFormat="1" ht="15" customHeight="1" x14ac:dyDescent="0.25"/>
    <row r="1120" customFormat="1" ht="15" customHeight="1" x14ac:dyDescent="0.25"/>
    <row r="1121" customFormat="1" ht="15" customHeight="1" x14ac:dyDescent="0.25"/>
    <row r="1122" customFormat="1" ht="15" customHeight="1" x14ac:dyDescent="0.25"/>
    <row r="1123" customFormat="1" ht="15" customHeight="1" x14ac:dyDescent="0.25"/>
    <row r="1124" customFormat="1" ht="15" customHeight="1" x14ac:dyDescent="0.25"/>
    <row r="1125" customFormat="1" ht="15" customHeight="1" x14ac:dyDescent="0.25"/>
    <row r="1126" customFormat="1" ht="15" customHeight="1" x14ac:dyDescent="0.25"/>
    <row r="1127" customFormat="1" ht="15" customHeight="1" x14ac:dyDescent="0.25"/>
    <row r="1128" customFormat="1" ht="15" customHeight="1" x14ac:dyDescent="0.25"/>
    <row r="1129" customFormat="1" ht="15" customHeight="1" x14ac:dyDescent="0.25"/>
    <row r="1130" customFormat="1" ht="15" customHeight="1" x14ac:dyDescent="0.25"/>
    <row r="1131" customFormat="1" ht="15" customHeight="1" x14ac:dyDescent="0.25"/>
    <row r="1132" customFormat="1" ht="15" customHeight="1" x14ac:dyDescent="0.25"/>
    <row r="1133" customFormat="1" ht="15" customHeight="1" x14ac:dyDescent="0.25"/>
    <row r="1134" customFormat="1" ht="15" customHeight="1" x14ac:dyDescent="0.25"/>
    <row r="1135" customFormat="1" ht="15" customHeight="1" x14ac:dyDescent="0.25"/>
    <row r="1136" customFormat="1" ht="15" customHeight="1" x14ac:dyDescent="0.25"/>
    <row r="1137" customFormat="1" ht="15" customHeight="1" x14ac:dyDescent="0.25"/>
    <row r="1138" customFormat="1" ht="15" customHeight="1" x14ac:dyDescent="0.25"/>
    <row r="1139" customFormat="1" ht="15" customHeight="1" x14ac:dyDescent="0.25"/>
    <row r="1140" customFormat="1" ht="15" customHeight="1" x14ac:dyDescent="0.25"/>
    <row r="1141" customFormat="1" ht="15" customHeight="1" x14ac:dyDescent="0.25"/>
    <row r="1142" customFormat="1" ht="15" customHeight="1" x14ac:dyDescent="0.25"/>
    <row r="1143" customFormat="1" ht="15" customHeight="1" x14ac:dyDescent="0.25"/>
    <row r="1144" customFormat="1" ht="15" customHeight="1" x14ac:dyDescent="0.25"/>
    <row r="1145" customFormat="1" ht="15" customHeight="1" x14ac:dyDescent="0.25"/>
    <row r="1146" customFormat="1" ht="15" customHeight="1" x14ac:dyDescent="0.25"/>
    <row r="1147" customFormat="1" ht="15" customHeight="1" x14ac:dyDescent="0.25"/>
    <row r="1148" customFormat="1" ht="15" customHeight="1" x14ac:dyDescent="0.25"/>
    <row r="1149" customFormat="1" ht="15" customHeight="1" x14ac:dyDescent="0.25"/>
    <row r="1150" customFormat="1" ht="15" customHeight="1" x14ac:dyDescent="0.25"/>
    <row r="1151" customFormat="1" ht="15" customHeight="1" x14ac:dyDescent="0.25"/>
    <row r="1152" customFormat="1" ht="15" customHeight="1" x14ac:dyDescent="0.25"/>
    <row r="1153" customFormat="1" ht="15" customHeight="1" x14ac:dyDescent="0.25"/>
    <row r="1154" customFormat="1" ht="15" customHeight="1" x14ac:dyDescent="0.25"/>
    <row r="1155" customFormat="1" ht="15" customHeight="1" x14ac:dyDescent="0.25"/>
    <row r="1156" customFormat="1" ht="15" customHeight="1" x14ac:dyDescent="0.25"/>
    <row r="1157" customFormat="1" ht="15" customHeight="1" x14ac:dyDescent="0.25"/>
    <row r="1158" customFormat="1" ht="15" customHeight="1" x14ac:dyDescent="0.25"/>
    <row r="1159" customFormat="1" ht="15" customHeight="1" x14ac:dyDescent="0.25"/>
    <row r="1160" customFormat="1" ht="15" customHeight="1" x14ac:dyDescent="0.25"/>
    <row r="1161" customFormat="1" ht="15" customHeight="1" x14ac:dyDescent="0.25"/>
    <row r="1162" customFormat="1" ht="15" customHeight="1" x14ac:dyDescent="0.25"/>
    <row r="1163" customFormat="1" ht="15" customHeight="1" x14ac:dyDescent="0.25"/>
    <row r="1164" customFormat="1" ht="15" customHeight="1" x14ac:dyDescent="0.25"/>
    <row r="1165" customFormat="1" ht="15" customHeight="1" x14ac:dyDescent="0.25"/>
    <row r="1166" customFormat="1" ht="15" customHeight="1" x14ac:dyDescent="0.25"/>
    <row r="1167" customFormat="1" ht="15" customHeight="1" x14ac:dyDescent="0.25"/>
    <row r="1168" customFormat="1" ht="15" customHeight="1" x14ac:dyDescent="0.25"/>
    <row r="1169" customFormat="1" ht="15" customHeight="1" x14ac:dyDescent="0.25"/>
    <row r="1170" customFormat="1" ht="15" customHeight="1" x14ac:dyDescent="0.25"/>
    <row r="1171" customFormat="1" ht="15" customHeight="1" x14ac:dyDescent="0.25"/>
    <row r="1172" customFormat="1" ht="15" customHeight="1" x14ac:dyDescent="0.25"/>
    <row r="1173" customFormat="1" ht="15" customHeight="1" x14ac:dyDescent="0.25"/>
    <row r="1174" customFormat="1" ht="15" customHeight="1" x14ac:dyDescent="0.25"/>
    <row r="1175" customFormat="1" ht="15" customHeight="1" x14ac:dyDescent="0.25"/>
    <row r="1176" customFormat="1" ht="15" customHeight="1" x14ac:dyDescent="0.25"/>
    <row r="1177" customFormat="1" ht="15" customHeight="1" x14ac:dyDescent="0.25"/>
    <row r="1178" customFormat="1" ht="15" customHeight="1" x14ac:dyDescent="0.25"/>
    <row r="1179" customFormat="1" ht="15" customHeight="1" x14ac:dyDescent="0.25"/>
    <row r="1180" customFormat="1" ht="15" customHeight="1" x14ac:dyDescent="0.25"/>
    <row r="1181" customFormat="1" ht="15" customHeight="1" x14ac:dyDescent="0.25"/>
    <row r="1182" customFormat="1" ht="15" customHeight="1" x14ac:dyDescent="0.25"/>
    <row r="1183" customFormat="1" ht="15" customHeight="1" x14ac:dyDescent="0.25"/>
    <row r="1184" customFormat="1" ht="15" customHeight="1" x14ac:dyDescent="0.25"/>
    <row r="1185" customFormat="1" ht="15" customHeight="1" x14ac:dyDescent="0.25"/>
    <row r="1186" customFormat="1" ht="15" customHeight="1" x14ac:dyDescent="0.25"/>
    <row r="1187" customFormat="1" ht="15" customHeight="1" x14ac:dyDescent="0.25"/>
    <row r="1188" customFormat="1" ht="15" customHeight="1" x14ac:dyDescent="0.25"/>
    <row r="1189" customFormat="1" ht="15" customHeight="1" x14ac:dyDescent="0.25"/>
    <row r="1190" customFormat="1" ht="15" customHeight="1" x14ac:dyDescent="0.25"/>
    <row r="1191" customFormat="1" ht="15" customHeight="1" x14ac:dyDescent="0.25"/>
    <row r="1192" customFormat="1" ht="15" customHeight="1" x14ac:dyDescent="0.25"/>
    <row r="1193" customFormat="1" ht="15" customHeight="1" x14ac:dyDescent="0.25"/>
    <row r="1194" customFormat="1" ht="15" customHeight="1" x14ac:dyDescent="0.25"/>
    <row r="1195" customFormat="1" ht="15" customHeight="1" x14ac:dyDescent="0.25"/>
    <row r="1196" customFormat="1" ht="15" customHeight="1" x14ac:dyDescent="0.25"/>
    <row r="1197" customFormat="1" ht="15" customHeight="1" x14ac:dyDescent="0.25"/>
    <row r="1198" customFormat="1" ht="15" customHeight="1" x14ac:dyDescent="0.25"/>
    <row r="1199" customFormat="1" ht="15" customHeight="1" x14ac:dyDescent="0.25"/>
    <row r="1200" customFormat="1" ht="15" customHeight="1" x14ac:dyDescent="0.25"/>
    <row r="1201" customFormat="1" ht="15" customHeight="1" x14ac:dyDescent="0.25"/>
    <row r="1202" customFormat="1" ht="15" customHeight="1" x14ac:dyDescent="0.25"/>
    <row r="1203" customFormat="1" ht="15" customHeight="1" x14ac:dyDescent="0.25"/>
    <row r="1204" customFormat="1" ht="15" customHeight="1" x14ac:dyDescent="0.25"/>
    <row r="1205" customFormat="1" ht="15" customHeight="1" x14ac:dyDescent="0.25"/>
    <row r="1206" customFormat="1" ht="15" customHeight="1" x14ac:dyDescent="0.25"/>
    <row r="1207" customFormat="1" ht="15" customHeight="1" x14ac:dyDescent="0.25"/>
    <row r="1208" customFormat="1" ht="15" customHeight="1" x14ac:dyDescent="0.25"/>
    <row r="1209" customFormat="1" ht="15" customHeight="1" x14ac:dyDescent="0.25"/>
    <row r="1210" customFormat="1" ht="15" customHeight="1" x14ac:dyDescent="0.25"/>
    <row r="1211" customFormat="1" ht="15" customHeight="1" x14ac:dyDescent="0.25"/>
    <row r="1212" customFormat="1" ht="15" customHeight="1" x14ac:dyDescent="0.25"/>
    <row r="1213" customFormat="1" ht="15" customHeight="1" x14ac:dyDescent="0.25"/>
    <row r="1214" customFormat="1" ht="15" customHeight="1" x14ac:dyDescent="0.25"/>
    <row r="1215" customFormat="1" ht="15" customHeight="1" x14ac:dyDescent="0.25"/>
    <row r="1216" customFormat="1" ht="15" customHeight="1" x14ac:dyDescent="0.25"/>
    <row r="1217" customFormat="1" ht="15" customHeight="1" x14ac:dyDescent="0.25"/>
    <row r="1218" customFormat="1" ht="15" customHeight="1" x14ac:dyDescent="0.25"/>
    <row r="1219" customFormat="1" ht="15" customHeight="1" x14ac:dyDescent="0.25"/>
    <row r="1220" customFormat="1" ht="15" customHeight="1" x14ac:dyDescent="0.25"/>
    <row r="1221" customFormat="1" ht="15" customHeight="1" x14ac:dyDescent="0.25"/>
    <row r="1222" customFormat="1" ht="15" customHeight="1" x14ac:dyDescent="0.25"/>
    <row r="1223" customFormat="1" ht="15" customHeight="1" x14ac:dyDescent="0.25"/>
    <row r="1224" customFormat="1" ht="15" customHeight="1" x14ac:dyDescent="0.25"/>
    <row r="1225" customFormat="1" ht="15" customHeight="1" x14ac:dyDescent="0.25"/>
    <row r="1226" customFormat="1" ht="15" customHeight="1" x14ac:dyDescent="0.25"/>
    <row r="1227" customFormat="1" ht="15" customHeight="1" x14ac:dyDescent="0.25"/>
    <row r="1228" customFormat="1" ht="15" customHeight="1" x14ac:dyDescent="0.25"/>
    <row r="1229" customFormat="1" ht="15" customHeight="1" x14ac:dyDescent="0.25"/>
    <row r="1230" customFormat="1" ht="15" customHeight="1" x14ac:dyDescent="0.25"/>
    <row r="1231" customFormat="1" ht="15" customHeight="1" x14ac:dyDescent="0.25"/>
    <row r="1232" customFormat="1" ht="15" customHeight="1" x14ac:dyDescent="0.25"/>
    <row r="1233" customFormat="1" ht="15" customHeight="1" x14ac:dyDescent="0.25"/>
    <row r="1234" customFormat="1" ht="15" customHeight="1" x14ac:dyDescent="0.25"/>
    <row r="1235" customFormat="1" ht="15" customHeight="1" x14ac:dyDescent="0.25"/>
    <row r="1236" customFormat="1" ht="15" customHeight="1" x14ac:dyDescent="0.25"/>
    <row r="1237" customFormat="1" ht="15" customHeight="1" x14ac:dyDescent="0.25"/>
    <row r="1238" customFormat="1" ht="15" customHeight="1" x14ac:dyDescent="0.25"/>
    <row r="1239" customFormat="1" ht="15" customHeight="1" x14ac:dyDescent="0.25"/>
    <row r="1240" customFormat="1" ht="15" customHeight="1" x14ac:dyDescent="0.25"/>
    <row r="1241" customFormat="1" ht="15" customHeight="1" x14ac:dyDescent="0.25"/>
    <row r="1242" customFormat="1" ht="15" customHeight="1" x14ac:dyDescent="0.25"/>
    <row r="1243" customFormat="1" ht="15" customHeight="1" x14ac:dyDescent="0.25"/>
    <row r="1244" customFormat="1" ht="15" customHeight="1" x14ac:dyDescent="0.25"/>
    <row r="1245" customFormat="1" ht="15" customHeight="1" x14ac:dyDescent="0.25"/>
    <row r="1246" customFormat="1" ht="15" customHeight="1" x14ac:dyDescent="0.25"/>
    <row r="1247" customFormat="1" ht="15" customHeight="1" x14ac:dyDescent="0.25"/>
    <row r="1248" customFormat="1" ht="15" customHeight="1" x14ac:dyDescent="0.25"/>
    <row r="1249" customFormat="1" ht="15" customHeight="1" x14ac:dyDescent="0.25"/>
    <row r="1250" customFormat="1" ht="15" customHeight="1" x14ac:dyDescent="0.25"/>
    <row r="1251" customFormat="1" ht="15" customHeight="1" x14ac:dyDescent="0.25"/>
    <row r="1252" customFormat="1" ht="15" customHeight="1" x14ac:dyDescent="0.25"/>
    <row r="1253" customFormat="1" ht="15" customHeight="1" x14ac:dyDescent="0.25"/>
    <row r="1254" customFormat="1" ht="15" customHeight="1" x14ac:dyDescent="0.25"/>
    <row r="1255" customFormat="1" ht="15" customHeight="1" x14ac:dyDescent="0.25"/>
    <row r="1256" customFormat="1" ht="15" customHeight="1" x14ac:dyDescent="0.25"/>
    <row r="1257" customFormat="1" ht="15" customHeight="1" x14ac:dyDescent="0.25"/>
    <row r="1258" customFormat="1" ht="15" customHeight="1" x14ac:dyDescent="0.25"/>
    <row r="1259" customFormat="1" ht="15" customHeight="1" x14ac:dyDescent="0.25"/>
    <row r="1260" customFormat="1" ht="15" customHeight="1" x14ac:dyDescent="0.25"/>
    <row r="1261" customFormat="1" ht="15" customHeight="1" x14ac:dyDescent="0.25"/>
    <row r="1262" customFormat="1" ht="15" customHeight="1" x14ac:dyDescent="0.25"/>
    <row r="1263" customFormat="1" ht="15" customHeight="1" x14ac:dyDescent="0.25"/>
    <row r="1264" customFormat="1" ht="15" customHeight="1" x14ac:dyDescent="0.25"/>
    <row r="1265" customFormat="1" ht="15" customHeight="1" x14ac:dyDescent="0.25"/>
    <row r="1266" customFormat="1" ht="15" customHeight="1" x14ac:dyDescent="0.25"/>
    <row r="1267" customFormat="1" ht="15" customHeight="1" x14ac:dyDescent="0.25"/>
    <row r="1268" customFormat="1" ht="15" customHeight="1" x14ac:dyDescent="0.25"/>
    <row r="1269" customFormat="1" ht="15" customHeight="1" x14ac:dyDescent="0.25"/>
    <row r="1270" customFormat="1" ht="15" customHeight="1" x14ac:dyDescent="0.25"/>
    <row r="1271" customFormat="1" ht="15" customHeight="1" x14ac:dyDescent="0.25"/>
    <row r="1272" customFormat="1" ht="15" customHeight="1" x14ac:dyDescent="0.25"/>
    <row r="1273" customFormat="1" ht="15" customHeight="1" x14ac:dyDescent="0.25"/>
    <row r="1274" customFormat="1" ht="15" customHeight="1" x14ac:dyDescent="0.25"/>
    <row r="1275" customFormat="1" ht="15" customHeight="1" x14ac:dyDescent="0.25"/>
    <row r="1276" customFormat="1" ht="15" customHeight="1" x14ac:dyDescent="0.25"/>
    <row r="1277" customFormat="1" ht="15" customHeight="1" x14ac:dyDescent="0.25"/>
    <row r="1278" customFormat="1" ht="15" customHeight="1" x14ac:dyDescent="0.25"/>
    <row r="1279" customFormat="1" ht="15" customHeight="1" x14ac:dyDescent="0.25"/>
    <row r="1280" customFormat="1" ht="15" customHeight="1" x14ac:dyDescent="0.25"/>
    <row r="1281" customFormat="1" ht="15" customHeight="1" x14ac:dyDescent="0.25"/>
    <row r="1282" customFormat="1" ht="15" customHeight="1" x14ac:dyDescent="0.25"/>
    <row r="1283" customFormat="1" ht="15" customHeight="1" x14ac:dyDescent="0.25"/>
    <row r="1284" customFormat="1" ht="15" customHeight="1" x14ac:dyDescent="0.25"/>
    <row r="1285" customFormat="1" ht="15" customHeight="1" x14ac:dyDescent="0.25"/>
    <row r="1286" customFormat="1" ht="15" customHeight="1" x14ac:dyDescent="0.25"/>
    <row r="1287" customFormat="1" ht="15" customHeight="1" x14ac:dyDescent="0.25"/>
    <row r="1288" customFormat="1" ht="15" customHeight="1" x14ac:dyDescent="0.25"/>
    <row r="1289" customFormat="1" ht="15" customHeight="1" x14ac:dyDescent="0.25"/>
    <row r="1290" customFormat="1" ht="15" customHeight="1" x14ac:dyDescent="0.25"/>
    <row r="1291" customFormat="1" ht="15" customHeight="1" x14ac:dyDescent="0.25"/>
    <row r="1292" customFormat="1" ht="15" customHeight="1" x14ac:dyDescent="0.25"/>
    <row r="1293" customFormat="1" ht="15" customHeight="1" x14ac:dyDescent="0.25"/>
    <row r="1294" customFormat="1" ht="15" customHeight="1" x14ac:dyDescent="0.25"/>
    <row r="1295" customFormat="1" ht="15" customHeight="1" x14ac:dyDescent="0.25"/>
    <row r="1296" customFormat="1" ht="15" customHeight="1" x14ac:dyDescent="0.25"/>
    <row r="1297" customFormat="1" ht="15" customHeight="1" x14ac:dyDescent="0.25"/>
    <row r="1298" customFormat="1" ht="15" customHeight="1" x14ac:dyDescent="0.25"/>
    <row r="1299" customFormat="1" ht="15" customHeight="1" x14ac:dyDescent="0.25"/>
    <row r="1300" customFormat="1" ht="15" customHeight="1" x14ac:dyDescent="0.25"/>
    <row r="1301" customFormat="1" ht="15" customHeight="1" x14ac:dyDescent="0.25"/>
    <row r="1302" customFormat="1" ht="15" customHeight="1" x14ac:dyDescent="0.25"/>
    <row r="1303" customFormat="1" ht="15" customHeight="1" x14ac:dyDescent="0.25"/>
    <row r="1304" customFormat="1" ht="15" customHeight="1" x14ac:dyDescent="0.25"/>
    <row r="1305" customFormat="1" ht="15" customHeight="1" x14ac:dyDescent="0.25"/>
    <row r="1306" customFormat="1" ht="15" customHeight="1" x14ac:dyDescent="0.25"/>
    <row r="1307" customFormat="1" ht="15" customHeight="1" x14ac:dyDescent="0.25"/>
    <row r="1308" customFormat="1" ht="15" customHeight="1" x14ac:dyDescent="0.25"/>
    <row r="1309" customFormat="1" ht="15" customHeight="1" x14ac:dyDescent="0.25"/>
    <row r="1310" customFormat="1" ht="15" customHeight="1" x14ac:dyDescent="0.25"/>
    <row r="1311" customFormat="1" ht="15" customHeight="1" x14ac:dyDescent="0.25"/>
    <row r="1312" customFormat="1" ht="15" customHeight="1" x14ac:dyDescent="0.25"/>
    <row r="1313" customFormat="1" ht="15" customHeight="1" x14ac:dyDescent="0.25"/>
    <row r="1314" customFormat="1" ht="15" customHeight="1" x14ac:dyDescent="0.25"/>
    <row r="1315" customFormat="1" ht="15" customHeight="1" x14ac:dyDescent="0.25"/>
    <row r="1316" customFormat="1" ht="15" customHeight="1" x14ac:dyDescent="0.25"/>
    <row r="1317" customFormat="1" ht="15" customHeight="1" x14ac:dyDescent="0.25"/>
    <row r="1318" customFormat="1" ht="15" customHeight="1" x14ac:dyDescent="0.25"/>
    <row r="1319" customFormat="1" ht="15" customHeight="1" x14ac:dyDescent="0.25"/>
    <row r="1320" customFormat="1" ht="15" customHeight="1" x14ac:dyDescent="0.25"/>
    <row r="1321" customFormat="1" ht="15" customHeight="1" x14ac:dyDescent="0.25"/>
    <row r="1322" customFormat="1" ht="15" customHeight="1" x14ac:dyDescent="0.25"/>
    <row r="1323" customFormat="1" ht="15" customHeight="1" x14ac:dyDescent="0.25"/>
    <row r="1324" customFormat="1" ht="15" customHeight="1" x14ac:dyDescent="0.25"/>
    <row r="1325" customFormat="1" ht="15" customHeight="1" x14ac:dyDescent="0.25"/>
    <row r="1326" customFormat="1" ht="15" customHeight="1" x14ac:dyDescent="0.25"/>
    <row r="1327" customFormat="1" ht="15" customHeight="1" x14ac:dyDescent="0.25"/>
    <row r="1328" customFormat="1" ht="15" customHeight="1" x14ac:dyDescent="0.25"/>
    <row r="1329" customFormat="1" ht="15" customHeight="1" x14ac:dyDescent="0.25"/>
    <row r="1330" customFormat="1" ht="15" customHeight="1" x14ac:dyDescent="0.25"/>
    <row r="1331" customFormat="1" ht="15" customHeight="1" x14ac:dyDescent="0.25"/>
    <row r="1332" customFormat="1" ht="15" customHeight="1" x14ac:dyDescent="0.25"/>
    <row r="1333" customFormat="1" ht="15" customHeight="1" x14ac:dyDescent="0.25"/>
    <row r="1334" customFormat="1" ht="15" customHeight="1" x14ac:dyDescent="0.25"/>
    <row r="1335" customFormat="1" ht="15" customHeight="1" x14ac:dyDescent="0.25"/>
    <row r="1336" customFormat="1" ht="15" customHeight="1" x14ac:dyDescent="0.25"/>
    <row r="1337" customFormat="1" ht="15" customHeight="1" x14ac:dyDescent="0.25"/>
    <row r="1338" customFormat="1" ht="15" customHeight="1" x14ac:dyDescent="0.25"/>
    <row r="1339" customFormat="1" ht="15" customHeight="1" x14ac:dyDescent="0.25"/>
    <row r="1340" customFormat="1" ht="15" customHeight="1" x14ac:dyDescent="0.25"/>
    <row r="1341" customFormat="1" ht="15" customHeight="1" x14ac:dyDescent="0.25"/>
    <row r="1342" customFormat="1" ht="15" customHeight="1" x14ac:dyDescent="0.25"/>
    <row r="1343" customFormat="1" ht="15" customHeight="1" x14ac:dyDescent="0.25"/>
    <row r="1344" customFormat="1" ht="15" customHeight="1" x14ac:dyDescent="0.25"/>
    <row r="1345" customFormat="1" ht="15" customHeight="1" x14ac:dyDescent="0.25"/>
    <row r="1346" customFormat="1" ht="15" customHeight="1" x14ac:dyDescent="0.25"/>
    <row r="1347" customFormat="1" ht="15" customHeight="1" x14ac:dyDescent="0.25"/>
    <row r="1348" customFormat="1" ht="15" customHeight="1" x14ac:dyDescent="0.25"/>
    <row r="1349" customFormat="1" ht="15" customHeight="1" x14ac:dyDescent="0.25"/>
    <row r="1350" customFormat="1" ht="15" customHeight="1" x14ac:dyDescent="0.25"/>
    <row r="1351" customFormat="1" ht="15" customHeight="1" x14ac:dyDescent="0.25"/>
    <row r="1352" customFormat="1" ht="15" customHeight="1" x14ac:dyDescent="0.25"/>
    <row r="1353" customFormat="1" ht="15" customHeight="1" x14ac:dyDescent="0.25"/>
    <row r="1354" customFormat="1" ht="15" customHeight="1" x14ac:dyDescent="0.25"/>
    <row r="1355" customFormat="1" ht="15" customHeight="1" x14ac:dyDescent="0.25"/>
    <row r="1356" customFormat="1" ht="15" customHeight="1" x14ac:dyDescent="0.25"/>
    <row r="1357" customFormat="1" ht="15" customHeight="1" x14ac:dyDescent="0.25"/>
    <row r="1358" customFormat="1" ht="15" customHeight="1" x14ac:dyDescent="0.25"/>
    <row r="1359" customFormat="1" ht="15" customHeight="1" x14ac:dyDescent="0.25"/>
    <row r="1360" customFormat="1" ht="15" customHeight="1" x14ac:dyDescent="0.25"/>
    <row r="1361" customFormat="1" ht="15" customHeight="1" x14ac:dyDescent="0.25"/>
    <row r="1362" customFormat="1" ht="15" customHeight="1" x14ac:dyDescent="0.25"/>
    <row r="1363" customFormat="1" ht="15" customHeight="1" x14ac:dyDescent="0.25"/>
    <row r="1364" customFormat="1" ht="15" customHeight="1" x14ac:dyDescent="0.25"/>
    <row r="1365" customFormat="1" ht="15" customHeight="1" x14ac:dyDescent="0.25"/>
    <row r="1366" customFormat="1" ht="15" customHeight="1" x14ac:dyDescent="0.25"/>
    <row r="1367" customFormat="1" ht="15" customHeight="1" x14ac:dyDescent="0.25"/>
    <row r="1368" customFormat="1" ht="15" customHeight="1" x14ac:dyDescent="0.25"/>
    <row r="1369" customFormat="1" ht="15" customHeight="1" x14ac:dyDescent="0.25"/>
    <row r="1370" customFormat="1" ht="15" customHeight="1" x14ac:dyDescent="0.25"/>
    <row r="1371" customFormat="1" ht="15" customHeight="1" x14ac:dyDescent="0.25"/>
    <row r="1372" customFormat="1" ht="15" customHeight="1" x14ac:dyDescent="0.25"/>
    <row r="1373" customFormat="1" ht="15" customHeight="1" x14ac:dyDescent="0.25"/>
    <row r="1374" customFormat="1" ht="15" customHeight="1" x14ac:dyDescent="0.25"/>
    <row r="1375" customFormat="1" ht="15" customHeight="1" x14ac:dyDescent="0.25"/>
    <row r="1376" customFormat="1" ht="15" customHeight="1" x14ac:dyDescent="0.25"/>
    <row r="1377" customFormat="1" ht="15" customHeight="1" x14ac:dyDescent="0.25"/>
    <row r="1378" customFormat="1" ht="15" customHeight="1" x14ac:dyDescent="0.25"/>
    <row r="1379" customFormat="1" ht="15" customHeight="1" x14ac:dyDescent="0.25"/>
    <row r="1380" customFormat="1" ht="15" customHeight="1" x14ac:dyDescent="0.25"/>
    <row r="1381" customFormat="1" ht="15" customHeight="1" x14ac:dyDescent="0.25"/>
    <row r="1382" customFormat="1" ht="15" customHeight="1" x14ac:dyDescent="0.25"/>
    <row r="1383" customFormat="1" ht="15" customHeight="1" x14ac:dyDescent="0.25"/>
    <row r="1384" customFormat="1" ht="15" customHeight="1" x14ac:dyDescent="0.25"/>
    <row r="1385" customFormat="1" ht="15" customHeight="1" x14ac:dyDescent="0.25"/>
    <row r="1386" customFormat="1" ht="15" customHeight="1" x14ac:dyDescent="0.25"/>
    <row r="1387" customFormat="1" ht="15" customHeight="1" x14ac:dyDescent="0.25"/>
    <row r="1388" customFormat="1" ht="15" customHeight="1" x14ac:dyDescent="0.25"/>
    <row r="1389" customFormat="1" ht="15" customHeight="1" x14ac:dyDescent="0.25"/>
    <row r="1390" customFormat="1" ht="15" customHeight="1" x14ac:dyDescent="0.25"/>
    <row r="1391" customFormat="1" ht="15" customHeight="1" x14ac:dyDescent="0.25"/>
    <row r="1392" customFormat="1" ht="15" customHeight="1" x14ac:dyDescent="0.25"/>
    <row r="1393" spans="1:33" customFormat="1" ht="15" customHeight="1" x14ac:dyDescent="0.25"/>
    <row r="1394" spans="1:33" customFormat="1" ht="15" customHeight="1" x14ac:dyDescent="0.25"/>
    <row r="1395" spans="1:33" customFormat="1" ht="15" customHeight="1" x14ac:dyDescent="0.25"/>
    <row r="1396" spans="1:33" customFormat="1" ht="15" customHeight="1" x14ac:dyDescent="0.25"/>
    <row r="1397" spans="1:33" customFormat="1" ht="15" customHeight="1" x14ac:dyDescent="0.25">
      <c r="A1397" s="17"/>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c r="AC1397" s="14"/>
      <c r="AD1397" s="14"/>
      <c r="AE1397" s="14"/>
      <c r="AF1397" s="14"/>
      <c r="AG1397" s="13"/>
    </row>
    <row r="1398" spans="1:33" customFormat="1" ht="15" customHeight="1" x14ac:dyDescent="0.25">
      <c r="A1398" s="17"/>
      <c r="B1398" s="14"/>
      <c r="C1398" s="14"/>
      <c r="D1398" s="14"/>
      <c r="E1398" s="14"/>
      <c r="F1398" s="14"/>
      <c r="G1398" s="14"/>
      <c r="H1398" s="14"/>
      <c r="I1398" s="14"/>
      <c r="J1398" s="14"/>
      <c r="K1398" s="14"/>
      <c r="L1398" s="14"/>
      <c r="M1398" s="14"/>
      <c r="N1398" s="14"/>
      <c r="O1398" s="14"/>
      <c r="P1398" s="14"/>
      <c r="Q1398" s="14"/>
      <c r="R1398" s="14"/>
      <c r="S1398" s="14"/>
      <c r="T1398" s="14"/>
      <c r="U1398" s="14"/>
      <c r="V1398" s="14"/>
      <c r="W1398" s="14"/>
      <c r="X1398" s="14"/>
      <c r="Y1398" s="14"/>
      <c r="Z1398" s="14"/>
      <c r="AA1398" s="14"/>
      <c r="AB1398" s="14"/>
      <c r="AC1398" s="14"/>
      <c r="AD1398" s="14"/>
      <c r="AE1398" s="14"/>
      <c r="AF1398" s="14"/>
      <c r="AG1398" s="13"/>
    </row>
    <row r="1399" spans="1:33" customFormat="1" ht="15" customHeight="1" x14ac:dyDescent="0.25">
      <c r="A1399" s="17"/>
      <c r="B1399" s="14"/>
      <c r="C1399" s="14"/>
      <c r="D1399" s="14"/>
      <c r="E1399" s="14"/>
      <c r="F1399" s="14"/>
      <c r="G1399" s="14"/>
      <c r="H1399" s="14"/>
      <c r="I1399" s="14"/>
      <c r="J1399" s="14"/>
      <c r="K1399" s="14"/>
      <c r="L1399" s="14"/>
      <c r="M1399" s="14"/>
      <c r="N1399" s="14"/>
      <c r="O1399" s="14"/>
      <c r="P1399" s="14"/>
      <c r="Q1399" s="14"/>
      <c r="R1399" s="14"/>
      <c r="S1399" s="14"/>
      <c r="T1399" s="14"/>
      <c r="U1399" s="14"/>
      <c r="V1399" s="14"/>
      <c r="W1399" s="14"/>
      <c r="X1399" s="14"/>
      <c r="Y1399" s="14"/>
      <c r="Z1399" s="14"/>
      <c r="AA1399" s="14"/>
      <c r="AB1399" s="14"/>
      <c r="AC1399" s="14"/>
      <c r="AD1399" s="14"/>
      <c r="AE1399" s="14"/>
      <c r="AF1399" s="14"/>
      <c r="AG1399" s="13"/>
    </row>
  </sheetData>
  <mergeCells count="4">
    <mergeCell ref="B2:AF2"/>
    <mergeCell ref="A8:AG8"/>
    <mergeCell ref="A2:A3"/>
    <mergeCell ref="AG2:AG3"/>
  </mergeCells>
  <conditionalFormatting sqref="B5:AF6">
    <cfRule type="expression" priority="1" stopIfTrue="1">
      <formula>B5=""</formula>
    </cfRule>
    <cfRule type="expression" dxfId="489" priority="2" stopIfTrue="1">
      <formula>B5=ClavePersonalizada2</formula>
    </cfRule>
    <cfRule type="expression" dxfId="488" priority="3" stopIfTrue="1">
      <formula>B5=ClavePersonalizada1</formula>
    </cfRule>
    <cfRule type="expression" dxfId="487" priority="4" stopIfTrue="1">
      <formula>B5=ClaveEnfermedad</formula>
    </cfRule>
    <cfRule type="expression" dxfId="486" priority="5" stopIfTrue="1">
      <formula>B5=ClavePersonal</formula>
    </cfRule>
    <cfRule type="expression" dxfId="485" priority="6" stopIfTrue="1">
      <formula>B5=ClaveVacaciones</formula>
    </cfRule>
  </conditionalFormatting>
  <conditionalFormatting sqref="AG5:AG6">
    <cfRule type="dataBar" priority="31">
      <dataBar>
        <cfvo type="min"/>
        <cfvo type="num" val="31"/>
        <color theme="2" tint="-0.249977111117893"/>
      </dataBar>
      <extLst>
        <ext xmlns:x14="http://schemas.microsoft.com/office/spreadsheetml/2009/9/main" uri="{B025F937-C7B1-47D3-B67F-A62EFF666E3E}">
          <x14:id>{ECCE2C3C-1B01-4700-B60E-DAAAB19A9C1A}</x14:id>
        </ext>
      </extLst>
    </cfRule>
  </conditionalFormatting>
  <printOptions horizontalCentered="1"/>
  <pageMargins left="0.25" right="0.25" top="0.75" bottom="0.75" header="0.3" footer="0.3"/>
  <pageSetup scale="67" fitToHeight="0"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x14:cfvo type="autoMin"/>
              <x14:cfvo type="num">
                <xm:f>31</xm:f>
              </x14:cfvo>
              <x14:negativeFillColor rgb="FFFF0000"/>
              <x14:axisColor rgb="FF000000"/>
            </x14:dataBar>
          </x14:cfRule>
          <xm:sqref>AG5:AG6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pageSetUpPr fitToPage="1"/>
  </sheetPr>
  <dimension ref="A1:AH9"/>
  <sheetViews>
    <sheetView showGridLines="0" zoomScaleNormal="100" workbookViewId="0">
      <selection activeCell="B2" sqref="B2:AF2"/>
    </sheetView>
  </sheetViews>
  <sheetFormatPr baseColWidth="10" defaultColWidth="9.140625" defaultRowHeight="15" customHeight="1" x14ac:dyDescent="0.25"/>
  <cols>
    <col min="1" max="1" width="24.28515625" style="17" customWidth="1"/>
    <col min="2" max="8" width="4" style="14" customWidth="1"/>
    <col min="9" max="9" width="5" style="14" customWidth="1"/>
    <col min="10" max="12" width="4" style="14" customWidth="1"/>
    <col min="13" max="13" width="3" style="14" customWidth="1"/>
    <col min="14" max="19" width="4" style="14" customWidth="1"/>
    <col min="20" max="20" width="4.85546875" style="14" customWidth="1"/>
    <col min="21" max="22" width="5.28515625" style="14" customWidth="1"/>
    <col min="23" max="23" width="5" style="14" customWidth="1"/>
    <col min="24" max="24" width="4" style="14" customWidth="1"/>
    <col min="25" max="25" width="3.5703125" style="14" customWidth="1"/>
    <col min="26" max="26" width="4.85546875" style="14" customWidth="1"/>
    <col min="27" max="28" width="4" style="14" customWidth="1"/>
    <col min="29" max="29" width="6.7109375" style="14" customWidth="1"/>
    <col min="30" max="32" width="4" style="14" customWidth="1"/>
    <col min="33" max="33" width="13.5703125" style="13" customWidth="1"/>
    <col min="34" max="34" width="9.140625" style="14"/>
    <col min="35" max="16384" width="9.140625" style="15"/>
  </cols>
  <sheetData>
    <row r="1" spans="1:34" s="1" customFormat="1" ht="50.25" customHeight="1" x14ac:dyDescent="0.25">
      <c r="A1" s="25"/>
      <c r="B1" s="18"/>
      <c r="C1" s="18"/>
      <c r="D1" s="18"/>
      <c r="E1" s="18"/>
      <c r="F1" s="18"/>
      <c r="G1" s="49" t="s">
        <v>43</v>
      </c>
      <c r="H1" s="18"/>
      <c r="I1" s="18"/>
      <c r="J1" s="18"/>
      <c r="K1" s="18"/>
      <c r="L1" s="18"/>
      <c r="M1" s="18"/>
      <c r="N1" s="18"/>
      <c r="O1" s="18"/>
      <c r="P1" s="18"/>
      <c r="Q1" s="18"/>
      <c r="R1" s="18"/>
      <c r="S1" s="18"/>
      <c r="T1" s="18"/>
      <c r="U1" s="18"/>
      <c r="V1" s="18"/>
      <c r="W1" s="18"/>
      <c r="X1" s="18"/>
      <c r="Y1" s="18"/>
      <c r="Z1" s="18"/>
      <c r="AA1" s="18"/>
      <c r="AB1" s="18"/>
      <c r="AC1" s="19"/>
      <c r="AD1" s="19"/>
      <c r="AE1" s="20"/>
      <c r="AF1"/>
      <c r="AG1"/>
      <c r="AH1" s="2"/>
    </row>
    <row r="2" spans="1:34" ht="30" customHeight="1" x14ac:dyDescent="0.25">
      <c r="A2" s="60" t="s">
        <v>35</v>
      </c>
      <c r="B2" s="58" t="s">
        <v>63</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63">
        <f>AñoCalendario</f>
        <v>2016</v>
      </c>
    </row>
    <row r="3" spans="1:34" ht="15.75" customHeight="1" x14ac:dyDescent="0.25">
      <c r="A3" s="60"/>
      <c r="B3" s="26" t="str">
        <f>TEXT(WEEKDAY(DATE(AñoCalendario,2,1),1),"ooo")</f>
        <v>lun</v>
      </c>
      <c r="C3" s="27" t="str">
        <f>TEXT(WEEKDAY(DATE(AñoCalendario,2,2),1),"ooo")</f>
        <v>mar</v>
      </c>
      <c r="D3" s="27" t="str">
        <f>TEXT(WEEKDAY(DATE(AñoCalendario,2,3),1),"ooo")</f>
        <v>mié</v>
      </c>
      <c r="E3" s="27" t="str">
        <f>TEXT(WEEKDAY(DATE(AñoCalendario,2,4),1),"ooo")</f>
        <v>jue</v>
      </c>
      <c r="F3" s="27" t="str">
        <f>TEXT(WEEKDAY(DATE(AñoCalendario,2,5),1),"ooo")</f>
        <v>vie</v>
      </c>
      <c r="G3" s="27" t="str">
        <f>TEXT(WEEKDAY(DATE(AñoCalendario,2,6),1),"ooo")</f>
        <v>sáb</v>
      </c>
      <c r="H3" s="27" t="str">
        <f>TEXT(WEEKDAY(DATE(AñoCalendario,2,7),1),"ooo")</f>
        <v>dom</v>
      </c>
      <c r="I3" s="27" t="str">
        <f>TEXT(WEEKDAY(DATE(AñoCalendario,2,8),1),"ooo")</f>
        <v>lun</v>
      </c>
      <c r="J3" s="27" t="str">
        <f>TEXT(WEEKDAY(DATE(AñoCalendario,2,9),1),"ooo")</f>
        <v>mar</v>
      </c>
      <c r="K3" s="27" t="str">
        <f>TEXT(WEEKDAY(DATE(AñoCalendario,2,10),1),"ooo")</f>
        <v>mié</v>
      </c>
      <c r="L3" s="27" t="str">
        <f>TEXT(WEEKDAY(DATE(AñoCalendario,2,11),1),"ooo")</f>
        <v>jue</v>
      </c>
      <c r="M3" s="27" t="str">
        <f>TEXT(WEEKDAY(DATE(AñoCalendario,2,12),1),"ooo")</f>
        <v>vie</v>
      </c>
      <c r="N3" s="27" t="str">
        <f>TEXT(WEEKDAY(DATE(AñoCalendario,2,13),1),"ooo")</f>
        <v>sáb</v>
      </c>
      <c r="O3" s="27" t="str">
        <f>TEXT(WEEKDAY(DATE(AñoCalendario,2,14),1),"ooo")</f>
        <v>dom</v>
      </c>
      <c r="P3" s="27" t="str">
        <f>TEXT(WEEKDAY(DATE(AñoCalendario,2,15),1),"ooo")</f>
        <v>lun</v>
      </c>
      <c r="Q3" s="27" t="str">
        <f>TEXT(WEEKDAY(DATE(AñoCalendario,2,16),1),"ooo")</f>
        <v>mar</v>
      </c>
      <c r="R3" s="27" t="str">
        <f>TEXT(WEEKDAY(DATE(AñoCalendario,2,17),1),"ooo")</f>
        <v>mié</v>
      </c>
      <c r="S3" s="27" t="str">
        <f>TEXT(WEEKDAY(DATE(AñoCalendario,2,18),1),"ooo")</f>
        <v>jue</v>
      </c>
      <c r="T3" s="27" t="str">
        <f>TEXT(WEEKDAY(DATE(AñoCalendario,2,19),1),"ooo")</f>
        <v>vie</v>
      </c>
      <c r="U3" s="27" t="str">
        <f>TEXT(WEEKDAY(DATE(AñoCalendario,2,20),1),"ooo")</f>
        <v>sáb</v>
      </c>
      <c r="V3" s="27" t="str">
        <f>TEXT(WEEKDAY(DATE(AñoCalendario,2,21),1),"ooo")</f>
        <v>dom</v>
      </c>
      <c r="W3" s="27" t="str">
        <f>TEXT(WEEKDAY(DATE(AñoCalendario,2,22),1),"ooo")</f>
        <v>lun</v>
      </c>
      <c r="X3" s="27" t="str">
        <f>TEXT(WEEKDAY(DATE(AñoCalendario,2,23),1),"ooo")</f>
        <v>mar</v>
      </c>
      <c r="Y3" s="27" t="str">
        <f>TEXT(WEEKDAY(DATE(AñoCalendario,2,24),1),"ooo")</f>
        <v>mié</v>
      </c>
      <c r="Z3" s="27" t="str">
        <f>TEXT(WEEKDAY(DATE(AñoCalendario,2,25),1),"ooo")</f>
        <v>jue</v>
      </c>
      <c r="AA3" s="27" t="str">
        <f>TEXT(WEEKDAY(DATE(AñoCalendario,2,26),1),"ooo")</f>
        <v>vie</v>
      </c>
      <c r="AB3" s="27" t="str">
        <f>TEXT(WEEKDAY(DATE(AñoCalendario,2,27),1),"ooo")</f>
        <v>sáb</v>
      </c>
      <c r="AC3" s="27" t="str">
        <f>TEXT(WEEKDAY(DATE(AñoCalendario,2,28),1),"ooo")</f>
        <v>dom</v>
      </c>
      <c r="AD3" s="27" t="str">
        <f>TEXT(WEEKDAY(DATE(AñoCalendario,2,29),1),"ooo")</f>
        <v>lun</v>
      </c>
      <c r="AE3" s="27"/>
      <c r="AF3" s="28"/>
      <c r="AG3" s="63"/>
    </row>
    <row r="4" spans="1:34" s="12" customFormat="1" x14ac:dyDescent="0.25">
      <c r="A4" s="35" t="s">
        <v>44</v>
      </c>
      <c r="B4" s="7" t="s">
        <v>41</v>
      </c>
      <c r="C4" s="7" t="s">
        <v>0</v>
      </c>
      <c r="D4" s="7" t="s">
        <v>1</v>
      </c>
      <c r="E4" s="7" t="s">
        <v>2</v>
      </c>
      <c r="F4" s="7" t="s">
        <v>3</v>
      </c>
      <c r="G4" s="7" t="s">
        <v>4</v>
      </c>
      <c r="H4" s="7" t="s">
        <v>5</v>
      </c>
      <c r="I4" s="7" t="s">
        <v>6</v>
      </c>
      <c r="J4" s="7" t="s">
        <v>7</v>
      </c>
      <c r="K4" s="7" t="s">
        <v>8</v>
      </c>
      <c r="L4" s="7" t="s">
        <v>9</v>
      </c>
      <c r="M4" s="7" t="s">
        <v>10</v>
      </c>
      <c r="N4" s="7" t="s">
        <v>11</v>
      </c>
      <c r="O4" s="7" t="s">
        <v>12</v>
      </c>
      <c r="P4" s="7" t="s">
        <v>13</v>
      </c>
      <c r="Q4" s="7" t="s">
        <v>14</v>
      </c>
      <c r="R4" s="7" t="s">
        <v>15</v>
      </c>
      <c r="S4" s="7" t="s">
        <v>16</v>
      </c>
      <c r="T4" s="7" t="s">
        <v>17</v>
      </c>
      <c r="U4" s="7" t="s">
        <v>18</v>
      </c>
      <c r="V4" s="7" t="s">
        <v>19</v>
      </c>
      <c r="W4" s="7" t="s">
        <v>20</v>
      </c>
      <c r="X4" s="7" t="s">
        <v>21</v>
      </c>
      <c r="Y4" s="7" t="s">
        <v>22</v>
      </c>
      <c r="Z4" s="7" t="s">
        <v>23</v>
      </c>
      <c r="AA4" s="7" t="s">
        <v>24</v>
      </c>
      <c r="AB4" s="7" t="s">
        <v>25</v>
      </c>
      <c r="AC4" s="7" t="s">
        <v>26</v>
      </c>
      <c r="AD4" s="16" t="s">
        <v>27</v>
      </c>
      <c r="AE4" s="7" t="s">
        <v>31</v>
      </c>
      <c r="AF4" s="7" t="s">
        <v>32</v>
      </c>
      <c r="AG4" s="7" t="s">
        <v>30</v>
      </c>
      <c r="AH4" s="11"/>
    </row>
    <row r="5" spans="1:34" s="12" customFormat="1" ht="30" x14ac:dyDescent="0.25">
      <c r="A5" s="42" t="s">
        <v>59</v>
      </c>
      <c r="B5" s="50"/>
      <c r="C5" s="7" t="s">
        <v>45</v>
      </c>
      <c r="D5" s="7" t="s">
        <v>45</v>
      </c>
      <c r="E5" s="7" t="s">
        <v>45</v>
      </c>
      <c r="F5" s="7" t="s">
        <v>45</v>
      </c>
      <c r="G5" s="7"/>
      <c r="H5" s="7"/>
      <c r="I5" s="7" t="s">
        <v>45</v>
      </c>
      <c r="J5" s="7" t="s">
        <v>45</v>
      </c>
      <c r="K5" s="7" t="s">
        <v>45</v>
      </c>
      <c r="L5" s="7" t="s">
        <v>45</v>
      </c>
      <c r="M5" s="7" t="s">
        <v>45</v>
      </c>
      <c r="N5" s="7"/>
      <c r="O5" s="7"/>
      <c r="P5" s="7" t="s">
        <v>47</v>
      </c>
      <c r="Q5" s="7" t="s">
        <v>47</v>
      </c>
      <c r="R5" s="7" t="s">
        <v>47</v>
      </c>
      <c r="S5" s="7" t="s">
        <v>47</v>
      </c>
      <c r="T5" s="7" t="s">
        <v>47</v>
      </c>
      <c r="U5" s="7"/>
      <c r="V5" s="7"/>
      <c r="W5" s="7" t="s">
        <v>47</v>
      </c>
      <c r="X5" s="7" t="s">
        <v>47</v>
      </c>
      <c r="Y5" s="7" t="s">
        <v>47</v>
      </c>
      <c r="Z5" s="7" t="s">
        <v>47</v>
      </c>
      <c r="AA5" s="7" t="s">
        <v>47</v>
      </c>
      <c r="AB5" s="7"/>
      <c r="AC5" s="7"/>
      <c r="AD5" s="7" t="s">
        <v>47</v>
      </c>
      <c r="AE5" s="7"/>
      <c r="AF5" s="7"/>
      <c r="AG5" s="10">
        <f>COUNTA(tblFebrero[[#This Row],[1]:[29]])</f>
        <v>20</v>
      </c>
      <c r="AH5" s="11"/>
    </row>
    <row r="6" spans="1:34" s="12" customFormat="1" ht="30" x14ac:dyDescent="0.25">
      <c r="A6" s="42" t="s">
        <v>60</v>
      </c>
      <c r="B6" s="50"/>
      <c r="C6" s="7" t="s">
        <v>45</v>
      </c>
      <c r="D6" s="7" t="s">
        <v>45</v>
      </c>
      <c r="E6" s="7" t="s">
        <v>45</v>
      </c>
      <c r="F6" s="7" t="s">
        <v>45</v>
      </c>
      <c r="G6" s="7"/>
      <c r="H6" s="7"/>
      <c r="I6" s="7" t="s">
        <v>45</v>
      </c>
      <c r="J6" s="7" t="s">
        <v>45</v>
      </c>
      <c r="K6" s="7" t="s">
        <v>45</v>
      </c>
      <c r="L6" s="7" t="s">
        <v>45</v>
      </c>
      <c r="M6" s="7" t="s">
        <v>45</v>
      </c>
      <c r="N6" s="7"/>
      <c r="O6" s="7"/>
      <c r="P6" s="7" t="s">
        <v>47</v>
      </c>
      <c r="Q6" s="7" t="s">
        <v>47</v>
      </c>
      <c r="R6" s="7" t="s">
        <v>47</v>
      </c>
      <c r="S6" s="7" t="s">
        <v>47</v>
      </c>
      <c r="T6" s="7" t="s">
        <v>47</v>
      </c>
      <c r="U6" s="7"/>
      <c r="V6" s="7"/>
      <c r="W6" s="7" t="s">
        <v>47</v>
      </c>
      <c r="X6" s="7" t="s">
        <v>47</v>
      </c>
      <c r="Y6" s="7" t="s">
        <v>47</v>
      </c>
      <c r="Z6" s="7" t="s">
        <v>47</v>
      </c>
      <c r="AA6" s="7" t="s">
        <v>47</v>
      </c>
      <c r="AB6" s="7"/>
      <c r="AC6" s="7"/>
      <c r="AD6" s="7" t="s">
        <v>47</v>
      </c>
      <c r="AE6" s="7"/>
      <c r="AF6" s="7"/>
      <c r="AG6" s="10">
        <f>COUNTA(tblFebrero[[#This Row],[1]:[29]])</f>
        <v>20</v>
      </c>
      <c r="AH6" s="11"/>
    </row>
    <row r="7" spans="1:34" ht="15" customHeight="1" x14ac:dyDescent="0.25">
      <c r="A7" s="36" t="str">
        <f>NombreMes&amp;" Total"</f>
        <v>Febrero Total</v>
      </c>
      <c r="B7"/>
      <c r="C7" s="10">
        <f>SUBTOTAL(103,tblFebrero[2])</f>
        <v>2</v>
      </c>
      <c r="D7" s="10">
        <f>SUBTOTAL(103,tblFebrero[3])</f>
        <v>2</v>
      </c>
      <c r="E7" s="10">
        <f>SUBTOTAL(103,tblFebrero[4])</f>
        <v>2</v>
      </c>
      <c r="F7" s="10">
        <f>SUBTOTAL(103,tblFebrero[5])</f>
        <v>2</v>
      </c>
      <c r="G7" s="10">
        <f>SUBTOTAL(103,tblFebrero[6])</f>
        <v>0</v>
      </c>
      <c r="H7" s="10">
        <f>SUBTOTAL(103,tblFebrero[7])</f>
        <v>0</v>
      </c>
      <c r="I7" s="10">
        <f>SUBTOTAL(103,tblFebrero[8])</f>
        <v>2</v>
      </c>
      <c r="J7" s="10">
        <f>SUBTOTAL(103,tblFebrero[9])</f>
        <v>2</v>
      </c>
      <c r="K7" s="10">
        <f>SUBTOTAL(103,tblFebrero[10])</f>
        <v>2</v>
      </c>
      <c r="L7" s="10">
        <f>SUBTOTAL(103,tblFebrero[11])</f>
        <v>2</v>
      </c>
      <c r="M7" s="10">
        <f>SUBTOTAL(103,tblFebrero[12])</f>
        <v>2</v>
      </c>
      <c r="N7" s="10">
        <f>SUBTOTAL(103,tblFebrero[13])</f>
        <v>0</v>
      </c>
      <c r="O7" s="10">
        <f>SUBTOTAL(103,tblFebrero[14])</f>
        <v>0</v>
      </c>
      <c r="P7" s="10">
        <f>SUBTOTAL(103,tblFebrero[15])</f>
        <v>2</v>
      </c>
      <c r="Q7" s="10">
        <f>SUBTOTAL(103,tblFebrero[16])</f>
        <v>2</v>
      </c>
      <c r="R7" s="10">
        <f>SUBTOTAL(103,tblFebrero[17])</f>
        <v>2</v>
      </c>
      <c r="S7" s="10">
        <f>SUBTOTAL(103,tblFebrero[18])</f>
        <v>2</v>
      </c>
      <c r="T7" s="10">
        <f>SUBTOTAL(103,tblFebrero[19])</f>
        <v>2</v>
      </c>
      <c r="U7" s="10">
        <f>SUBTOTAL(103,tblFebrero[20])</f>
        <v>0</v>
      </c>
      <c r="V7" s="10">
        <f>SUBTOTAL(103,tblFebrero[21])</f>
        <v>0</v>
      </c>
      <c r="W7" s="10">
        <f>SUBTOTAL(103,tblFebrero[22])</f>
        <v>2</v>
      </c>
      <c r="X7" s="10">
        <f>SUBTOTAL(103,tblFebrero[23])</f>
        <v>2</v>
      </c>
      <c r="Y7" s="10">
        <f>SUBTOTAL(103,tblFebrero[24])</f>
        <v>2</v>
      </c>
      <c r="Z7" s="10">
        <f>SUBTOTAL(103,tblFebrero[25])</f>
        <v>2</v>
      </c>
      <c r="AA7" s="10">
        <f>SUBTOTAL(103,tblFebrero[26])</f>
        <v>2</v>
      </c>
      <c r="AB7" s="10">
        <f>SUBTOTAL(103,tblFebrero[27])</f>
        <v>0</v>
      </c>
      <c r="AC7" s="10">
        <f>SUBTOTAL(103,tblFebrero[28])</f>
        <v>0</v>
      </c>
      <c r="AD7" s="10">
        <f>SUBTOTAL(103,tblFebrero[29])</f>
        <v>2</v>
      </c>
      <c r="AE7" s="10"/>
      <c r="AF7" s="10"/>
      <c r="AG7" s="10">
        <f>SUBTOTAL(109,tblFebrero[Total de días])</f>
        <v>40</v>
      </c>
    </row>
    <row r="8" spans="1:34" ht="15" customHeight="1" x14ac:dyDescent="0.25">
      <c r="A8" s="62"/>
      <c r="B8" s="62"/>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row>
    <row r="9" spans="1:34" s="14" customFormat="1" ht="15" customHeight="1" x14ac:dyDescent="0.25">
      <c r="A9" s="40" t="s">
        <v>34</v>
      </c>
      <c r="B9" s="40"/>
      <c r="C9" s="40"/>
      <c r="D9" s="40"/>
      <c r="E9" s="41"/>
      <c r="F9" s="21" t="s">
        <v>45</v>
      </c>
      <c r="G9" s="37" t="s">
        <v>46</v>
      </c>
      <c r="H9" s="38"/>
      <c r="I9" s="38"/>
      <c r="J9" s="22" t="s">
        <v>47</v>
      </c>
      <c r="K9" s="37" t="s">
        <v>50</v>
      </c>
      <c r="L9" s="38"/>
      <c r="M9" s="38"/>
      <c r="N9" s="23" t="s">
        <v>48</v>
      </c>
      <c r="O9" s="37" t="s">
        <v>51</v>
      </c>
      <c r="P9" s="39"/>
      <c r="Q9" s="38"/>
      <c r="R9" s="24" t="s">
        <v>49</v>
      </c>
      <c r="S9" s="37" t="s">
        <v>52</v>
      </c>
      <c r="T9" s="38"/>
      <c r="U9" s="39"/>
      <c r="V9" s="44" t="s">
        <v>53</v>
      </c>
      <c r="W9" s="37" t="s">
        <v>54</v>
      </c>
      <c r="X9" s="39"/>
      <c r="Y9" s="38"/>
      <c r="Z9" s="45" t="s">
        <v>55</v>
      </c>
      <c r="AA9" s="37" t="s">
        <v>56</v>
      </c>
      <c r="AB9" s="38"/>
      <c r="AC9" s="39"/>
      <c r="AD9" s="46" t="s">
        <v>57</v>
      </c>
      <c r="AE9" s="37" t="s">
        <v>58</v>
      </c>
      <c r="AF9" s="38"/>
      <c r="AG9" s="39"/>
    </row>
  </sheetData>
  <mergeCells count="4">
    <mergeCell ref="B2:AF2"/>
    <mergeCell ref="A8:AG8"/>
    <mergeCell ref="A2:A3"/>
    <mergeCell ref="AG2:AG3"/>
  </mergeCells>
  <conditionalFormatting sqref="AD4">
    <cfRule type="expression" dxfId="419" priority="14">
      <formula>MONTH(DATE(AñoCalendario,2,29))&lt;&gt;2</formula>
    </cfRule>
  </conditionalFormatting>
  <conditionalFormatting sqref="AD3">
    <cfRule type="expression" dxfId="418" priority="13">
      <formula>MONTH(DATE(AñoCalendario,2,29))&lt;&gt;2</formula>
    </cfRule>
  </conditionalFormatting>
  <conditionalFormatting sqref="B5:AF6">
    <cfRule type="expression" priority="1" stopIfTrue="1">
      <formula>B5=""</formula>
    </cfRule>
  </conditionalFormatting>
  <conditionalFormatting sqref="B5:AF6">
    <cfRule type="expression" dxfId="417" priority="2" stopIfTrue="1">
      <formula>B5=ClavePersonalizada2</formula>
    </cfRule>
    <cfRule type="expression" dxfId="416" priority="3" stopIfTrue="1">
      <formula>B5=ClavePersonalizada1</formula>
    </cfRule>
    <cfRule type="expression" dxfId="415" priority="4" stopIfTrue="1">
      <formula>B5=ClaveEnfermedad</formula>
    </cfRule>
    <cfRule type="expression" dxfId="414" priority="5" stopIfTrue="1">
      <formula>B5=ClavePersonal</formula>
    </cfRule>
    <cfRule type="expression" dxfId="413" priority="6" stopIfTrue="1">
      <formula>B5=ClaveVacaciones</formula>
    </cfRule>
  </conditionalFormatting>
  <conditionalFormatting sqref="AG5:AG6">
    <cfRule type="dataBar" priority="32">
      <dataBar>
        <cfvo type="min"/>
        <cfvo type="formula" val="DATEDIF(DATE(AñoCalendario,2,1),DATE(AñoCalendario,3,1),&quot;d&quot;)"/>
        <color theme="2" tint="-0.249977111117893"/>
      </dataBar>
      <extLst>
        <ext xmlns:x14="http://schemas.microsoft.com/office/spreadsheetml/2009/9/main" uri="{B025F937-C7B1-47D3-B67F-A62EFF666E3E}">
          <x14:id>{94738C71-AB78-40C3-A818-D083AE35CC38}</x14:id>
        </ext>
      </extLst>
    </cfRule>
  </conditionalFormatting>
  <pageMargins left="0.25" right="0.25" top="0.75" bottom="0.75" header="0.3" footer="0.3"/>
  <pageSetup scale="80" fitToHeight="0" orientation="landscape" verticalDpi="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4738C71-AB78-40C3-A818-D083AE35CC38}">
            <x14:dataBar minLength="0" maxLength="100">
              <x14:cfvo type="autoMin"/>
              <x14:cfvo type="formula">
                <xm:f>DATEDIF(DATE(AñoCalendario,2,1),DATE(AñoCalendario,3,1),"d")</xm:f>
              </x14:cfvo>
              <x14:negativeFillColor rgb="FFFF0000"/>
              <x14:axisColor rgb="FF000000"/>
            </x14:dataBar>
          </x14:cfRule>
          <xm:sqref>AG5:AG6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pageSetUpPr fitToPage="1"/>
  </sheetPr>
  <dimension ref="A1:AH22"/>
  <sheetViews>
    <sheetView showGridLines="0" zoomScaleNormal="100" workbookViewId="0">
      <selection activeCell="B2" sqref="B2:AF2"/>
    </sheetView>
  </sheetViews>
  <sheetFormatPr baseColWidth="10" defaultColWidth="9.140625" defaultRowHeight="15" customHeight="1" x14ac:dyDescent="0.25"/>
  <cols>
    <col min="1" max="1" width="24.28515625" style="17" customWidth="1"/>
    <col min="2" max="8" width="4" style="14" customWidth="1"/>
    <col min="9" max="9" width="4.7109375" style="14" customWidth="1"/>
    <col min="10" max="19" width="4" style="14" customWidth="1"/>
    <col min="20" max="21" width="5" style="14" customWidth="1"/>
    <col min="22" max="22" width="5.140625" style="14" customWidth="1"/>
    <col min="23" max="23" width="5.28515625" style="14" customWidth="1"/>
    <col min="24" max="24" width="4.5703125" style="14" customWidth="1"/>
    <col min="25" max="25" width="4.7109375" style="14" customWidth="1"/>
    <col min="26" max="26" width="5.28515625" style="14" customWidth="1"/>
    <col min="27" max="28" width="4" style="14" customWidth="1"/>
    <col min="29" max="29" width="7" style="14" customWidth="1"/>
    <col min="30" max="32" width="4" style="14" customWidth="1"/>
    <col min="33" max="33" width="13.5703125" style="13" customWidth="1"/>
    <col min="34" max="34" width="9.140625" style="14"/>
    <col min="35" max="16384" width="9.140625" style="15"/>
  </cols>
  <sheetData>
    <row r="1" spans="1:34" s="1" customFormat="1" ht="50.25" customHeight="1" x14ac:dyDescent="0.25">
      <c r="A1" s="25"/>
      <c r="B1" s="18"/>
      <c r="C1" s="18"/>
      <c r="D1" s="18"/>
      <c r="E1" s="18"/>
      <c r="F1" s="18"/>
      <c r="G1" s="49" t="s">
        <v>43</v>
      </c>
      <c r="H1" s="18"/>
      <c r="I1" s="18"/>
      <c r="J1" s="18"/>
      <c r="K1" s="18"/>
      <c r="L1" s="18"/>
      <c r="M1" s="18"/>
      <c r="N1" s="18"/>
      <c r="O1" s="18"/>
      <c r="P1" s="18"/>
      <c r="Q1" s="18"/>
      <c r="R1" s="18"/>
      <c r="S1" s="18"/>
      <c r="T1" s="18"/>
      <c r="U1" s="18"/>
      <c r="V1" s="18"/>
      <c r="W1" s="18"/>
      <c r="X1" s="18"/>
      <c r="Y1" s="18"/>
      <c r="Z1" s="18"/>
      <c r="AA1" s="18"/>
      <c r="AB1" s="18"/>
      <c r="AC1" s="19"/>
      <c r="AD1" s="19"/>
      <c r="AE1" s="20"/>
      <c r="AF1"/>
      <c r="AG1"/>
      <c r="AH1" s="2"/>
    </row>
    <row r="2" spans="1:34" ht="30" customHeight="1" x14ac:dyDescent="0.25">
      <c r="A2" s="60" t="s">
        <v>36</v>
      </c>
      <c r="B2" s="58" t="s">
        <v>63</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63">
        <f>AñoCalendario</f>
        <v>2016</v>
      </c>
    </row>
    <row r="3" spans="1:34" ht="15.75" customHeight="1" x14ac:dyDescent="0.25">
      <c r="A3" s="60"/>
      <c r="B3" s="26" t="str">
        <f>TEXT(WEEKDAY(DATE(AñoCalendario,3,1),1),"ooo")</f>
        <v>mar</v>
      </c>
      <c r="C3" s="27" t="str">
        <f>TEXT(WEEKDAY(DATE(AñoCalendario,3,2),1),"ooo")</f>
        <v>mié</v>
      </c>
      <c r="D3" s="27" t="str">
        <f>TEXT(WEEKDAY(DATE(AñoCalendario,3,3),1),"ooo")</f>
        <v>jue</v>
      </c>
      <c r="E3" s="27" t="str">
        <f>TEXT(WEEKDAY(DATE(AñoCalendario,3,4),1),"ooo")</f>
        <v>vie</v>
      </c>
      <c r="F3" s="27" t="str">
        <f>TEXT(WEEKDAY(DATE(AñoCalendario,3,5),1),"ooo")</f>
        <v>sáb</v>
      </c>
      <c r="G3" s="27" t="str">
        <f>TEXT(WEEKDAY(DATE(AñoCalendario,3,6),1),"ooo")</f>
        <v>dom</v>
      </c>
      <c r="H3" s="27" t="str">
        <f>TEXT(WEEKDAY(DATE(AñoCalendario,3,7),1),"ooo")</f>
        <v>lun</v>
      </c>
      <c r="I3" s="27" t="str">
        <f>TEXT(WEEKDAY(DATE(AñoCalendario,3,8),1),"ooo")</f>
        <v>mar</v>
      </c>
      <c r="J3" s="27" t="str">
        <f>TEXT(WEEKDAY(DATE(AñoCalendario,3,9),1),"ooo")</f>
        <v>mié</v>
      </c>
      <c r="K3" s="27" t="str">
        <f>TEXT(WEEKDAY(DATE(AñoCalendario,3,10),1),"ooo")</f>
        <v>jue</v>
      </c>
      <c r="L3" s="27" t="str">
        <f>TEXT(WEEKDAY(DATE(AñoCalendario,3,11),1),"ooo")</f>
        <v>vie</v>
      </c>
      <c r="M3" s="27" t="str">
        <f>TEXT(WEEKDAY(DATE(AñoCalendario,3,12),1),"ooo")</f>
        <v>sáb</v>
      </c>
      <c r="N3" s="27" t="str">
        <f>TEXT(WEEKDAY(DATE(AñoCalendario,3,13),1),"ooo")</f>
        <v>dom</v>
      </c>
      <c r="O3" s="27" t="str">
        <f>TEXT(WEEKDAY(DATE(AñoCalendario,3,14),1),"ooo")</f>
        <v>lun</v>
      </c>
      <c r="P3" s="27" t="str">
        <f>TEXT(WEEKDAY(DATE(AñoCalendario,3,15),1),"ooo")</f>
        <v>mar</v>
      </c>
      <c r="Q3" s="27" t="str">
        <f>TEXT(WEEKDAY(DATE(AñoCalendario,3,16),1),"ooo")</f>
        <v>mié</v>
      </c>
      <c r="R3" s="27" t="str">
        <f>TEXT(WEEKDAY(DATE(AñoCalendario,3,17),1),"ooo")</f>
        <v>jue</v>
      </c>
      <c r="S3" s="27" t="str">
        <f>TEXT(WEEKDAY(DATE(AñoCalendario,3,18),1),"ooo")</f>
        <v>vie</v>
      </c>
      <c r="T3" s="27" t="str">
        <f>TEXT(WEEKDAY(DATE(AñoCalendario,3,19),1),"ooo")</f>
        <v>sáb</v>
      </c>
      <c r="U3" s="27" t="str">
        <f>TEXT(WEEKDAY(DATE(AñoCalendario,3,20),1),"ooo")</f>
        <v>dom</v>
      </c>
      <c r="V3" s="27" t="str">
        <f>TEXT(WEEKDAY(DATE(AñoCalendario,3,21),1),"ooo")</f>
        <v>lun</v>
      </c>
      <c r="W3" s="27" t="str">
        <f>TEXT(WEEKDAY(DATE(AñoCalendario,3,22),1),"ooo")</f>
        <v>mar</v>
      </c>
      <c r="X3" s="27" t="str">
        <f>TEXT(WEEKDAY(DATE(AñoCalendario,3,23),1),"ooo")</f>
        <v>mié</v>
      </c>
      <c r="Y3" s="27" t="str">
        <f>TEXT(WEEKDAY(DATE(AñoCalendario,3,24),1),"ooo")</f>
        <v>jue</v>
      </c>
      <c r="Z3" s="27" t="str">
        <f>TEXT(WEEKDAY(DATE(AñoCalendario,3,25),1),"ooo")</f>
        <v>vie</v>
      </c>
      <c r="AA3" s="27" t="str">
        <f>TEXT(WEEKDAY(DATE(AñoCalendario,3,26),1),"ooo")</f>
        <v>sáb</v>
      </c>
      <c r="AB3" s="27" t="str">
        <f>TEXT(WEEKDAY(DATE(AñoCalendario,3,27),1),"ooo")</f>
        <v>dom</v>
      </c>
      <c r="AC3" s="27" t="str">
        <f>TEXT(WEEKDAY(DATE(AñoCalendario,3,28),1),"ooo")</f>
        <v>lun</v>
      </c>
      <c r="AD3" s="27" t="str">
        <f>TEXT(WEEKDAY(DATE(AñoCalendario,3,29),1),"ooo")</f>
        <v>mar</v>
      </c>
      <c r="AE3" s="27" t="str">
        <f>TEXT(WEEKDAY(DATE(AñoCalendario,3,30),1),"ooo")</f>
        <v>mié</v>
      </c>
      <c r="AF3" s="27" t="str">
        <f>TEXT(WEEKDAY(DATE(AñoCalendario,3,31),1),"ooo")</f>
        <v>jue</v>
      </c>
      <c r="AG3" s="63"/>
    </row>
    <row r="4" spans="1:34" s="12" customFormat="1" x14ac:dyDescent="0.25">
      <c r="A4" s="35" t="s">
        <v>44</v>
      </c>
      <c r="B4" s="43" t="s">
        <v>41</v>
      </c>
      <c r="C4" s="43" t="s">
        <v>0</v>
      </c>
      <c r="D4" s="43" t="s">
        <v>1</v>
      </c>
      <c r="E4" s="43" t="s">
        <v>2</v>
      </c>
      <c r="F4" s="43" t="s">
        <v>3</v>
      </c>
      <c r="G4" s="43" t="s">
        <v>4</v>
      </c>
      <c r="H4" s="43" t="s">
        <v>5</v>
      </c>
      <c r="I4" s="43" t="s">
        <v>6</v>
      </c>
      <c r="J4" s="43" t="s">
        <v>7</v>
      </c>
      <c r="K4" s="43" t="s">
        <v>8</v>
      </c>
      <c r="L4" s="43" t="s">
        <v>9</v>
      </c>
      <c r="M4" s="43" t="s">
        <v>10</v>
      </c>
      <c r="N4" s="43" t="s">
        <v>11</v>
      </c>
      <c r="O4" s="43" t="s">
        <v>12</v>
      </c>
      <c r="P4" s="43" t="s">
        <v>13</v>
      </c>
      <c r="Q4" s="43" t="s">
        <v>14</v>
      </c>
      <c r="R4" s="43" t="s">
        <v>15</v>
      </c>
      <c r="S4" s="43" t="s">
        <v>16</v>
      </c>
      <c r="T4" s="43" t="s">
        <v>17</v>
      </c>
      <c r="U4" s="43" t="s">
        <v>18</v>
      </c>
      <c r="V4" s="43" t="s">
        <v>19</v>
      </c>
      <c r="W4" s="43" t="s">
        <v>20</v>
      </c>
      <c r="X4" s="43" t="s">
        <v>21</v>
      </c>
      <c r="Y4" s="43" t="s">
        <v>22</v>
      </c>
      <c r="Z4" s="43" t="s">
        <v>23</v>
      </c>
      <c r="AA4" s="43" t="s">
        <v>24</v>
      </c>
      <c r="AB4" s="43" t="s">
        <v>25</v>
      </c>
      <c r="AC4" s="43" t="s">
        <v>26</v>
      </c>
      <c r="AD4" s="16" t="s">
        <v>27</v>
      </c>
      <c r="AE4" s="43" t="s">
        <v>28</v>
      </c>
      <c r="AF4" s="43" t="s">
        <v>29</v>
      </c>
      <c r="AG4" s="43" t="s">
        <v>30</v>
      </c>
      <c r="AH4" s="11"/>
    </row>
    <row r="5" spans="1:34" s="12" customFormat="1" ht="30" x14ac:dyDescent="0.25">
      <c r="A5" s="42" t="s">
        <v>59</v>
      </c>
      <c r="B5" s="43" t="s">
        <v>47</v>
      </c>
      <c r="C5" s="43" t="s">
        <v>47</v>
      </c>
      <c r="D5" s="43" t="s">
        <v>47</v>
      </c>
      <c r="E5" s="43" t="s">
        <v>47</v>
      </c>
      <c r="F5" s="43"/>
      <c r="G5" s="43"/>
      <c r="H5" s="43" t="s">
        <v>48</v>
      </c>
      <c r="I5" s="43" t="s">
        <v>48</v>
      </c>
      <c r="J5" s="43" t="s">
        <v>48</v>
      </c>
      <c r="K5" s="43" t="s">
        <v>48</v>
      </c>
      <c r="L5" s="43" t="s">
        <v>48</v>
      </c>
      <c r="M5" s="43"/>
      <c r="N5" s="43"/>
      <c r="O5" s="43" t="s">
        <v>48</v>
      </c>
      <c r="P5" s="43" t="s">
        <v>48</v>
      </c>
      <c r="Q5" s="43" t="s">
        <v>48</v>
      </c>
      <c r="R5" s="43" t="s">
        <v>48</v>
      </c>
      <c r="S5" s="43" t="s">
        <v>48</v>
      </c>
      <c r="T5" s="43"/>
      <c r="U5" s="43"/>
      <c r="V5" s="50"/>
      <c r="W5" s="43" t="s">
        <v>49</v>
      </c>
      <c r="X5" s="43" t="s">
        <v>49</v>
      </c>
      <c r="Y5" s="43" t="s">
        <v>49</v>
      </c>
      <c r="Z5" s="43" t="s">
        <v>49</v>
      </c>
      <c r="AA5" s="43"/>
      <c r="AB5" s="43"/>
      <c r="AC5" s="43" t="s">
        <v>49</v>
      </c>
      <c r="AD5" s="43" t="s">
        <v>49</v>
      </c>
      <c r="AE5" s="43" t="s">
        <v>49</v>
      </c>
      <c r="AF5" s="43" t="s">
        <v>49</v>
      </c>
      <c r="AG5" s="10">
        <f>COUNTA(tblMarzo[[#This Row],[1]:[29]])</f>
        <v>20</v>
      </c>
      <c r="AH5" s="11"/>
    </row>
    <row r="6" spans="1:34" s="12" customFormat="1" ht="30" x14ac:dyDescent="0.25">
      <c r="A6" s="42" t="s">
        <v>60</v>
      </c>
      <c r="B6" s="43" t="s">
        <v>47</v>
      </c>
      <c r="C6" s="43" t="s">
        <v>47</v>
      </c>
      <c r="D6" s="43" t="s">
        <v>47</v>
      </c>
      <c r="E6" s="43" t="s">
        <v>47</v>
      </c>
      <c r="F6" s="43"/>
      <c r="G6" s="43"/>
      <c r="H6" s="43" t="s">
        <v>48</v>
      </c>
      <c r="I6" s="43" t="s">
        <v>48</v>
      </c>
      <c r="J6" s="43" t="s">
        <v>48</v>
      </c>
      <c r="K6" s="43" t="s">
        <v>48</v>
      </c>
      <c r="L6" s="43" t="s">
        <v>48</v>
      </c>
      <c r="M6" s="43"/>
      <c r="N6" s="43"/>
      <c r="O6" s="43" t="s">
        <v>48</v>
      </c>
      <c r="P6" s="43" t="s">
        <v>48</v>
      </c>
      <c r="Q6" s="43" t="s">
        <v>48</v>
      </c>
      <c r="R6" s="43" t="s">
        <v>48</v>
      </c>
      <c r="S6" s="43" t="s">
        <v>48</v>
      </c>
      <c r="T6" s="43"/>
      <c r="U6" s="43"/>
      <c r="V6" s="50"/>
      <c r="W6" s="43" t="s">
        <v>49</v>
      </c>
      <c r="X6" s="43" t="s">
        <v>49</v>
      </c>
      <c r="Y6" s="43" t="s">
        <v>49</v>
      </c>
      <c r="Z6" s="43" t="s">
        <v>49</v>
      </c>
      <c r="AA6" s="43"/>
      <c r="AB6" s="43"/>
      <c r="AC6" s="43" t="s">
        <v>49</v>
      </c>
      <c r="AD6" s="43" t="s">
        <v>49</v>
      </c>
      <c r="AE6" s="43" t="s">
        <v>49</v>
      </c>
      <c r="AF6" s="43" t="s">
        <v>49</v>
      </c>
      <c r="AG6" s="10">
        <f>COUNTA(tblMarzo[[#This Row],[1]:[29]])</f>
        <v>20</v>
      </c>
      <c r="AH6" s="11"/>
    </row>
    <row r="7" spans="1:34" ht="15" customHeight="1" x14ac:dyDescent="0.25">
      <c r="A7" s="36" t="str">
        <f>NombreMes&amp;" Total"</f>
        <v>Marzo Total</v>
      </c>
      <c r="B7" s="10">
        <f>SUBTOTAL(103,tblMarzo[1])</f>
        <v>2</v>
      </c>
      <c r="C7" s="10">
        <f>SUBTOTAL(103,tblMarzo[2])</f>
        <v>2</v>
      </c>
      <c r="D7" s="10">
        <f>SUBTOTAL(103,tblMarzo[3])</f>
        <v>2</v>
      </c>
      <c r="E7" s="10">
        <f>SUBTOTAL(103,tblMarzo[4])</f>
        <v>2</v>
      </c>
      <c r="F7" s="10">
        <f>SUBTOTAL(103,tblMarzo[5])</f>
        <v>0</v>
      </c>
      <c r="G7" s="10">
        <f>SUBTOTAL(103,tblMarzo[6])</f>
        <v>0</v>
      </c>
      <c r="H7" s="10">
        <f>SUBTOTAL(103,tblMarzo[7])</f>
        <v>2</v>
      </c>
      <c r="I7" s="10">
        <f>SUBTOTAL(103,tblMarzo[8])</f>
        <v>2</v>
      </c>
      <c r="J7" s="10">
        <f>SUBTOTAL(103,tblMarzo[9])</f>
        <v>2</v>
      </c>
      <c r="K7" s="10">
        <f>SUBTOTAL(103,tblMarzo[10])</f>
        <v>2</v>
      </c>
      <c r="L7" s="10">
        <f>SUBTOTAL(103,tblMarzo[11])</f>
        <v>2</v>
      </c>
      <c r="M7" s="10">
        <f>SUBTOTAL(103,tblMarzo[12])</f>
        <v>0</v>
      </c>
      <c r="N7" s="10">
        <f>SUBTOTAL(103,tblMarzo[13])</f>
        <v>0</v>
      </c>
      <c r="O7" s="10">
        <f>SUBTOTAL(103,tblMarzo[14])</f>
        <v>2</v>
      </c>
      <c r="P7" s="10">
        <f>SUBTOTAL(103,tblMarzo[15])</f>
        <v>2</v>
      </c>
      <c r="Q7" s="10">
        <f>SUBTOTAL(103,tblMarzo[16])</f>
        <v>2</v>
      </c>
      <c r="R7" s="10">
        <f>SUBTOTAL(103,tblMarzo[17])</f>
        <v>2</v>
      </c>
      <c r="S7" s="10">
        <f>SUBTOTAL(103,tblMarzo[18])</f>
        <v>2</v>
      </c>
      <c r="T7" s="10">
        <f>SUBTOTAL(103,tblMarzo[19])</f>
        <v>0</v>
      </c>
      <c r="U7" s="10">
        <f>SUBTOTAL(103,tblMarzo[20])</f>
        <v>0</v>
      </c>
      <c r="V7" s="10">
        <f>SUBTOTAL(103,tblMarzo[21])</f>
        <v>0</v>
      </c>
      <c r="W7" s="10">
        <f>SUBTOTAL(103,tblMarzo[22])</f>
        <v>2</v>
      </c>
      <c r="X7" s="10">
        <f>SUBTOTAL(103,tblMarzo[23])</f>
        <v>2</v>
      </c>
      <c r="Y7" s="10">
        <f>SUBTOTAL(103,tblMarzo[24])</f>
        <v>2</v>
      </c>
      <c r="Z7" s="10">
        <f>SUBTOTAL(103,tblMarzo[25])</f>
        <v>2</v>
      </c>
      <c r="AA7" s="10">
        <f>SUBTOTAL(103,tblMarzo[26])</f>
        <v>0</v>
      </c>
      <c r="AB7" s="10">
        <f>SUBTOTAL(103,tblMarzo[27])</f>
        <v>0</v>
      </c>
      <c r="AC7" s="10">
        <f>SUBTOTAL(103,tblMarzo[28])</f>
        <v>2</v>
      </c>
      <c r="AD7" s="10">
        <f>SUBTOTAL(103,tblMarzo[29])</f>
        <v>2</v>
      </c>
      <c r="AE7" s="10"/>
      <c r="AF7" s="10"/>
      <c r="AG7" s="10">
        <f>SUBTOTAL(109,tblMarzo[Total de días])</f>
        <v>40</v>
      </c>
    </row>
    <row r="8" spans="1:34" ht="15" customHeight="1" x14ac:dyDescent="0.25">
      <c r="A8" s="62"/>
      <c r="B8" s="62"/>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row>
    <row r="9" spans="1:34" s="14" customFormat="1" ht="15" customHeight="1" x14ac:dyDescent="0.25">
      <c r="A9" s="40" t="s">
        <v>34</v>
      </c>
      <c r="B9" s="40"/>
      <c r="C9" s="40"/>
      <c r="D9" s="40"/>
      <c r="E9" s="41"/>
      <c r="F9" s="21" t="s">
        <v>45</v>
      </c>
      <c r="G9" s="37" t="s">
        <v>46</v>
      </c>
      <c r="H9" s="38"/>
      <c r="I9" s="38"/>
      <c r="J9" s="22" t="s">
        <v>47</v>
      </c>
      <c r="K9" s="37" t="s">
        <v>50</v>
      </c>
      <c r="L9" s="38"/>
      <c r="M9" s="38"/>
      <c r="N9" s="23" t="s">
        <v>48</v>
      </c>
      <c r="O9" s="37" t="s">
        <v>51</v>
      </c>
      <c r="P9" s="39"/>
      <c r="Q9" s="38"/>
      <c r="R9" s="24" t="s">
        <v>49</v>
      </c>
      <c r="S9" s="37" t="s">
        <v>52</v>
      </c>
      <c r="T9" s="38"/>
      <c r="U9" s="39"/>
      <c r="V9" s="44" t="s">
        <v>53</v>
      </c>
      <c r="W9" s="37" t="s">
        <v>54</v>
      </c>
      <c r="X9" s="39"/>
      <c r="Y9" s="38"/>
      <c r="Z9" s="45" t="s">
        <v>55</v>
      </c>
      <c r="AA9" s="37" t="s">
        <v>56</v>
      </c>
      <c r="AB9" s="38"/>
      <c r="AC9" s="39"/>
      <c r="AD9" s="46" t="s">
        <v>57</v>
      </c>
      <c r="AE9" s="37" t="s">
        <v>58</v>
      </c>
      <c r="AF9" s="38"/>
      <c r="AG9" s="39"/>
    </row>
    <row r="22" spans="9:9" ht="15" customHeight="1" x14ac:dyDescent="0.25">
      <c r="I22" s="14" t="s">
        <v>62</v>
      </c>
    </row>
  </sheetData>
  <mergeCells count="4">
    <mergeCell ref="A2:A3"/>
    <mergeCell ref="B2:AF2"/>
    <mergeCell ref="AG2:AG3"/>
    <mergeCell ref="A8:AG8"/>
  </mergeCells>
  <conditionalFormatting sqref="B5:AF6">
    <cfRule type="expression" priority="1" stopIfTrue="1">
      <formula>B5=""</formula>
    </cfRule>
  </conditionalFormatting>
  <conditionalFormatting sqref="B5:AF6">
    <cfRule type="expression" dxfId="348" priority="2" stopIfTrue="1">
      <formula>B5=ClavePersonalizada2</formula>
    </cfRule>
    <cfRule type="expression" dxfId="347" priority="3" stopIfTrue="1">
      <formula>B5=ClavePersonalizada1</formula>
    </cfRule>
    <cfRule type="expression" dxfId="346" priority="4" stopIfTrue="1">
      <formula>B5=ClaveEnfermedad</formula>
    </cfRule>
    <cfRule type="expression" dxfId="345" priority="5" stopIfTrue="1">
      <formula>B5=ClavePersonal</formula>
    </cfRule>
    <cfRule type="expression" dxfId="344" priority="6" stopIfTrue="1">
      <formula>B5=ClaveVacaciones</formula>
    </cfRule>
  </conditionalFormatting>
  <conditionalFormatting sqref="AG5:AG6">
    <cfRule type="dataBar" priority="33">
      <dataBar>
        <cfvo type="min"/>
        <cfvo type="formula" val="DATEDIF(DATE(AñoCalendario,2,1),DATE(AñoCalendario,3,1),&quot;d&quot;)"/>
        <color theme="2" tint="-0.249977111117893"/>
      </dataBar>
      <extLst>
        <ext xmlns:x14="http://schemas.microsoft.com/office/spreadsheetml/2009/9/main" uri="{B025F937-C7B1-47D3-B67F-A62EFF666E3E}">
          <x14:id>{6E72CF57-6FDE-4024-BC4C-B2350417DE61}</x14:id>
        </ext>
      </extLst>
    </cfRule>
  </conditionalFormatting>
  <pageMargins left="0.25" right="0.25" top="0.75" bottom="0.75" header="0.3" footer="0.3"/>
  <pageSetup scale="80" fitToHeight="0" orientation="landscape" verticalDpi="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72CF57-6FDE-4024-BC4C-B2350417DE61}">
            <x14:dataBar minLength="0" maxLength="100">
              <x14:cfvo type="autoMin"/>
              <x14:cfvo type="formula">
                <xm:f>DATEDIF(DATE(AñoCalendario,2,1),DATE(AñoCalendario,3,1),"d")</xm:f>
              </x14:cfvo>
              <x14:negativeFillColor rgb="FFFF0000"/>
              <x14:axisColor rgb="FF000000"/>
            </x14:dataBar>
          </x14:cfRule>
          <xm:sqref>AG5:AG6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pageSetUpPr fitToPage="1"/>
  </sheetPr>
  <dimension ref="A1:AH9"/>
  <sheetViews>
    <sheetView showGridLines="0" zoomScaleNormal="100" workbookViewId="0">
      <selection activeCell="B2" sqref="B2:AF2"/>
    </sheetView>
  </sheetViews>
  <sheetFormatPr baseColWidth="10" defaultColWidth="9.140625" defaultRowHeight="15" customHeight="1" x14ac:dyDescent="0.25"/>
  <cols>
    <col min="1" max="1" width="24.28515625" style="17" customWidth="1"/>
    <col min="2" max="19" width="4" style="14" customWidth="1"/>
    <col min="20" max="20" width="4.28515625" style="14" customWidth="1"/>
    <col min="21" max="21" width="4.85546875" style="14" customWidth="1"/>
    <col min="22" max="22" width="5.5703125" style="14" customWidth="1"/>
    <col min="23" max="23" width="4" style="14" customWidth="1"/>
    <col min="24" max="24" width="4.7109375" style="14" customWidth="1"/>
    <col min="25" max="25" width="4.5703125" style="14" customWidth="1"/>
    <col min="26" max="26" width="5.28515625" style="14" customWidth="1"/>
    <col min="27" max="27" width="3.42578125" style="14" customWidth="1"/>
    <col min="28" max="32" width="4" style="14" customWidth="1"/>
    <col min="33" max="33" width="13.5703125" style="13" customWidth="1"/>
    <col min="34" max="34" width="9.140625" style="14"/>
    <col min="35" max="16384" width="9.140625" style="15"/>
  </cols>
  <sheetData>
    <row r="1" spans="1:34" s="1" customFormat="1" ht="50.25" customHeight="1" x14ac:dyDescent="0.25">
      <c r="A1" s="25"/>
      <c r="B1" s="18"/>
      <c r="C1" s="18"/>
      <c r="D1" s="18"/>
      <c r="E1" s="18"/>
      <c r="F1" s="18"/>
      <c r="G1" s="49" t="s">
        <v>43</v>
      </c>
      <c r="H1" s="18"/>
      <c r="I1" s="18"/>
      <c r="J1" s="18"/>
      <c r="K1" s="18"/>
      <c r="L1" s="18"/>
      <c r="M1" s="18"/>
      <c r="N1" s="18"/>
      <c r="O1" s="18"/>
      <c r="P1" s="18"/>
      <c r="Q1" s="18"/>
      <c r="R1" s="18"/>
      <c r="S1" s="18"/>
      <c r="T1" s="18"/>
      <c r="U1" s="18"/>
      <c r="V1" s="18"/>
      <c r="W1" s="18"/>
      <c r="X1" s="18"/>
      <c r="Y1" s="18"/>
      <c r="Z1" s="18"/>
      <c r="AA1" s="18"/>
      <c r="AB1" s="18"/>
      <c r="AC1" s="19"/>
      <c r="AD1" s="19"/>
      <c r="AE1" s="20"/>
      <c r="AF1"/>
      <c r="AG1"/>
      <c r="AH1" s="2"/>
    </row>
    <row r="2" spans="1:34" ht="30" customHeight="1" x14ac:dyDescent="0.25">
      <c r="A2" s="60" t="s">
        <v>37</v>
      </c>
      <c r="B2" s="58" t="s">
        <v>63</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63">
        <f>AñoCalendario</f>
        <v>2016</v>
      </c>
    </row>
    <row r="3" spans="1:34" ht="15.75" customHeight="1" x14ac:dyDescent="0.25">
      <c r="A3" s="60"/>
      <c r="B3" s="26" t="str">
        <f>TEXT(WEEKDAY(DATE(AñoCalendario,4,1),1),"ooo")</f>
        <v>vie</v>
      </c>
      <c r="C3" s="27" t="str">
        <f>TEXT(WEEKDAY(DATE(AñoCalendario,4,2),1),"ooo")</f>
        <v>sáb</v>
      </c>
      <c r="D3" s="27" t="str">
        <f>TEXT(WEEKDAY(DATE(AñoCalendario,4,3),1),"ooo")</f>
        <v>dom</v>
      </c>
      <c r="E3" s="27" t="str">
        <f>TEXT(WEEKDAY(DATE(AñoCalendario,4,4),1),"ooo")</f>
        <v>lun</v>
      </c>
      <c r="F3" s="27" t="str">
        <f>TEXT(WEEKDAY(DATE(AñoCalendario,4,5),1),"ooo")</f>
        <v>mar</v>
      </c>
      <c r="G3" s="27" t="str">
        <f>TEXT(WEEKDAY(DATE(AñoCalendario,4,6),1),"ooo")</f>
        <v>mié</v>
      </c>
      <c r="H3" s="27" t="str">
        <f>TEXT(WEEKDAY(DATE(AñoCalendario,4,7),1),"ooo")</f>
        <v>jue</v>
      </c>
      <c r="I3" s="27" t="str">
        <f>TEXT(WEEKDAY(DATE(AñoCalendario,4,8),1),"ooo")</f>
        <v>vie</v>
      </c>
      <c r="J3" s="27" t="str">
        <f>TEXT(WEEKDAY(DATE(AñoCalendario,4,9),1),"ooo")</f>
        <v>sáb</v>
      </c>
      <c r="K3" s="27" t="str">
        <f>TEXT(WEEKDAY(DATE(AñoCalendario,4,10),1),"ooo")</f>
        <v>dom</v>
      </c>
      <c r="L3" s="27" t="str">
        <f>TEXT(WEEKDAY(DATE(AñoCalendario,4,11),1),"ooo")</f>
        <v>lun</v>
      </c>
      <c r="M3" s="27" t="str">
        <f>TEXT(WEEKDAY(DATE(AñoCalendario,4,12),1),"ooo")</f>
        <v>mar</v>
      </c>
      <c r="N3" s="27" t="str">
        <f>TEXT(WEEKDAY(DATE(AñoCalendario,4,13),1),"ooo")</f>
        <v>mié</v>
      </c>
      <c r="O3" s="27" t="str">
        <f>TEXT(WEEKDAY(DATE(AñoCalendario,4,14),1),"ooo")</f>
        <v>jue</v>
      </c>
      <c r="P3" s="27" t="str">
        <f>TEXT(WEEKDAY(DATE(AñoCalendario,4,15),1),"ooo")</f>
        <v>vie</v>
      </c>
      <c r="Q3" s="27" t="str">
        <f>TEXT(WEEKDAY(DATE(AñoCalendario,4,16),1),"ooo")</f>
        <v>sáb</v>
      </c>
      <c r="R3" s="27" t="str">
        <f>TEXT(WEEKDAY(DATE(AñoCalendario,4,17),1),"ooo")</f>
        <v>dom</v>
      </c>
      <c r="S3" s="27" t="str">
        <f>TEXT(WEEKDAY(DATE(AñoCalendario,4,18),1),"ooo")</f>
        <v>lun</v>
      </c>
      <c r="T3" s="27" t="str">
        <f>TEXT(WEEKDAY(DATE(AñoCalendario,4,19),1),"ooo")</f>
        <v>mar</v>
      </c>
      <c r="U3" s="27" t="str">
        <f>TEXT(WEEKDAY(DATE(AñoCalendario,4,20),1),"ooo")</f>
        <v>mié</v>
      </c>
      <c r="V3" s="27" t="str">
        <f>TEXT(WEEKDAY(DATE(AñoCalendario,4,21),1),"ooo")</f>
        <v>jue</v>
      </c>
      <c r="W3" s="27" t="str">
        <f>TEXT(WEEKDAY(DATE(AñoCalendario,4,22),1),"ooo")</f>
        <v>vie</v>
      </c>
      <c r="X3" s="27" t="str">
        <f>TEXT(WEEKDAY(DATE(AñoCalendario,4,23),1),"ooo")</f>
        <v>sáb</v>
      </c>
      <c r="Y3" s="27" t="str">
        <f>TEXT(WEEKDAY(DATE(AñoCalendario,4,24),1),"ooo")</f>
        <v>dom</v>
      </c>
      <c r="Z3" s="27" t="str">
        <f>TEXT(WEEKDAY(DATE(AñoCalendario,4,25),1),"ooo")</f>
        <v>lun</v>
      </c>
      <c r="AA3" s="27" t="str">
        <f>TEXT(WEEKDAY(DATE(AñoCalendario,4,26),1),"ooo")</f>
        <v>mar</v>
      </c>
      <c r="AB3" s="27" t="str">
        <f>TEXT(WEEKDAY(DATE(AñoCalendario,4,27),1),"ooo")</f>
        <v>mié</v>
      </c>
      <c r="AC3" s="27" t="str">
        <f>TEXT(WEEKDAY(DATE(AñoCalendario,4,28),1),"ooo")</f>
        <v>jue</v>
      </c>
      <c r="AD3" s="27" t="str">
        <f>TEXT(WEEKDAY(DATE(AñoCalendario,4,29),1),"ooo")</f>
        <v>vie</v>
      </c>
      <c r="AE3" s="27" t="str">
        <f>TEXT(WEEKDAY(DATE(AñoCalendario,4,30),1),"ooo")</f>
        <v>sáb</v>
      </c>
      <c r="AF3" s="27"/>
      <c r="AG3" s="63"/>
    </row>
    <row r="4" spans="1:34" s="12" customFormat="1" x14ac:dyDescent="0.25">
      <c r="A4" s="35" t="s">
        <v>44</v>
      </c>
      <c r="B4" s="43" t="s">
        <v>41</v>
      </c>
      <c r="C4" s="43" t="s">
        <v>0</v>
      </c>
      <c r="D4" s="43" t="s">
        <v>1</v>
      </c>
      <c r="E4" s="43" t="s">
        <v>2</v>
      </c>
      <c r="F4" s="43" t="s">
        <v>3</v>
      </c>
      <c r="G4" s="43" t="s">
        <v>4</v>
      </c>
      <c r="H4" s="43" t="s">
        <v>5</v>
      </c>
      <c r="I4" s="43" t="s">
        <v>6</v>
      </c>
      <c r="J4" s="43" t="s">
        <v>7</v>
      </c>
      <c r="K4" s="43" t="s">
        <v>8</v>
      </c>
      <c r="L4" s="43" t="s">
        <v>9</v>
      </c>
      <c r="M4" s="43" t="s">
        <v>10</v>
      </c>
      <c r="N4" s="43" t="s">
        <v>11</v>
      </c>
      <c r="O4" s="43" t="s">
        <v>12</v>
      </c>
      <c r="P4" s="43" t="s">
        <v>13</v>
      </c>
      <c r="Q4" s="43" t="s">
        <v>14</v>
      </c>
      <c r="R4" s="43" t="s">
        <v>15</v>
      </c>
      <c r="S4" s="43" t="s">
        <v>16</v>
      </c>
      <c r="T4" s="43" t="s">
        <v>17</v>
      </c>
      <c r="U4" s="43" t="s">
        <v>18</v>
      </c>
      <c r="V4" s="43" t="s">
        <v>19</v>
      </c>
      <c r="W4" s="43" t="s">
        <v>20</v>
      </c>
      <c r="X4" s="43" t="s">
        <v>21</v>
      </c>
      <c r="Y4" s="43" t="s">
        <v>22</v>
      </c>
      <c r="Z4" s="43" t="s">
        <v>23</v>
      </c>
      <c r="AA4" s="43" t="s">
        <v>24</v>
      </c>
      <c r="AB4" s="43" t="s">
        <v>25</v>
      </c>
      <c r="AC4" s="43" t="s">
        <v>26</v>
      </c>
      <c r="AD4" s="16" t="s">
        <v>27</v>
      </c>
      <c r="AE4" s="43" t="s">
        <v>28</v>
      </c>
      <c r="AF4" s="43" t="s">
        <v>31</v>
      </c>
      <c r="AG4" s="43" t="s">
        <v>30</v>
      </c>
      <c r="AH4" s="11"/>
    </row>
    <row r="5" spans="1:34" s="12" customFormat="1" ht="30" x14ac:dyDescent="0.25">
      <c r="A5" s="42" t="s">
        <v>59</v>
      </c>
      <c r="B5" s="43" t="s">
        <v>49</v>
      </c>
      <c r="C5" s="43"/>
      <c r="D5" s="43"/>
      <c r="E5" s="43" t="s">
        <v>49</v>
      </c>
      <c r="F5" s="43" t="s">
        <v>49</v>
      </c>
      <c r="G5" s="43" t="s">
        <v>49</v>
      </c>
      <c r="H5" s="43" t="s">
        <v>49</v>
      </c>
      <c r="I5" s="43" t="s">
        <v>49</v>
      </c>
      <c r="J5" s="43"/>
      <c r="K5" s="43"/>
      <c r="L5" s="43" t="s">
        <v>49</v>
      </c>
      <c r="M5" s="43" t="s">
        <v>49</v>
      </c>
      <c r="N5" s="43" t="s">
        <v>49</v>
      </c>
      <c r="O5" s="43" t="s">
        <v>49</v>
      </c>
      <c r="P5" s="43" t="s">
        <v>49</v>
      </c>
      <c r="Q5" s="43"/>
      <c r="R5" s="43"/>
      <c r="S5" s="43" t="s">
        <v>49</v>
      </c>
      <c r="T5" s="43" t="s">
        <v>49</v>
      </c>
      <c r="U5" s="43" t="s">
        <v>49</v>
      </c>
      <c r="V5" s="43" t="s">
        <v>49</v>
      </c>
      <c r="W5" s="43" t="s">
        <v>49</v>
      </c>
      <c r="X5" s="43"/>
      <c r="Y5" s="43"/>
      <c r="Z5" s="43" t="s">
        <v>49</v>
      </c>
      <c r="AA5" s="43" t="s">
        <v>49</v>
      </c>
      <c r="AB5" s="43" t="s">
        <v>49</v>
      </c>
      <c r="AC5" s="43" t="s">
        <v>49</v>
      </c>
      <c r="AD5" s="43" t="s">
        <v>49</v>
      </c>
      <c r="AE5" s="43"/>
      <c r="AF5" s="43"/>
      <c r="AG5" s="10">
        <f>COUNTA(tblAbril[[#This Row],[1]:[29]])</f>
        <v>21</v>
      </c>
      <c r="AH5" s="11"/>
    </row>
    <row r="6" spans="1:34" s="12" customFormat="1" ht="30" x14ac:dyDescent="0.25">
      <c r="A6" s="42" t="s">
        <v>60</v>
      </c>
      <c r="B6" s="43" t="s">
        <v>49</v>
      </c>
      <c r="C6" s="43"/>
      <c r="D6" s="43"/>
      <c r="E6" s="43" t="s">
        <v>49</v>
      </c>
      <c r="F6" s="43" t="s">
        <v>49</v>
      </c>
      <c r="G6" s="43" t="s">
        <v>49</v>
      </c>
      <c r="H6" s="43" t="s">
        <v>49</v>
      </c>
      <c r="I6" s="43" t="s">
        <v>49</v>
      </c>
      <c r="J6" s="43"/>
      <c r="K6" s="43"/>
      <c r="L6" s="43" t="s">
        <v>49</v>
      </c>
      <c r="M6" s="43" t="s">
        <v>49</v>
      </c>
      <c r="N6" s="43" t="s">
        <v>49</v>
      </c>
      <c r="O6" s="43" t="s">
        <v>49</v>
      </c>
      <c r="P6" s="43" t="s">
        <v>49</v>
      </c>
      <c r="Q6" s="43"/>
      <c r="R6" s="43"/>
      <c r="S6" s="43" t="s">
        <v>49</v>
      </c>
      <c r="T6" s="43" t="s">
        <v>49</v>
      </c>
      <c r="U6" s="43" t="s">
        <v>49</v>
      </c>
      <c r="V6" s="43" t="s">
        <v>49</v>
      </c>
      <c r="W6" s="43" t="s">
        <v>49</v>
      </c>
      <c r="X6" s="43"/>
      <c r="Y6" s="43"/>
      <c r="Z6" s="43" t="s">
        <v>49</v>
      </c>
      <c r="AA6" s="43" t="s">
        <v>49</v>
      </c>
      <c r="AB6" s="43" t="s">
        <v>49</v>
      </c>
      <c r="AC6" s="43" t="s">
        <v>49</v>
      </c>
      <c r="AD6" s="43" t="s">
        <v>49</v>
      </c>
      <c r="AE6" s="43"/>
      <c r="AF6" s="43"/>
      <c r="AG6" s="10">
        <f>COUNTA(tblAbril[[#This Row],[1]:[29]])</f>
        <v>21</v>
      </c>
      <c r="AH6" s="11"/>
    </row>
    <row r="7" spans="1:34" ht="15" customHeight="1" x14ac:dyDescent="0.25">
      <c r="A7" s="36" t="str">
        <f>NombreMes&amp;" Total"</f>
        <v>Abril Total</v>
      </c>
      <c r="B7" s="10">
        <f>SUBTOTAL(103,tblAbril[1])</f>
        <v>2</v>
      </c>
      <c r="C7" s="10">
        <f>SUBTOTAL(103,tblAbril[2])</f>
        <v>0</v>
      </c>
      <c r="D7" s="10">
        <f>SUBTOTAL(103,tblAbril[3])</f>
        <v>0</v>
      </c>
      <c r="E7" s="10">
        <f>SUBTOTAL(103,tblAbril[4])</f>
        <v>2</v>
      </c>
      <c r="F7" s="10">
        <f>SUBTOTAL(103,tblAbril[5])</f>
        <v>2</v>
      </c>
      <c r="G7" s="10">
        <f>SUBTOTAL(103,tblAbril[6])</f>
        <v>2</v>
      </c>
      <c r="H7" s="10">
        <f>SUBTOTAL(103,tblAbril[7])</f>
        <v>2</v>
      </c>
      <c r="I7" s="10">
        <f>SUBTOTAL(103,tblAbril[8])</f>
        <v>2</v>
      </c>
      <c r="J7" s="10">
        <f>SUBTOTAL(103,tblAbril[9])</f>
        <v>0</v>
      </c>
      <c r="K7" s="10">
        <f>SUBTOTAL(103,tblAbril[10])</f>
        <v>0</v>
      </c>
      <c r="L7" s="10">
        <f>SUBTOTAL(103,tblAbril[11])</f>
        <v>2</v>
      </c>
      <c r="M7" s="10">
        <f>SUBTOTAL(103,tblAbril[12])</f>
        <v>2</v>
      </c>
      <c r="N7" s="10">
        <f>SUBTOTAL(103,tblAbril[13])</f>
        <v>2</v>
      </c>
      <c r="O7" s="10">
        <f>SUBTOTAL(103,tblAbril[14])</f>
        <v>2</v>
      </c>
      <c r="P7" s="10">
        <f>SUBTOTAL(103,tblAbril[15])</f>
        <v>2</v>
      </c>
      <c r="Q7" s="10">
        <f>SUBTOTAL(103,tblAbril[16])</f>
        <v>0</v>
      </c>
      <c r="R7" s="10">
        <f>SUBTOTAL(103,tblAbril[17])</f>
        <v>0</v>
      </c>
      <c r="S7" s="10">
        <f>SUBTOTAL(103,tblAbril[18])</f>
        <v>2</v>
      </c>
      <c r="T7" s="10">
        <f>SUBTOTAL(103,tblAbril[19])</f>
        <v>2</v>
      </c>
      <c r="U7" s="10">
        <f>SUBTOTAL(103,tblAbril[20])</f>
        <v>2</v>
      </c>
      <c r="V7" s="10">
        <f>SUBTOTAL(103,tblAbril[21])</f>
        <v>2</v>
      </c>
      <c r="W7" s="10">
        <f>SUBTOTAL(103,tblAbril[22])</f>
        <v>2</v>
      </c>
      <c r="X7" s="10">
        <f>SUBTOTAL(103,tblAbril[23])</f>
        <v>0</v>
      </c>
      <c r="Y7" s="10">
        <f>SUBTOTAL(103,tblAbril[24])</f>
        <v>0</v>
      </c>
      <c r="Z7" s="10">
        <f>SUBTOTAL(103,tblAbril[25])</f>
        <v>2</v>
      </c>
      <c r="AA7" s="10">
        <f>SUBTOTAL(103,tblAbril[26])</f>
        <v>2</v>
      </c>
      <c r="AB7" s="10">
        <f>SUBTOTAL(103,tblAbril[27])</f>
        <v>2</v>
      </c>
      <c r="AC7" s="10">
        <f>SUBTOTAL(103,tblAbril[28])</f>
        <v>2</v>
      </c>
      <c r="AD7" s="10">
        <f>SUBTOTAL(103,tblAbril[29])</f>
        <v>2</v>
      </c>
      <c r="AE7" s="10"/>
      <c r="AF7" s="10"/>
      <c r="AG7" s="10">
        <f>SUBTOTAL(109,tblAbril[Total de días])</f>
        <v>42</v>
      </c>
    </row>
    <row r="8" spans="1:34" ht="15" customHeight="1" x14ac:dyDescent="0.25">
      <c r="A8" s="62"/>
      <c r="B8" s="62"/>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row>
    <row r="9" spans="1:34" s="14" customFormat="1" ht="15" customHeight="1" x14ac:dyDescent="0.25">
      <c r="A9" s="40" t="s">
        <v>34</v>
      </c>
      <c r="B9" s="40"/>
      <c r="C9" s="40"/>
      <c r="D9" s="40"/>
      <c r="E9" s="41"/>
      <c r="F9" s="21" t="s">
        <v>45</v>
      </c>
      <c r="G9" s="37" t="s">
        <v>46</v>
      </c>
      <c r="H9" s="38"/>
      <c r="I9" s="38"/>
      <c r="J9" s="22" t="s">
        <v>47</v>
      </c>
      <c r="K9" s="37" t="s">
        <v>50</v>
      </c>
      <c r="L9" s="38"/>
      <c r="M9" s="38"/>
      <c r="N9" s="23" t="s">
        <v>48</v>
      </c>
      <c r="O9" s="37" t="s">
        <v>51</v>
      </c>
      <c r="P9" s="39"/>
      <c r="Q9" s="38"/>
      <c r="R9" s="24" t="s">
        <v>49</v>
      </c>
      <c r="S9" s="37" t="s">
        <v>52</v>
      </c>
      <c r="T9" s="38"/>
      <c r="U9" s="39"/>
      <c r="V9" s="44" t="s">
        <v>53</v>
      </c>
      <c r="W9" s="37" t="s">
        <v>54</v>
      </c>
      <c r="X9" s="39"/>
      <c r="Y9" s="38"/>
      <c r="Z9" s="45" t="s">
        <v>55</v>
      </c>
      <c r="AA9" s="37" t="s">
        <v>56</v>
      </c>
      <c r="AB9" s="38"/>
      <c r="AC9" s="39"/>
      <c r="AD9" s="46" t="s">
        <v>57</v>
      </c>
      <c r="AE9" s="37" t="s">
        <v>58</v>
      </c>
      <c r="AF9" s="38"/>
      <c r="AG9" s="39"/>
    </row>
  </sheetData>
  <mergeCells count="4">
    <mergeCell ref="A2:A3"/>
    <mergeCell ref="B2:AF2"/>
    <mergeCell ref="AG2:AG3"/>
    <mergeCell ref="A8:AG8"/>
  </mergeCells>
  <conditionalFormatting sqref="B5:AF6">
    <cfRule type="expression" priority="1" stopIfTrue="1">
      <formula>B5=""</formula>
    </cfRule>
  </conditionalFormatting>
  <conditionalFormatting sqref="B5:AF6">
    <cfRule type="expression" dxfId="278" priority="2" stopIfTrue="1">
      <formula>B5=ClavePersonalizada2</formula>
    </cfRule>
    <cfRule type="expression" dxfId="277" priority="3" stopIfTrue="1">
      <formula>B5=ClavePersonalizada1</formula>
    </cfRule>
    <cfRule type="expression" dxfId="276" priority="4" stopIfTrue="1">
      <formula>B5=ClaveEnfermedad</formula>
    </cfRule>
    <cfRule type="expression" dxfId="275" priority="5" stopIfTrue="1">
      <formula>B5=ClavePersonal</formula>
    </cfRule>
    <cfRule type="expression" dxfId="274" priority="6" stopIfTrue="1">
      <formula>B5=ClaveVacaciones</formula>
    </cfRule>
  </conditionalFormatting>
  <conditionalFormatting sqref="AG5:AG6">
    <cfRule type="dataBar" priority="34">
      <dataBar>
        <cfvo type="min"/>
        <cfvo type="formula" val="DATEDIF(DATE(AñoCalendario,2,1),DATE(AñoCalendario,3,1),&quot;d&quot;)"/>
        <color theme="2" tint="-0.249977111117893"/>
      </dataBar>
      <extLst>
        <ext xmlns:x14="http://schemas.microsoft.com/office/spreadsheetml/2009/9/main" uri="{B025F937-C7B1-47D3-B67F-A62EFF666E3E}">
          <x14:id>{9F84199F-9F40-4560-9610-01EAA5EACF75}</x14:id>
        </ext>
      </extLst>
    </cfRule>
  </conditionalFormatting>
  <pageMargins left="0.25" right="0.25" top="0.75" bottom="0.75" header="0.3" footer="0.3"/>
  <pageSetup scale="80" fitToHeight="0" orientation="landscape" verticalDpi="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F84199F-9F40-4560-9610-01EAA5EACF75}">
            <x14:dataBar minLength="0" maxLength="100">
              <x14:cfvo type="autoMin"/>
              <x14:cfvo type="formula">
                <xm:f>DATEDIF(DATE(AñoCalendario,2,1),DATE(AñoCalendario,3,1),"d")</xm:f>
              </x14:cfvo>
              <x14:negativeFillColor rgb="FFFF0000"/>
              <x14:axisColor rgb="FF000000"/>
            </x14:dataBar>
          </x14:cfRule>
          <xm:sqref>AG5:AG6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pageSetUpPr fitToPage="1"/>
  </sheetPr>
  <dimension ref="A1:AH9"/>
  <sheetViews>
    <sheetView showGridLines="0" zoomScaleNormal="100" workbookViewId="0">
      <selection activeCell="T11" sqref="T11"/>
    </sheetView>
  </sheetViews>
  <sheetFormatPr baseColWidth="10" defaultColWidth="9.140625" defaultRowHeight="15" customHeight="1" x14ac:dyDescent="0.25"/>
  <cols>
    <col min="1" max="1" width="24.28515625" style="17" customWidth="1"/>
    <col min="2" max="8" width="4" style="14" customWidth="1"/>
    <col min="9" max="9" width="5.140625" style="14" customWidth="1"/>
    <col min="10" max="18" width="4" style="14" customWidth="1"/>
    <col min="19" max="19" width="4.85546875" style="14" customWidth="1"/>
    <col min="20" max="21" width="5.140625" style="14" customWidth="1"/>
    <col min="22" max="22" width="4.85546875" style="14" customWidth="1"/>
    <col min="23" max="23" width="4" style="14" customWidth="1"/>
    <col min="24" max="24" width="4.7109375" style="14" customWidth="1"/>
    <col min="25" max="25" width="4.85546875" style="14" customWidth="1"/>
    <col min="26" max="26" width="5.42578125" style="14" customWidth="1"/>
    <col min="27" max="28" width="4" style="14" customWidth="1"/>
    <col min="29" max="29" width="7.42578125" style="14" customWidth="1"/>
    <col min="30" max="30" width="5.28515625" style="14" customWidth="1"/>
    <col min="31" max="32" width="4" style="14" customWidth="1"/>
    <col min="33" max="33" width="13.5703125" style="13" customWidth="1"/>
    <col min="34" max="34" width="9.140625" style="14"/>
    <col min="35" max="16384" width="9.140625" style="15"/>
  </cols>
  <sheetData>
    <row r="1" spans="1:34" s="1" customFormat="1" ht="50.25" customHeight="1" x14ac:dyDescent="0.25">
      <c r="A1" s="25"/>
      <c r="B1" s="18"/>
      <c r="C1" s="18"/>
      <c r="D1" s="18"/>
      <c r="E1" s="18"/>
      <c r="F1" s="18"/>
      <c r="G1" s="49" t="s">
        <v>43</v>
      </c>
      <c r="H1" s="18"/>
      <c r="I1" s="18"/>
      <c r="J1" s="18"/>
      <c r="K1" s="18"/>
      <c r="L1" s="18"/>
      <c r="M1" s="18"/>
      <c r="N1" s="18"/>
      <c r="O1" s="18"/>
      <c r="P1" s="18"/>
      <c r="Q1" s="18"/>
      <c r="R1" s="18"/>
      <c r="S1" s="18"/>
      <c r="T1" s="18"/>
      <c r="U1" s="18"/>
      <c r="V1" s="18"/>
      <c r="W1" s="18"/>
      <c r="X1" s="18"/>
      <c r="Y1" s="18"/>
      <c r="Z1" s="18"/>
      <c r="AA1" s="18"/>
      <c r="AB1" s="18"/>
      <c r="AC1" s="19"/>
      <c r="AD1" s="19"/>
      <c r="AE1" s="20"/>
      <c r="AF1"/>
      <c r="AG1"/>
      <c r="AH1" s="2"/>
    </row>
    <row r="2" spans="1:34" ht="30" customHeight="1" x14ac:dyDescent="0.25">
      <c r="A2" s="60" t="s">
        <v>38</v>
      </c>
      <c r="B2" s="58" t="s">
        <v>63</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63">
        <f>AñoCalendario</f>
        <v>2016</v>
      </c>
    </row>
    <row r="3" spans="1:34" ht="15.75" customHeight="1" x14ac:dyDescent="0.25">
      <c r="A3" s="60"/>
      <c r="B3" s="26" t="str">
        <f>TEXT(WEEKDAY(DATE(AñoCalendario,5,1),1),"ooo")</f>
        <v>dom</v>
      </c>
      <c r="C3" s="27" t="str">
        <f>TEXT(WEEKDAY(DATE(AñoCalendario,5,2),1),"ooo")</f>
        <v>lun</v>
      </c>
      <c r="D3" s="27" t="str">
        <f>TEXT(WEEKDAY(DATE(AñoCalendario,5,3),1),"ooo")</f>
        <v>mar</v>
      </c>
      <c r="E3" s="27" t="str">
        <f>TEXT(WEEKDAY(DATE(AñoCalendario,5,4),1),"ooo")</f>
        <v>mié</v>
      </c>
      <c r="F3" s="27" t="str">
        <f>TEXT(WEEKDAY(DATE(AñoCalendario,5,5),1),"ooo")</f>
        <v>jue</v>
      </c>
      <c r="G3" s="27" t="str">
        <f>TEXT(WEEKDAY(DATE(AñoCalendario,5,6),1),"ooo")</f>
        <v>vie</v>
      </c>
      <c r="H3" s="27" t="str">
        <f>TEXT(WEEKDAY(DATE(AñoCalendario,5,7),1),"ooo")</f>
        <v>sáb</v>
      </c>
      <c r="I3" s="27" t="str">
        <f>TEXT(WEEKDAY(DATE(AñoCalendario,5,8),1),"ooo")</f>
        <v>dom</v>
      </c>
      <c r="J3" s="27" t="str">
        <f>TEXT(WEEKDAY(DATE(AñoCalendario,5,9),1),"ooo")</f>
        <v>lun</v>
      </c>
      <c r="K3" s="27" t="str">
        <f>TEXT(WEEKDAY(DATE(AñoCalendario,5,10),1),"ooo")</f>
        <v>mar</v>
      </c>
      <c r="L3" s="27" t="str">
        <f>TEXT(WEEKDAY(DATE(AñoCalendario,5,11),1),"ooo")</f>
        <v>mié</v>
      </c>
      <c r="M3" s="27" t="str">
        <f>TEXT(WEEKDAY(DATE(AñoCalendario,5,12),1),"ooo")</f>
        <v>jue</v>
      </c>
      <c r="N3" s="27" t="str">
        <f>TEXT(WEEKDAY(DATE(AñoCalendario,5,13),1),"ooo")</f>
        <v>vie</v>
      </c>
      <c r="O3" s="27" t="str">
        <f>TEXT(WEEKDAY(DATE(AñoCalendario,5,14),1),"ooo")</f>
        <v>sáb</v>
      </c>
      <c r="P3" s="27" t="str">
        <f>TEXT(WEEKDAY(DATE(AñoCalendario,5,15),1),"ooo")</f>
        <v>dom</v>
      </c>
      <c r="Q3" s="27" t="str">
        <f>TEXT(WEEKDAY(DATE(AñoCalendario,5,16),1),"ooo")</f>
        <v>lun</v>
      </c>
      <c r="R3" s="27" t="str">
        <f>TEXT(WEEKDAY(DATE(AñoCalendario,5,17),1),"ooo")</f>
        <v>mar</v>
      </c>
      <c r="S3" s="27" t="str">
        <f>TEXT(WEEKDAY(DATE(AñoCalendario,5,18),1),"ooo")</f>
        <v>mié</v>
      </c>
      <c r="T3" s="27" t="str">
        <f>TEXT(WEEKDAY(DATE(AñoCalendario,5,19),1),"ooo")</f>
        <v>jue</v>
      </c>
      <c r="U3" s="27" t="str">
        <f>TEXT(WEEKDAY(DATE(AñoCalendario,5,20),1),"ooo")</f>
        <v>vie</v>
      </c>
      <c r="V3" s="27" t="str">
        <f>TEXT(WEEKDAY(DATE(AñoCalendario,5,21),1),"ooo")</f>
        <v>sáb</v>
      </c>
      <c r="W3" s="27" t="str">
        <f>TEXT(WEEKDAY(DATE(AñoCalendario,5,22),1),"ooo")</f>
        <v>dom</v>
      </c>
      <c r="X3" s="27" t="str">
        <f>TEXT(WEEKDAY(DATE(AñoCalendario,5,23),1),"ooo")</f>
        <v>lun</v>
      </c>
      <c r="Y3" s="27" t="str">
        <f>TEXT(WEEKDAY(DATE(AñoCalendario,5,24),1),"ooo")</f>
        <v>mar</v>
      </c>
      <c r="Z3" s="27" t="str">
        <f>TEXT(WEEKDAY(DATE(AñoCalendario,5,25),1),"ooo")</f>
        <v>mié</v>
      </c>
      <c r="AA3" s="27" t="str">
        <f>TEXT(WEEKDAY(DATE(AñoCalendario,5,26),1),"ooo")</f>
        <v>jue</v>
      </c>
      <c r="AB3" s="27" t="str">
        <f>TEXT(WEEKDAY(DATE(AñoCalendario,5,27),1),"ooo")</f>
        <v>vie</v>
      </c>
      <c r="AC3" s="27" t="str">
        <f>TEXT(WEEKDAY(DATE(AñoCalendario,5,28),1),"ooo")</f>
        <v>sáb</v>
      </c>
      <c r="AD3" s="27" t="str">
        <f>TEXT(WEEKDAY(DATE(AñoCalendario,5,29),1),"ooo")</f>
        <v>dom</v>
      </c>
      <c r="AE3" s="27" t="str">
        <f>TEXT(WEEKDAY(DATE(AñoCalendario,5,30),1),"ooo")</f>
        <v>lun</v>
      </c>
      <c r="AF3" s="27" t="str">
        <f>TEXT(WEEKDAY(DATE(AñoCalendario,5,31),1),"ooo")</f>
        <v>mar</v>
      </c>
      <c r="AG3" s="63"/>
    </row>
    <row r="4" spans="1:34" s="12" customFormat="1" x14ac:dyDescent="0.25">
      <c r="A4" s="35" t="s">
        <v>44</v>
      </c>
      <c r="B4" s="43" t="s">
        <v>41</v>
      </c>
      <c r="C4" s="43" t="s">
        <v>0</v>
      </c>
      <c r="D4" s="43" t="s">
        <v>1</v>
      </c>
      <c r="E4" s="43" t="s">
        <v>2</v>
      </c>
      <c r="F4" s="43" t="s">
        <v>3</v>
      </c>
      <c r="G4" s="43" t="s">
        <v>4</v>
      </c>
      <c r="H4" s="43" t="s">
        <v>5</v>
      </c>
      <c r="I4" s="43" t="s">
        <v>6</v>
      </c>
      <c r="J4" s="43" t="s">
        <v>7</v>
      </c>
      <c r="K4" s="43" t="s">
        <v>8</v>
      </c>
      <c r="L4" s="43" t="s">
        <v>9</v>
      </c>
      <c r="M4" s="43" t="s">
        <v>10</v>
      </c>
      <c r="N4" s="43" t="s">
        <v>11</v>
      </c>
      <c r="O4" s="43" t="s">
        <v>12</v>
      </c>
      <c r="P4" s="43" t="s">
        <v>13</v>
      </c>
      <c r="Q4" s="43" t="s">
        <v>14</v>
      </c>
      <c r="R4" s="43" t="s">
        <v>15</v>
      </c>
      <c r="S4" s="43" t="s">
        <v>16</v>
      </c>
      <c r="T4" s="43" t="s">
        <v>17</v>
      </c>
      <c r="U4" s="43" t="s">
        <v>18</v>
      </c>
      <c r="V4" s="43" t="s">
        <v>19</v>
      </c>
      <c r="W4" s="43" t="s">
        <v>20</v>
      </c>
      <c r="X4" s="43" t="s">
        <v>21</v>
      </c>
      <c r="Y4" s="43" t="s">
        <v>22</v>
      </c>
      <c r="Z4" s="43" t="s">
        <v>23</v>
      </c>
      <c r="AA4" s="43" t="s">
        <v>24</v>
      </c>
      <c r="AB4" s="43" t="s">
        <v>25</v>
      </c>
      <c r="AC4" s="43" t="s">
        <v>26</v>
      </c>
      <c r="AD4" s="16" t="s">
        <v>27</v>
      </c>
      <c r="AE4" s="43" t="s">
        <v>28</v>
      </c>
      <c r="AF4" s="43" t="s">
        <v>29</v>
      </c>
      <c r="AG4" s="43" t="s">
        <v>30</v>
      </c>
      <c r="AH4" s="11"/>
    </row>
    <row r="5" spans="1:34" s="12" customFormat="1" ht="30" x14ac:dyDescent="0.25">
      <c r="A5" s="42" t="s">
        <v>59</v>
      </c>
      <c r="B5" s="43"/>
      <c r="C5" s="50"/>
      <c r="D5" s="43" t="s">
        <v>49</v>
      </c>
      <c r="E5" s="43" t="s">
        <v>49</v>
      </c>
      <c r="F5" s="43" t="s">
        <v>49</v>
      </c>
      <c r="G5" s="43" t="s">
        <v>49</v>
      </c>
      <c r="H5" s="43"/>
      <c r="I5" s="43"/>
      <c r="J5" s="43" t="s">
        <v>49</v>
      </c>
      <c r="K5" s="43" t="s">
        <v>49</v>
      </c>
      <c r="L5" s="43" t="s">
        <v>49</v>
      </c>
      <c r="M5" s="43" t="s">
        <v>49</v>
      </c>
      <c r="N5" s="43" t="s">
        <v>49</v>
      </c>
      <c r="O5" s="43"/>
      <c r="P5" s="43"/>
      <c r="Q5" s="54" t="s">
        <v>49</v>
      </c>
      <c r="R5" s="54" t="s">
        <v>49</v>
      </c>
      <c r="S5" s="54" t="s">
        <v>49</v>
      </c>
      <c r="T5" s="54" t="s">
        <v>49</v>
      </c>
      <c r="U5" s="54" t="s">
        <v>49</v>
      </c>
      <c r="V5" s="43"/>
      <c r="W5" s="43"/>
      <c r="X5" s="54" t="s">
        <v>49</v>
      </c>
      <c r="Y5" s="54" t="s">
        <v>49</v>
      </c>
      <c r="Z5" s="54" t="s">
        <v>49</v>
      </c>
      <c r="AA5" s="54" t="s">
        <v>49</v>
      </c>
      <c r="AB5" s="54" t="s">
        <v>49</v>
      </c>
      <c r="AC5" s="43"/>
      <c r="AD5" s="43"/>
      <c r="AE5" s="54" t="s">
        <v>49</v>
      </c>
      <c r="AF5" s="54" t="s">
        <v>49</v>
      </c>
      <c r="AG5" s="10">
        <f>COUNTA(tblMayo[[#This Row],[1]:[29]])</f>
        <v>19</v>
      </c>
      <c r="AH5" s="11"/>
    </row>
    <row r="6" spans="1:34" s="12" customFormat="1" ht="30" x14ac:dyDescent="0.25">
      <c r="A6" s="42" t="s">
        <v>60</v>
      </c>
      <c r="B6" s="43"/>
      <c r="C6" s="50"/>
      <c r="D6" s="43" t="s">
        <v>49</v>
      </c>
      <c r="E6" s="43" t="s">
        <v>49</v>
      </c>
      <c r="F6" s="43" t="s">
        <v>49</v>
      </c>
      <c r="G6" s="43" t="s">
        <v>49</v>
      </c>
      <c r="H6" s="43"/>
      <c r="I6" s="43"/>
      <c r="J6" s="43" t="s">
        <v>49</v>
      </c>
      <c r="K6" s="43" t="s">
        <v>49</v>
      </c>
      <c r="L6" s="43" t="s">
        <v>49</v>
      </c>
      <c r="M6" s="43" t="s">
        <v>49</v>
      </c>
      <c r="N6" s="51" t="s">
        <v>49</v>
      </c>
      <c r="O6" s="43"/>
      <c r="P6" s="43"/>
      <c r="Q6" s="54" t="s">
        <v>49</v>
      </c>
      <c r="R6" s="54" t="s">
        <v>49</v>
      </c>
      <c r="S6" s="54" t="s">
        <v>49</v>
      </c>
      <c r="T6" s="54" t="s">
        <v>49</v>
      </c>
      <c r="U6" s="54" t="s">
        <v>49</v>
      </c>
      <c r="V6" s="43"/>
      <c r="W6" s="43"/>
      <c r="X6" s="54" t="s">
        <v>49</v>
      </c>
      <c r="Y6" s="54" t="s">
        <v>49</v>
      </c>
      <c r="Z6" s="54" t="s">
        <v>49</v>
      </c>
      <c r="AA6" s="54" t="s">
        <v>49</v>
      </c>
      <c r="AB6" s="54" t="s">
        <v>49</v>
      </c>
      <c r="AC6" s="43"/>
      <c r="AD6" s="43"/>
      <c r="AE6" s="54" t="s">
        <v>49</v>
      </c>
      <c r="AF6" s="54" t="s">
        <v>49</v>
      </c>
      <c r="AG6" s="10">
        <f>COUNTA(tblMayo[[#This Row],[1]:[29]])</f>
        <v>19</v>
      </c>
      <c r="AH6" s="11"/>
    </row>
    <row r="7" spans="1:34" ht="15" customHeight="1" x14ac:dyDescent="0.25">
      <c r="A7" s="36" t="str">
        <f>NombreMes&amp;" Total"</f>
        <v>Mayo Total</v>
      </c>
      <c r="B7" s="10">
        <f>SUBTOTAL(103,tblMayo[1])</f>
        <v>0</v>
      </c>
      <c r="C7" s="10">
        <f>SUBTOTAL(103,tblMayo[2])</f>
        <v>0</v>
      </c>
      <c r="D7" s="10">
        <f>SUBTOTAL(103,tblMayo[3])</f>
        <v>2</v>
      </c>
      <c r="E7" s="10">
        <f>SUBTOTAL(103,tblMayo[4])</f>
        <v>2</v>
      </c>
      <c r="F7"/>
      <c r="G7" s="10">
        <f>SUBTOTAL(103,tblMayo[6])</f>
        <v>2</v>
      </c>
      <c r="H7" s="10">
        <f>SUBTOTAL(103,tblMayo[7])</f>
        <v>0</v>
      </c>
      <c r="I7" s="10">
        <f>SUBTOTAL(103,tblMayo[8])</f>
        <v>0</v>
      </c>
      <c r="J7" s="10">
        <f>SUBTOTAL(103,tblMayo[9])</f>
        <v>2</v>
      </c>
      <c r="K7" s="10">
        <f>SUBTOTAL(103,tblMayo[10])</f>
        <v>2</v>
      </c>
      <c r="L7" s="10">
        <f>SUBTOTAL(103,tblMayo[11])</f>
        <v>2</v>
      </c>
      <c r="M7" s="10">
        <f>SUBTOTAL(103,tblMayo[12])</f>
        <v>2</v>
      </c>
      <c r="N7" s="10">
        <f>SUBTOTAL(103,tblMayo[13])</f>
        <v>2</v>
      </c>
      <c r="O7" s="10">
        <f>SUBTOTAL(103,tblMayo[14])</f>
        <v>0</v>
      </c>
      <c r="P7" s="10">
        <f>SUBTOTAL(103,tblMayo[15])</f>
        <v>0</v>
      </c>
      <c r="Q7" s="10">
        <f>SUBTOTAL(103,tblMayo[16])</f>
        <v>2</v>
      </c>
      <c r="R7" s="10">
        <f>SUBTOTAL(103,tblMayo[17])</f>
        <v>2</v>
      </c>
      <c r="S7" s="10">
        <f>SUBTOTAL(103,tblMayo[18])</f>
        <v>2</v>
      </c>
      <c r="T7" s="10">
        <f>SUBTOTAL(103,tblMayo[19])</f>
        <v>2</v>
      </c>
      <c r="U7" s="10">
        <f>SUBTOTAL(103,tblMayo[20])</f>
        <v>2</v>
      </c>
      <c r="V7" s="10">
        <f>SUBTOTAL(103,tblMayo[21])</f>
        <v>0</v>
      </c>
      <c r="W7" s="10">
        <f>SUBTOTAL(103,tblMayo[22])</f>
        <v>0</v>
      </c>
      <c r="X7" s="10">
        <f>SUBTOTAL(103,tblMayo[23])</f>
        <v>2</v>
      </c>
      <c r="Y7" s="10">
        <f>SUBTOTAL(103,tblMayo[24])</f>
        <v>2</v>
      </c>
      <c r="Z7" s="10">
        <f>SUBTOTAL(103,tblMayo[25])</f>
        <v>2</v>
      </c>
      <c r="AA7" s="10">
        <f>SUBTOTAL(103,tblMayo[26])</f>
        <v>2</v>
      </c>
      <c r="AB7" s="10">
        <f>SUBTOTAL(103,tblMayo[27])</f>
        <v>2</v>
      </c>
      <c r="AC7" s="10">
        <f>SUBTOTAL(103,tblMayo[28])</f>
        <v>0</v>
      </c>
      <c r="AD7" s="10">
        <f>SUBTOTAL(103,tblMayo[29])</f>
        <v>0</v>
      </c>
      <c r="AE7" s="10" t="s">
        <v>0</v>
      </c>
      <c r="AF7" s="10" t="s">
        <v>0</v>
      </c>
      <c r="AG7" s="10">
        <f>SUBTOTAL(109,tblMayo[Total de días])</f>
        <v>38</v>
      </c>
    </row>
    <row r="8" spans="1:34" ht="15" customHeight="1" x14ac:dyDescent="0.25">
      <c r="A8" s="62"/>
      <c r="B8" s="62"/>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row>
    <row r="9" spans="1:34" s="14" customFormat="1" ht="15" customHeight="1" x14ac:dyDescent="0.25">
      <c r="A9" s="40" t="s">
        <v>34</v>
      </c>
      <c r="B9" s="40"/>
      <c r="C9" s="40"/>
      <c r="D9" s="40"/>
      <c r="E9" s="41"/>
      <c r="F9" s="21" t="s">
        <v>45</v>
      </c>
      <c r="G9" s="37" t="s">
        <v>46</v>
      </c>
      <c r="H9" s="38"/>
      <c r="I9" s="38"/>
      <c r="J9" s="22" t="s">
        <v>47</v>
      </c>
      <c r="K9" s="37" t="s">
        <v>50</v>
      </c>
      <c r="L9" s="38"/>
      <c r="M9" s="38"/>
      <c r="N9" s="23" t="s">
        <v>48</v>
      </c>
      <c r="O9" s="37" t="s">
        <v>51</v>
      </c>
      <c r="P9" s="39"/>
      <c r="Q9" s="38"/>
      <c r="R9" s="24" t="s">
        <v>49</v>
      </c>
      <c r="S9" s="37" t="s">
        <v>52</v>
      </c>
      <c r="T9" s="38"/>
      <c r="U9" s="39"/>
      <c r="V9" s="44" t="s">
        <v>53</v>
      </c>
      <c r="W9" s="37" t="s">
        <v>54</v>
      </c>
      <c r="X9" s="39"/>
      <c r="Y9" s="38"/>
      <c r="Z9" s="45" t="s">
        <v>55</v>
      </c>
      <c r="AA9" s="37" t="s">
        <v>56</v>
      </c>
      <c r="AB9" s="38"/>
      <c r="AC9" s="39"/>
      <c r="AD9" s="46" t="s">
        <v>57</v>
      </c>
      <c r="AE9" s="37" t="s">
        <v>58</v>
      </c>
      <c r="AF9" s="38"/>
      <c r="AG9" s="39"/>
    </row>
  </sheetData>
  <mergeCells count="4">
    <mergeCell ref="A2:A3"/>
    <mergeCell ref="B2:AF2"/>
    <mergeCell ref="AG2:AG3"/>
    <mergeCell ref="A8:AG8"/>
  </mergeCells>
  <conditionalFormatting sqref="B5:AF6">
    <cfRule type="expression" priority="1" stopIfTrue="1">
      <formula>B5=""</formula>
    </cfRule>
  </conditionalFormatting>
  <conditionalFormatting sqref="B5:AF6">
    <cfRule type="expression" dxfId="208" priority="2" stopIfTrue="1">
      <formula>B5=ClavePersonalizada2</formula>
    </cfRule>
    <cfRule type="expression" dxfId="207" priority="3" stopIfTrue="1">
      <formula>B5=ClavePersonalizada1</formula>
    </cfRule>
    <cfRule type="expression" dxfId="206" priority="4" stopIfTrue="1">
      <formula>B5=ClaveEnfermedad</formula>
    </cfRule>
    <cfRule type="expression" dxfId="205" priority="5" stopIfTrue="1">
      <formula>B5=ClavePersonal</formula>
    </cfRule>
    <cfRule type="expression" dxfId="204" priority="6" stopIfTrue="1">
      <formula>B5=ClaveVacaciones</formula>
    </cfRule>
  </conditionalFormatting>
  <conditionalFormatting sqref="AG5:AG6">
    <cfRule type="dataBar" priority="35">
      <dataBar>
        <cfvo type="min"/>
        <cfvo type="formula" val="DATEDIF(DATE(AñoCalendario,2,1),DATE(AñoCalendario,3,1),&quot;d&quot;)"/>
        <color theme="2" tint="-0.249977111117893"/>
      </dataBar>
      <extLst>
        <ext xmlns:x14="http://schemas.microsoft.com/office/spreadsheetml/2009/9/main" uri="{B025F937-C7B1-47D3-B67F-A62EFF666E3E}">
          <x14:id>{21200745-4ED2-4331-A492-FDEB5AAF3195}</x14:id>
        </ext>
      </extLst>
    </cfRule>
  </conditionalFormatting>
  <pageMargins left="0.25" right="0.25" top="0.75" bottom="0.75" header="0.3" footer="0.3"/>
  <pageSetup scale="80" fitToHeight="0" orientation="landscape" verticalDpi="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1200745-4ED2-4331-A492-FDEB5AAF3195}">
            <x14:dataBar minLength="0" maxLength="100">
              <x14:cfvo type="autoMin"/>
              <x14:cfvo type="formula">
                <xm:f>DATEDIF(DATE(AñoCalendario,2,1),DATE(AñoCalendario,3,1),"d")</xm:f>
              </x14:cfvo>
              <x14:negativeFillColor rgb="FFFF0000"/>
              <x14:axisColor rgb="FF000000"/>
            </x14:dataBar>
          </x14:cfRule>
          <xm:sqref>AG5:AG6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AH9"/>
  <sheetViews>
    <sheetView showGridLines="0" zoomScaleNormal="100" workbookViewId="0">
      <selection activeCell="A15" sqref="A15"/>
    </sheetView>
  </sheetViews>
  <sheetFormatPr baseColWidth="10" defaultColWidth="9.140625" defaultRowHeight="15" customHeight="1" x14ac:dyDescent="0.25"/>
  <cols>
    <col min="1" max="1" width="24.28515625" style="17" customWidth="1"/>
    <col min="2" max="8" width="4" style="14" customWidth="1"/>
    <col min="9" max="9" width="5.140625" style="14" customWidth="1"/>
    <col min="10" max="14" width="4" style="14" customWidth="1"/>
    <col min="15" max="15" width="4.5703125" style="14" customWidth="1"/>
    <col min="16" max="16" width="4.42578125" style="14" customWidth="1"/>
    <col min="17" max="17" width="4.28515625" style="14" customWidth="1"/>
    <col min="18" max="19" width="4" style="14" customWidth="1"/>
    <col min="20" max="20" width="4.140625" style="14" customWidth="1"/>
    <col min="21" max="21" width="5.28515625" style="14" customWidth="1"/>
    <col min="22" max="22" width="5.7109375" style="14" customWidth="1"/>
    <col min="23" max="23" width="4.85546875" style="14" customWidth="1"/>
    <col min="24" max="24" width="5" style="14" customWidth="1"/>
    <col min="25" max="25" width="4.28515625" style="14" customWidth="1"/>
    <col min="26" max="26" width="5" style="14" customWidth="1"/>
    <col min="27" max="28" width="4" style="14" customWidth="1"/>
    <col min="29" max="29" width="6.7109375" style="14" customWidth="1"/>
    <col min="30" max="32" width="4" style="14" customWidth="1"/>
    <col min="33" max="33" width="13.5703125" style="13" customWidth="1"/>
    <col min="34" max="34" width="9.140625" style="14"/>
    <col min="35" max="16384" width="9.140625" style="15"/>
  </cols>
  <sheetData>
    <row r="1" spans="1:34" s="1" customFormat="1" ht="50.25" customHeight="1" x14ac:dyDescent="0.25">
      <c r="A1" s="25"/>
      <c r="B1" s="18"/>
      <c r="C1" s="18"/>
      <c r="D1" s="18"/>
      <c r="E1" s="18"/>
      <c r="F1" s="18"/>
      <c r="G1" s="49" t="s">
        <v>43</v>
      </c>
      <c r="H1" s="18"/>
      <c r="I1" s="18"/>
      <c r="J1" s="18"/>
      <c r="K1" s="18"/>
      <c r="L1" s="18"/>
      <c r="M1" s="18"/>
      <c r="N1" s="18"/>
      <c r="O1" s="18"/>
      <c r="P1" s="18"/>
      <c r="Q1" s="18"/>
      <c r="R1" s="18"/>
      <c r="S1" s="18"/>
      <c r="T1" s="18"/>
      <c r="U1" s="18"/>
      <c r="V1" s="18"/>
      <c r="W1" s="18"/>
      <c r="X1" s="18"/>
      <c r="Y1" s="18"/>
      <c r="Z1" s="18"/>
      <c r="AA1" s="18"/>
      <c r="AB1" s="18"/>
      <c r="AC1" s="19"/>
      <c r="AD1" s="19"/>
      <c r="AE1" s="20"/>
      <c r="AF1"/>
      <c r="AG1"/>
      <c r="AH1" s="2"/>
    </row>
    <row r="2" spans="1:34" ht="30" customHeight="1" x14ac:dyDescent="0.25">
      <c r="A2" s="60" t="s">
        <v>39</v>
      </c>
      <c r="B2" s="58" t="s">
        <v>63</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63">
        <f>AñoCalendario</f>
        <v>2016</v>
      </c>
    </row>
    <row r="3" spans="1:34" ht="15.75" customHeight="1" x14ac:dyDescent="0.25">
      <c r="A3" s="60"/>
      <c r="B3" s="26" t="str">
        <f>TEXT(WEEKDAY(DATE(AñoCalendario,6,1),1),"ooo")</f>
        <v>mié</v>
      </c>
      <c r="C3" s="27" t="str">
        <f>TEXT(WEEKDAY(DATE(AñoCalendario,6,2),1),"ooo")</f>
        <v>jue</v>
      </c>
      <c r="D3" s="27" t="str">
        <f>TEXT(WEEKDAY(DATE(AñoCalendario,6,3),1),"ooo")</f>
        <v>vie</v>
      </c>
      <c r="E3" s="27" t="str">
        <f>TEXT(WEEKDAY(DATE(AñoCalendario,6,4),1),"ooo")</f>
        <v>sáb</v>
      </c>
      <c r="F3" s="27" t="str">
        <f>TEXT(WEEKDAY(DATE(AñoCalendario,6,5),1),"ooo")</f>
        <v>dom</v>
      </c>
      <c r="G3" s="27" t="str">
        <f>TEXT(WEEKDAY(DATE(AñoCalendario,6,6),1),"ooo")</f>
        <v>lun</v>
      </c>
      <c r="H3" s="27" t="str">
        <f>TEXT(WEEKDAY(DATE(AñoCalendario,6,7),1),"ooo")</f>
        <v>mar</v>
      </c>
      <c r="I3" s="27" t="str">
        <f>TEXT(WEEKDAY(DATE(AñoCalendario,6,8),1),"ooo")</f>
        <v>mié</v>
      </c>
      <c r="J3" s="27" t="str">
        <f>TEXT(WEEKDAY(DATE(AñoCalendario,6,9),1),"ooo")</f>
        <v>jue</v>
      </c>
      <c r="K3" s="27" t="str">
        <f>TEXT(WEEKDAY(DATE(AñoCalendario,6,10),1),"ooo")</f>
        <v>vie</v>
      </c>
      <c r="L3" s="27" t="str">
        <f>TEXT(WEEKDAY(DATE(AñoCalendario,6,11),1),"ooo")</f>
        <v>sáb</v>
      </c>
      <c r="M3" s="27" t="str">
        <f>TEXT(WEEKDAY(DATE(AñoCalendario,6,12),1),"ooo")</f>
        <v>dom</v>
      </c>
      <c r="N3" s="27" t="str">
        <f>TEXT(WEEKDAY(DATE(AñoCalendario,6,13),1),"ooo")</f>
        <v>lun</v>
      </c>
      <c r="O3" s="27" t="str">
        <f>TEXT(WEEKDAY(DATE(AñoCalendario,6,14),1),"ooo")</f>
        <v>mar</v>
      </c>
      <c r="P3" s="27" t="str">
        <f>TEXT(WEEKDAY(DATE(AñoCalendario,6,15),1),"ooo")</f>
        <v>mié</v>
      </c>
      <c r="Q3" s="27" t="str">
        <f>TEXT(WEEKDAY(DATE(AñoCalendario,6,16),1),"ooo")</f>
        <v>jue</v>
      </c>
      <c r="R3" s="27" t="str">
        <f>TEXT(WEEKDAY(DATE(AñoCalendario,6,17),1),"ooo")</f>
        <v>vie</v>
      </c>
      <c r="S3" s="27" t="str">
        <f>TEXT(WEEKDAY(DATE(AñoCalendario,6,18),1),"ooo")</f>
        <v>sáb</v>
      </c>
      <c r="T3" s="27" t="str">
        <f>TEXT(WEEKDAY(DATE(AñoCalendario,6,19),1),"ooo")</f>
        <v>dom</v>
      </c>
      <c r="U3" s="27" t="str">
        <f>TEXT(WEEKDAY(DATE(AñoCalendario,6,20),1),"ooo")</f>
        <v>lun</v>
      </c>
      <c r="V3" s="27" t="str">
        <f>TEXT(WEEKDAY(DATE(AñoCalendario,6,21),1),"ooo")</f>
        <v>mar</v>
      </c>
      <c r="W3" s="27" t="str">
        <f>TEXT(WEEKDAY(DATE(AñoCalendario,6,22),1),"ooo")</f>
        <v>mié</v>
      </c>
      <c r="X3" s="27" t="str">
        <f>TEXT(WEEKDAY(DATE(AñoCalendario,6,23),1),"ooo")</f>
        <v>jue</v>
      </c>
      <c r="Y3" s="27" t="str">
        <f>TEXT(WEEKDAY(DATE(AñoCalendario,6,24),1),"ooo")</f>
        <v>vie</v>
      </c>
      <c r="Z3" s="27" t="str">
        <f>TEXT(WEEKDAY(DATE(AñoCalendario,6,25),1),"ooo")</f>
        <v>sáb</v>
      </c>
      <c r="AA3" s="27" t="str">
        <f>TEXT(WEEKDAY(DATE(AñoCalendario,6,26),1),"ooo")</f>
        <v>dom</v>
      </c>
      <c r="AB3" s="27" t="str">
        <f>TEXT(WEEKDAY(DATE(AñoCalendario,6,27),1),"ooo")</f>
        <v>lun</v>
      </c>
      <c r="AC3" s="27" t="str">
        <f>TEXT(WEEKDAY(DATE(AñoCalendario,6,28),1),"ooo")</f>
        <v>mar</v>
      </c>
      <c r="AD3" s="27" t="str">
        <f>TEXT(WEEKDAY(DATE(AñoCalendario,6,29),1),"ooo")</f>
        <v>mié</v>
      </c>
      <c r="AE3" s="27" t="str">
        <f>TEXT(WEEKDAY(DATE(AñoCalendario,6,30),1),"ooo")</f>
        <v>jue</v>
      </c>
      <c r="AF3" s="27"/>
      <c r="AG3" s="63"/>
    </row>
    <row r="4" spans="1:34" s="12" customFormat="1" x14ac:dyDescent="0.25">
      <c r="A4" s="35" t="s">
        <v>44</v>
      </c>
      <c r="B4" s="43" t="s">
        <v>41</v>
      </c>
      <c r="C4" s="43" t="s">
        <v>0</v>
      </c>
      <c r="D4" s="43" t="s">
        <v>1</v>
      </c>
      <c r="E4" s="43" t="s">
        <v>2</v>
      </c>
      <c r="F4" s="43" t="s">
        <v>3</v>
      </c>
      <c r="G4" s="43" t="s">
        <v>4</v>
      </c>
      <c r="H4" s="43" t="s">
        <v>5</v>
      </c>
      <c r="I4" s="43" t="s">
        <v>6</v>
      </c>
      <c r="J4" s="43" t="s">
        <v>7</v>
      </c>
      <c r="K4" s="43" t="s">
        <v>8</v>
      </c>
      <c r="L4" s="43" t="s">
        <v>9</v>
      </c>
      <c r="M4" s="43" t="s">
        <v>10</v>
      </c>
      <c r="N4" s="43" t="s">
        <v>11</v>
      </c>
      <c r="O4" s="43" t="s">
        <v>12</v>
      </c>
      <c r="P4" s="43" t="s">
        <v>13</v>
      </c>
      <c r="Q4" s="43" t="s">
        <v>14</v>
      </c>
      <c r="R4" s="43" t="s">
        <v>15</v>
      </c>
      <c r="S4" s="43" t="s">
        <v>16</v>
      </c>
      <c r="T4" s="43" t="s">
        <v>17</v>
      </c>
      <c r="U4" s="43" t="s">
        <v>18</v>
      </c>
      <c r="V4" s="43" t="s">
        <v>19</v>
      </c>
      <c r="W4" s="43" t="s">
        <v>20</v>
      </c>
      <c r="X4" s="43" t="s">
        <v>21</v>
      </c>
      <c r="Y4" s="43" t="s">
        <v>22</v>
      </c>
      <c r="Z4" s="43" t="s">
        <v>23</v>
      </c>
      <c r="AA4" s="43" t="s">
        <v>24</v>
      </c>
      <c r="AB4" s="43" t="s">
        <v>25</v>
      </c>
      <c r="AC4" s="43" t="s">
        <v>26</v>
      </c>
      <c r="AD4" s="16" t="s">
        <v>27</v>
      </c>
      <c r="AE4" s="43" t="s">
        <v>28</v>
      </c>
      <c r="AF4" s="43" t="s">
        <v>31</v>
      </c>
      <c r="AG4" s="43" t="s">
        <v>30</v>
      </c>
      <c r="AH4" s="11"/>
    </row>
    <row r="5" spans="1:34" s="12" customFormat="1" ht="30" x14ac:dyDescent="0.25">
      <c r="A5" s="42" t="s">
        <v>59</v>
      </c>
      <c r="B5" s="52" t="s">
        <v>53</v>
      </c>
      <c r="C5" s="52" t="s">
        <v>53</v>
      </c>
      <c r="D5" s="52" t="s">
        <v>53</v>
      </c>
      <c r="E5" s="43"/>
      <c r="F5" s="43"/>
      <c r="G5" s="52" t="s">
        <v>53</v>
      </c>
      <c r="H5" s="52" t="s">
        <v>53</v>
      </c>
      <c r="I5" s="52" t="s">
        <v>53</v>
      </c>
      <c r="J5" s="52" t="s">
        <v>53</v>
      </c>
      <c r="K5" s="52" t="s">
        <v>53</v>
      </c>
      <c r="L5" s="43"/>
      <c r="M5" s="43"/>
      <c r="N5" s="52" t="s">
        <v>53</v>
      </c>
      <c r="O5" s="52" t="s">
        <v>53</v>
      </c>
      <c r="P5" s="52" t="s">
        <v>53</v>
      </c>
      <c r="Q5" s="52" t="s">
        <v>53</v>
      </c>
      <c r="R5" s="52" t="s">
        <v>53</v>
      </c>
      <c r="S5" s="43"/>
      <c r="T5" s="43"/>
      <c r="U5" s="52" t="s">
        <v>53</v>
      </c>
      <c r="V5" s="52" t="s">
        <v>53</v>
      </c>
      <c r="W5" s="53" t="s">
        <v>55</v>
      </c>
      <c r="X5" s="53" t="s">
        <v>55</v>
      </c>
      <c r="Y5" s="53" t="s">
        <v>55</v>
      </c>
      <c r="Z5" s="43"/>
      <c r="AA5" s="43"/>
      <c r="AB5" s="53" t="s">
        <v>55</v>
      </c>
      <c r="AC5" s="53" t="s">
        <v>55</v>
      </c>
      <c r="AD5" s="53" t="s">
        <v>55</v>
      </c>
      <c r="AE5" s="53" t="s">
        <v>55</v>
      </c>
      <c r="AF5" s="43"/>
      <c r="AG5" s="10">
        <f>COUNTA(tblJunio[[#This Row],[1]:[29]])</f>
        <v>21</v>
      </c>
      <c r="AH5" s="11"/>
    </row>
    <row r="6" spans="1:34" s="12" customFormat="1" ht="30" x14ac:dyDescent="0.25">
      <c r="A6" s="42" t="s">
        <v>60</v>
      </c>
      <c r="B6" s="52" t="s">
        <v>53</v>
      </c>
      <c r="C6" s="52" t="s">
        <v>53</v>
      </c>
      <c r="D6" s="52" t="s">
        <v>53</v>
      </c>
      <c r="E6" s="43"/>
      <c r="F6" s="43"/>
      <c r="G6" s="52" t="s">
        <v>53</v>
      </c>
      <c r="H6" s="52" t="s">
        <v>53</v>
      </c>
      <c r="I6" s="52" t="s">
        <v>53</v>
      </c>
      <c r="J6" s="52" t="s">
        <v>53</v>
      </c>
      <c r="K6" s="52" t="s">
        <v>53</v>
      </c>
      <c r="L6" s="43"/>
      <c r="M6" s="43"/>
      <c r="N6" s="52" t="s">
        <v>53</v>
      </c>
      <c r="O6" s="52" t="s">
        <v>53</v>
      </c>
      <c r="P6" s="52" t="s">
        <v>53</v>
      </c>
      <c r="Q6" s="52" t="s">
        <v>53</v>
      </c>
      <c r="R6" s="52" t="s">
        <v>53</v>
      </c>
      <c r="S6" s="43"/>
      <c r="T6" s="43"/>
      <c r="U6" s="52" t="s">
        <v>53</v>
      </c>
      <c r="V6" s="52" t="s">
        <v>53</v>
      </c>
      <c r="W6" s="53" t="s">
        <v>55</v>
      </c>
      <c r="X6" s="53" t="s">
        <v>55</v>
      </c>
      <c r="Y6" s="53" t="s">
        <v>55</v>
      </c>
      <c r="Z6" s="43"/>
      <c r="AA6" s="43"/>
      <c r="AB6" s="53" t="s">
        <v>55</v>
      </c>
      <c r="AC6" s="53" t="s">
        <v>55</v>
      </c>
      <c r="AD6" s="53" t="s">
        <v>55</v>
      </c>
      <c r="AE6" s="53" t="s">
        <v>55</v>
      </c>
      <c r="AF6" s="43"/>
      <c r="AG6" s="10">
        <f>COUNTA(tblJunio[[#This Row],[1]:[29]])</f>
        <v>21</v>
      </c>
      <c r="AH6" s="11"/>
    </row>
    <row r="7" spans="1:34" ht="15" customHeight="1" x14ac:dyDescent="0.25">
      <c r="A7" s="36" t="str">
        <f>NombreMes&amp;" Total"</f>
        <v>Junio Total</v>
      </c>
      <c r="B7" s="10">
        <f>SUBTOTAL(103,tblJunio[1])</f>
        <v>2</v>
      </c>
      <c r="C7" s="10">
        <f>SUBTOTAL(103,tblJunio[2])</f>
        <v>2</v>
      </c>
      <c r="D7" s="10">
        <f>SUBTOTAL(103,tblJunio[3])</f>
        <v>2</v>
      </c>
      <c r="E7" s="10">
        <f>SUBTOTAL(103,tblJunio[4])</f>
        <v>0</v>
      </c>
      <c r="F7" s="10">
        <f>SUBTOTAL(103,tblJunio[5])</f>
        <v>0</v>
      </c>
      <c r="G7" s="10">
        <f>SUBTOTAL(103,tblJunio[6])</f>
        <v>2</v>
      </c>
      <c r="H7" s="10">
        <f>SUBTOTAL(103,tblJunio[7])</f>
        <v>2</v>
      </c>
      <c r="I7" s="10">
        <f>SUBTOTAL(103,tblJunio[8])</f>
        <v>2</v>
      </c>
      <c r="J7" s="10">
        <f>SUBTOTAL(103,tblJunio[9])</f>
        <v>2</v>
      </c>
      <c r="K7" s="10">
        <f>SUBTOTAL(103,tblJunio[10])</f>
        <v>2</v>
      </c>
      <c r="L7" s="10">
        <f>SUBTOTAL(103,tblJunio[11])</f>
        <v>0</v>
      </c>
      <c r="M7" s="10">
        <f>SUBTOTAL(103,tblJunio[12])</f>
        <v>0</v>
      </c>
      <c r="N7" s="10">
        <f>SUBTOTAL(103,tblJunio[13])</f>
        <v>2</v>
      </c>
      <c r="O7" s="10">
        <f>SUBTOTAL(103,tblJunio[14])</f>
        <v>2</v>
      </c>
      <c r="P7" s="10">
        <f>SUBTOTAL(103,tblJunio[15])</f>
        <v>2</v>
      </c>
      <c r="Q7" s="10">
        <f>SUBTOTAL(103,tblJunio[16])</f>
        <v>2</v>
      </c>
      <c r="R7" s="10">
        <f>SUBTOTAL(103,tblJunio[17])</f>
        <v>2</v>
      </c>
      <c r="S7" s="10">
        <f>SUBTOTAL(103,tblJunio[18])</f>
        <v>0</v>
      </c>
      <c r="T7" s="10">
        <f>SUBTOTAL(103,tblJunio[19])</f>
        <v>0</v>
      </c>
      <c r="U7" s="10">
        <f>SUBTOTAL(103,tblJunio[20])</f>
        <v>2</v>
      </c>
      <c r="V7" s="10">
        <f>SUBTOTAL(103,tblJunio[21])</f>
        <v>2</v>
      </c>
      <c r="W7" s="10">
        <f>SUBTOTAL(103,tblJunio[22])</f>
        <v>2</v>
      </c>
      <c r="X7" s="10">
        <f>SUBTOTAL(103,tblJunio[23])</f>
        <v>2</v>
      </c>
      <c r="Y7" s="10">
        <f>SUBTOTAL(103,tblJunio[24])</f>
        <v>2</v>
      </c>
      <c r="Z7" s="10">
        <f>SUBTOTAL(103,tblJunio[25])</f>
        <v>0</v>
      </c>
      <c r="AA7" s="10">
        <f>SUBTOTAL(103,tblJunio[26])</f>
        <v>0</v>
      </c>
      <c r="AB7" s="10">
        <f>SUBTOTAL(103,tblJunio[27])</f>
        <v>2</v>
      </c>
      <c r="AC7" s="10">
        <f>SUBTOTAL(103,tblJunio[28])</f>
        <v>2</v>
      </c>
      <c r="AD7" s="10">
        <f>SUBTOTAL(103,tblJunio[29])</f>
        <v>2</v>
      </c>
      <c r="AE7" s="10"/>
      <c r="AF7" s="10"/>
      <c r="AG7" s="10">
        <f>SUBTOTAL(109,tblJunio[Total de días])</f>
        <v>42</v>
      </c>
    </row>
    <row r="8" spans="1:34" ht="15" customHeight="1" x14ac:dyDescent="0.25">
      <c r="A8" s="62"/>
      <c r="B8" s="62"/>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row>
    <row r="9" spans="1:34" s="14" customFormat="1" ht="15" customHeight="1" x14ac:dyDescent="0.25">
      <c r="A9" s="40" t="s">
        <v>34</v>
      </c>
      <c r="B9" s="40"/>
      <c r="C9" s="40"/>
      <c r="D9" s="40"/>
      <c r="E9" s="41"/>
      <c r="F9" s="21" t="s">
        <v>45</v>
      </c>
      <c r="G9" s="37" t="s">
        <v>46</v>
      </c>
      <c r="H9" s="38"/>
      <c r="I9" s="38"/>
      <c r="J9" s="22" t="s">
        <v>47</v>
      </c>
      <c r="K9" s="37" t="s">
        <v>50</v>
      </c>
      <c r="L9" s="38"/>
      <c r="M9" s="38"/>
      <c r="N9" s="23" t="s">
        <v>48</v>
      </c>
      <c r="O9" s="37" t="s">
        <v>51</v>
      </c>
      <c r="P9" s="39"/>
      <c r="Q9" s="38"/>
      <c r="R9" s="24" t="s">
        <v>49</v>
      </c>
      <c r="S9" s="37" t="s">
        <v>52</v>
      </c>
      <c r="T9" s="38"/>
      <c r="U9" s="39"/>
      <c r="V9" s="44" t="s">
        <v>53</v>
      </c>
      <c r="W9" s="37" t="s">
        <v>54</v>
      </c>
      <c r="X9" s="39"/>
      <c r="Y9" s="38"/>
      <c r="Z9" s="45" t="s">
        <v>55</v>
      </c>
      <c r="AA9" s="37" t="s">
        <v>56</v>
      </c>
      <c r="AB9" s="38"/>
      <c r="AC9" s="39"/>
      <c r="AD9" s="46" t="s">
        <v>57</v>
      </c>
      <c r="AE9" s="37" t="s">
        <v>58</v>
      </c>
      <c r="AF9" s="38"/>
      <c r="AG9" s="39"/>
    </row>
  </sheetData>
  <mergeCells count="4">
    <mergeCell ref="A2:A3"/>
    <mergeCell ref="B2:AF2"/>
    <mergeCell ref="AG2:AG3"/>
    <mergeCell ref="A8:AG8"/>
  </mergeCells>
  <conditionalFormatting sqref="B5:AF6">
    <cfRule type="expression" priority="1" stopIfTrue="1">
      <formula>B5=""</formula>
    </cfRule>
  </conditionalFormatting>
  <conditionalFormatting sqref="B5:AF6">
    <cfRule type="expression" dxfId="139" priority="2" stopIfTrue="1">
      <formula>B5=ClavePersonalizada2</formula>
    </cfRule>
    <cfRule type="expression" dxfId="138" priority="3" stopIfTrue="1">
      <formula>B5=ClavePersonalizada1</formula>
    </cfRule>
    <cfRule type="expression" dxfId="137" priority="4" stopIfTrue="1">
      <formula>B5=ClaveEnfermedad</formula>
    </cfRule>
    <cfRule type="expression" dxfId="136" priority="5" stopIfTrue="1">
      <formula>B5=ClavePersonal</formula>
    </cfRule>
    <cfRule type="expression" dxfId="135" priority="6" stopIfTrue="1">
      <formula>B5=ClaveVacaciones</formula>
    </cfRule>
  </conditionalFormatting>
  <conditionalFormatting sqref="AG5:AG6">
    <cfRule type="dataBar" priority="36">
      <dataBar>
        <cfvo type="min"/>
        <cfvo type="formula" val="DATEDIF(DATE(AñoCalendario,2,1),DATE(AñoCalendario,3,1),&quot;d&quot;)"/>
        <color theme="2" tint="-0.249977111117893"/>
      </dataBar>
      <extLst>
        <ext xmlns:x14="http://schemas.microsoft.com/office/spreadsheetml/2009/9/main" uri="{B025F937-C7B1-47D3-B67F-A62EFF666E3E}">
          <x14:id>{FA2C5745-D9F6-46CB-8A63-694F9E52E516}</x14:id>
        </ext>
      </extLst>
    </cfRule>
  </conditionalFormatting>
  <pageMargins left="0.25" right="0.25" top="0.75" bottom="0.75" header="0.3" footer="0.3"/>
  <pageSetup scale="80" fitToHeight="0"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A2C5745-D9F6-46CB-8A63-694F9E52E516}">
            <x14:dataBar minLength="0" maxLength="100">
              <x14:cfvo type="autoMin"/>
              <x14:cfvo type="formula">
                <xm:f>DATEDIF(DATE(AñoCalendario,2,1),DATE(AñoCalendario,3,1),"d")</xm:f>
              </x14:cfvo>
              <x14:negativeFillColor rgb="FFFF0000"/>
              <x14:axisColor rgb="FF000000"/>
            </x14:dataBar>
          </x14:cfRule>
          <xm:sqref>AG5:AG6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pageSetUpPr fitToPage="1"/>
  </sheetPr>
  <dimension ref="A1:AH9"/>
  <sheetViews>
    <sheetView showGridLines="0" zoomScaleNormal="100" workbookViewId="0">
      <selection activeCell="P5" sqref="P5"/>
    </sheetView>
  </sheetViews>
  <sheetFormatPr baseColWidth="10" defaultColWidth="9.140625" defaultRowHeight="15" customHeight="1" x14ac:dyDescent="0.25"/>
  <cols>
    <col min="1" max="1" width="24.28515625" style="17" customWidth="1"/>
    <col min="2" max="8" width="4" style="14" customWidth="1"/>
    <col min="9" max="9" width="5.5703125" style="14" customWidth="1"/>
    <col min="10" max="20" width="4" style="14" customWidth="1"/>
    <col min="21" max="21" width="5.140625" style="14" customWidth="1"/>
    <col min="22" max="22" width="5.42578125" style="14" customWidth="1"/>
    <col min="23" max="23" width="4" style="14" customWidth="1"/>
    <col min="24" max="24" width="4.85546875" style="14" customWidth="1"/>
    <col min="25" max="25" width="4.7109375" style="14" customWidth="1"/>
    <col min="26" max="26" width="5.28515625" style="14" customWidth="1"/>
    <col min="27" max="28" width="4" style="14" customWidth="1"/>
    <col min="29" max="29" width="6.85546875" style="14" customWidth="1"/>
    <col min="30" max="32" width="4" style="14" customWidth="1"/>
    <col min="33" max="33" width="13.5703125" style="13" customWidth="1"/>
    <col min="34" max="34" width="9.140625" style="14"/>
    <col min="35" max="16384" width="9.140625" style="15"/>
  </cols>
  <sheetData>
    <row r="1" spans="1:34" s="1" customFormat="1" ht="50.25" customHeight="1" x14ac:dyDescent="0.25">
      <c r="A1" s="25"/>
      <c r="B1" s="18"/>
      <c r="C1" s="18"/>
      <c r="D1" s="18"/>
      <c r="E1" s="18"/>
      <c r="F1" s="55" t="s">
        <v>43</v>
      </c>
      <c r="G1" s="18"/>
      <c r="H1" s="18"/>
      <c r="I1" s="18"/>
      <c r="J1" s="18"/>
      <c r="K1" s="18"/>
      <c r="L1" s="18"/>
      <c r="M1" s="18"/>
      <c r="N1" s="18"/>
      <c r="O1" s="18"/>
      <c r="P1" s="18"/>
      <c r="Q1" s="18"/>
      <c r="R1" s="18"/>
      <c r="S1" s="18"/>
      <c r="T1" s="18"/>
      <c r="U1" s="18"/>
      <c r="V1" s="18"/>
      <c r="W1" s="18"/>
      <c r="X1" s="18"/>
      <c r="Y1" s="18"/>
      <c r="Z1" s="18"/>
      <c r="AA1" s="18"/>
      <c r="AB1" s="18"/>
      <c r="AC1" s="19"/>
      <c r="AD1" s="19"/>
      <c r="AE1" s="20"/>
      <c r="AF1"/>
      <c r="AG1"/>
      <c r="AH1" s="2"/>
    </row>
    <row r="2" spans="1:34" ht="30" customHeight="1" x14ac:dyDescent="0.25">
      <c r="A2" s="60" t="s">
        <v>40</v>
      </c>
      <c r="B2" s="58" t="s">
        <v>63</v>
      </c>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63">
        <f>AñoCalendario</f>
        <v>2016</v>
      </c>
    </row>
    <row r="3" spans="1:34" ht="15.75" customHeight="1" x14ac:dyDescent="0.25">
      <c r="A3" s="60"/>
      <c r="B3" s="26" t="str">
        <f>TEXT(WEEKDAY(DATE(AñoCalendario,7,1),1),"ooo")</f>
        <v>vie</v>
      </c>
      <c r="C3" s="27" t="str">
        <f>TEXT(WEEKDAY(DATE(AñoCalendario,7,2),1),"ooo")</f>
        <v>sáb</v>
      </c>
      <c r="D3" s="27" t="str">
        <f>TEXT(WEEKDAY(DATE(AñoCalendario,7,3),1),"ooo")</f>
        <v>dom</v>
      </c>
      <c r="E3" s="27" t="str">
        <f>TEXT(WEEKDAY(DATE(AñoCalendario,7,4),1),"ooo")</f>
        <v>lun</v>
      </c>
      <c r="F3" s="27" t="str">
        <f>TEXT(WEEKDAY(DATE(AñoCalendario,7,5),1),"ooo")</f>
        <v>mar</v>
      </c>
      <c r="G3" s="27" t="str">
        <f>TEXT(WEEKDAY(DATE(AñoCalendario,7,6),1),"ooo")</f>
        <v>mié</v>
      </c>
      <c r="H3" s="27" t="str">
        <f>TEXT(WEEKDAY(DATE(AñoCalendario,7,7),1),"ooo")</f>
        <v>jue</v>
      </c>
      <c r="I3" s="27" t="str">
        <f>TEXT(WEEKDAY(DATE(AñoCalendario,7,8),1),"ooo")</f>
        <v>vie</v>
      </c>
      <c r="J3" s="27" t="str">
        <f>TEXT(WEEKDAY(DATE(AñoCalendario,7,9),1),"ooo")</f>
        <v>sáb</v>
      </c>
      <c r="K3" s="27" t="str">
        <f>TEXT(WEEKDAY(DATE(AñoCalendario,7,10),1),"ooo")</f>
        <v>dom</v>
      </c>
      <c r="L3" s="27" t="str">
        <f>TEXT(WEEKDAY(DATE(AñoCalendario,7,11),1),"ooo")</f>
        <v>lun</v>
      </c>
      <c r="M3" s="27" t="str">
        <f>TEXT(WEEKDAY(DATE(AñoCalendario,7,12),1),"ooo")</f>
        <v>mar</v>
      </c>
      <c r="N3" s="27" t="str">
        <f>TEXT(WEEKDAY(DATE(AñoCalendario,7,13),1),"ooo")</f>
        <v>mié</v>
      </c>
      <c r="O3" s="27" t="str">
        <f>TEXT(WEEKDAY(DATE(AñoCalendario,7,14),1),"ooo")</f>
        <v>jue</v>
      </c>
      <c r="P3" s="27" t="str">
        <f>TEXT(WEEKDAY(DATE(AñoCalendario,7,15),1),"ooo")</f>
        <v>vie</v>
      </c>
      <c r="Q3" s="27" t="str">
        <f>TEXT(WEEKDAY(DATE(AñoCalendario,7,16),1),"ooo")</f>
        <v>sáb</v>
      </c>
      <c r="R3" s="27" t="str">
        <f>TEXT(WEEKDAY(DATE(AñoCalendario,7,17),1),"ooo")</f>
        <v>dom</v>
      </c>
      <c r="S3" s="27" t="str">
        <f>TEXT(WEEKDAY(DATE(AñoCalendario,7,18),1),"ooo")</f>
        <v>lun</v>
      </c>
      <c r="T3" s="27" t="str">
        <f>TEXT(WEEKDAY(DATE(AñoCalendario,7,19),1),"ooo")</f>
        <v>mar</v>
      </c>
      <c r="U3" s="27" t="str">
        <f>TEXT(WEEKDAY(DATE(AñoCalendario,7,20),1),"ooo")</f>
        <v>mié</v>
      </c>
      <c r="V3" s="27" t="str">
        <f>TEXT(WEEKDAY(DATE(AñoCalendario,7,21),1),"ooo")</f>
        <v>jue</v>
      </c>
      <c r="W3" s="27" t="str">
        <f>TEXT(WEEKDAY(DATE(AñoCalendario,7,22),1),"ooo")</f>
        <v>vie</v>
      </c>
      <c r="X3" s="27" t="str">
        <f>TEXT(WEEKDAY(DATE(AñoCalendario,7,23),1),"ooo")</f>
        <v>sáb</v>
      </c>
      <c r="Y3" s="27" t="str">
        <f>TEXT(WEEKDAY(DATE(AñoCalendario,7,24),1),"ooo")</f>
        <v>dom</v>
      </c>
      <c r="Z3" s="27" t="str">
        <f>TEXT(WEEKDAY(DATE(AñoCalendario,7,25),1),"ooo")</f>
        <v>lun</v>
      </c>
      <c r="AA3" s="27" t="str">
        <f>TEXT(WEEKDAY(DATE(AñoCalendario,7,26),1),"ooo")</f>
        <v>mar</v>
      </c>
      <c r="AB3" s="27" t="str">
        <f>TEXT(WEEKDAY(DATE(AñoCalendario,7,27),1),"ooo")</f>
        <v>mié</v>
      </c>
      <c r="AC3" s="27" t="str">
        <f>TEXT(WEEKDAY(DATE(AñoCalendario,7,28),1),"ooo")</f>
        <v>jue</v>
      </c>
      <c r="AD3" s="27" t="str">
        <f>TEXT(WEEKDAY(DATE(AñoCalendario,7,29),1),"ooo")</f>
        <v>vie</v>
      </c>
      <c r="AE3" s="27" t="str">
        <f>TEXT(WEEKDAY(DATE(AñoCalendario,7,30),1),"ooo")</f>
        <v>sáb</v>
      </c>
      <c r="AF3" s="27" t="str">
        <f>TEXT(WEEKDAY(DATE(AñoCalendario,7,31),1),"ooo")</f>
        <v>dom</v>
      </c>
      <c r="AG3" s="63"/>
    </row>
    <row r="4" spans="1:34" s="12" customFormat="1" x14ac:dyDescent="0.25">
      <c r="A4" s="35" t="s">
        <v>44</v>
      </c>
      <c r="B4" s="43" t="s">
        <v>41</v>
      </c>
      <c r="C4" s="43" t="s">
        <v>0</v>
      </c>
      <c r="D4" s="43" t="s">
        <v>1</v>
      </c>
      <c r="E4" s="43" t="s">
        <v>2</v>
      </c>
      <c r="F4" s="43" t="s">
        <v>3</v>
      </c>
      <c r="G4" s="43" t="s">
        <v>4</v>
      </c>
      <c r="H4" s="43" t="s">
        <v>5</v>
      </c>
      <c r="I4" s="43" t="s">
        <v>6</v>
      </c>
      <c r="J4" s="43" t="s">
        <v>7</v>
      </c>
      <c r="K4" s="43" t="s">
        <v>8</v>
      </c>
      <c r="L4" s="43" t="s">
        <v>9</v>
      </c>
      <c r="M4" s="43" t="s">
        <v>10</v>
      </c>
      <c r="N4" s="43" t="s">
        <v>11</v>
      </c>
      <c r="O4" s="43" t="s">
        <v>12</v>
      </c>
      <c r="P4" s="43" t="s">
        <v>13</v>
      </c>
      <c r="Q4" s="43" t="s">
        <v>14</v>
      </c>
      <c r="R4" s="43" t="s">
        <v>15</v>
      </c>
      <c r="S4" s="43" t="s">
        <v>16</v>
      </c>
      <c r="T4" s="43" t="s">
        <v>17</v>
      </c>
      <c r="U4" s="43" t="s">
        <v>18</v>
      </c>
      <c r="V4" s="43" t="s">
        <v>19</v>
      </c>
      <c r="W4" s="43" t="s">
        <v>20</v>
      </c>
      <c r="X4" s="43" t="s">
        <v>21</v>
      </c>
      <c r="Y4" s="43" t="s">
        <v>22</v>
      </c>
      <c r="Z4" s="43" t="s">
        <v>23</v>
      </c>
      <c r="AA4" s="43" t="s">
        <v>24</v>
      </c>
      <c r="AB4" s="43" t="s">
        <v>25</v>
      </c>
      <c r="AC4" s="43" t="s">
        <v>26</v>
      </c>
      <c r="AD4" s="16" t="s">
        <v>27</v>
      </c>
      <c r="AE4" s="43" t="s">
        <v>28</v>
      </c>
      <c r="AF4" s="43" t="s">
        <v>29</v>
      </c>
      <c r="AG4" s="43" t="s">
        <v>30</v>
      </c>
      <c r="AH4" s="11"/>
    </row>
    <row r="5" spans="1:34" s="12" customFormat="1" ht="30" x14ac:dyDescent="0.25">
      <c r="A5" s="42" t="s">
        <v>59</v>
      </c>
      <c r="B5" s="57" t="s">
        <v>55</v>
      </c>
      <c r="C5" s="43"/>
      <c r="D5" s="43"/>
      <c r="E5" s="57" t="s">
        <v>55</v>
      </c>
      <c r="F5" s="57" t="s">
        <v>55</v>
      </c>
      <c r="G5" s="57" t="s">
        <v>55</v>
      </c>
      <c r="H5" s="57" t="s">
        <v>55</v>
      </c>
      <c r="I5" s="57" t="s">
        <v>55</v>
      </c>
      <c r="J5" s="43"/>
      <c r="K5" s="43"/>
      <c r="L5" s="56" t="s">
        <v>57</v>
      </c>
      <c r="M5" s="56" t="s">
        <v>57</v>
      </c>
      <c r="N5" s="56" t="s">
        <v>57</v>
      </c>
      <c r="O5" s="56" t="s">
        <v>57</v>
      </c>
      <c r="P5" s="56" t="s">
        <v>57</v>
      </c>
      <c r="Q5" s="43"/>
      <c r="R5" s="43"/>
      <c r="S5" s="56" t="s">
        <v>57</v>
      </c>
      <c r="T5" s="56" t="s">
        <v>57</v>
      </c>
      <c r="U5" s="56" t="s">
        <v>57</v>
      </c>
      <c r="V5" s="56" t="s">
        <v>57</v>
      </c>
      <c r="W5" s="56" t="s">
        <v>57</v>
      </c>
      <c r="X5" s="43"/>
      <c r="Y5" s="43"/>
      <c r="Z5" s="43" t="s">
        <v>61</v>
      </c>
      <c r="AA5" s="43"/>
      <c r="AB5" s="43"/>
      <c r="AC5" s="43"/>
      <c r="AD5" s="43"/>
      <c r="AE5" s="43"/>
      <c r="AF5" s="43"/>
      <c r="AG5" s="10">
        <f>COUNTA(tblJulio[[#This Row],[1]:[29]])</f>
        <v>17</v>
      </c>
      <c r="AH5" s="11"/>
    </row>
    <row r="6" spans="1:34" s="12" customFormat="1" ht="30" x14ac:dyDescent="0.25">
      <c r="A6" s="42" t="s">
        <v>60</v>
      </c>
      <c r="B6" s="57" t="s">
        <v>55</v>
      </c>
      <c r="C6" s="43"/>
      <c r="D6" s="43"/>
      <c r="E6" s="57" t="s">
        <v>55</v>
      </c>
      <c r="F6" s="57" t="s">
        <v>55</v>
      </c>
      <c r="G6" s="57" t="s">
        <v>55</v>
      </c>
      <c r="H6" s="57" t="s">
        <v>55</v>
      </c>
      <c r="I6" s="57" t="s">
        <v>55</v>
      </c>
      <c r="J6" s="43"/>
      <c r="K6" s="43"/>
      <c r="L6" s="56" t="s">
        <v>57</v>
      </c>
      <c r="M6" s="56" t="s">
        <v>57</v>
      </c>
      <c r="N6" s="56" t="s">
        <v>57</v>
      </c>
      <c r="O6" s="56" t="s">
        <v>57</v>
      </c>
      <c r="P6" s="56" t="s">
        <v>57</v>
      </c>
      <c r="Q6" s="43"/>
      <c r="R6" s="43"/>
      <c r="S6" s="56" t="s">
        <v>57</v>
      </c>
      <c r="T6" s="56" t="s">
        <v>57</v>
      </c>
      <c r="U6" s="56" t="s">
        <v>57</v>
      </c>
      <c r="V6" s="56" t="s">
        <v>57</v>
      </c>
      <c r="W6" s="56" t="s">
        <v>57</v>
      </c>
      <c r="X6" s="43"/>
      <c r="Y6" s="43"/>
      <c r="Z6" s="43" t="s">
        <v>61</v>
      </c>
      <c r="AA6" s="43"/>
      <c r="AB6" s="43"/>
      <c r="AC6" s="43"/>
      <c r="AD6" s="43"/>
      <c r="AE6" s="43"/>
      <c r="AF6" s="43"/>
      <c r="AG6" s="10">
        <f>COUNTA(tblJulio[[#This Row],[1]:[29]])</f>
        <v>17</v>
      </c>
      <c r="AH6" s="11"/>
    </row>
    <row r="7" spans="1:34" ht="15" customHeight="1" x14ac:dyDescent="0.25">
      <c r="A7" s="36" t="str">
        <f>NombreMes&amp;" Total"</f>
        <v>Julio Total</v>
      </c>
      <c r="B7" s="10">
        <f>SUBTOTAL(103,tblJulio[1])</f>
        <v>2</v>
      </c>
      <c r="C7" s="10">
        <f>SUBTOTAL(103,tblJulio[2])</f>
        <v>0</v>
      </c>
      <c r="D7" s="10">
        <f>SUBTOTAL(103,tblJulio[3])</f>
        <v>0</v>
      </c>
      <c r="E7" s="10">
        <f>SUBTOTAL(103,tblJulio[4])</f>
        <v>2</v>
      </c>
      <c r="F7" s="10">
        <f>SUBTOTAL(103,tblJulio[5])</f>
        <v>2</v>
      </c>
      <c r="G7" s="10">
        <f>SUBTOTAL(103,tblJulio[6])</f>
        <v>2</v>
      </c>
      <c r="H7" s="10">
        <f>SUBTOTAL(103,tblJulio[7])</f>
        <v>2</v>
      </c>
      <c r="I7" s="10">
        <f>SUBTOTAL(103,tblJulio[8])</f>
        <v>2</v>
      </c>
      <c r="J7" s="10">
        <f>SUBTOTAL(103,tblJulio[9])</f>
        <v>0</v>
      </c>
      <c r="K7" s="10">
        <f>SUBTOTAL(103,tblJulio[10])</f>
        <v>0</v>
      </c>
      <c r="L7" s="10">
        <f>SUBTOTAL(103,tblJulio[11])</f>
        <v>2</v>
      </c>
      <c r="M7" s="10">
        <f>SUBTOTAL(103,tblJulio[12])</f>
        <v>2</v>
      </c>
      <c r="N7" s="10">
        <f>SUBTOTAL(103,tblJulio[13])</f>
        <v>2</v>
      </c>
      <c r="O7" s="10">
        <f>SUBTOTAL(103,tblJulio[14])</f>
        <v>2</v>
      </c>
      <c r="P7" s="10">
        <f>SUBTOTAL(103,tblJulio[15])</f>
        <v>2</v>
      </c>
      <c r="Q7" s="10">
        <f>SUBTOTAL(103,tblJulio[16])</f>
        <v>0</v>
      </c>
      <c r="R7" s="10">
        <f>SUBTOTAL(103,tblJulio[17])</f>
        <v>0</v>
      </c>
      <c r="S7" s="10">
        <f>SUBTOTAL(103,tblJulio[18])</f>
        <v>2</v>
      </c>
      <c r="T7" s="10">
        <f>SUBTOTAL(103,tblJulio[19])</f>
        <v>2</v>
      </c>
      <c r="U7" s="10">
        <f>SUBTOTAL(103,tblJulio[20])</f>
        <v>2</v>
      </c>
      <c r="V7" s="10">
        <f>SUBTOTAL(103,tblJulio[21])</f>
        <v>2</v>
      </c>
      <c r="W7" s="10">
        <f>SUBTOTAL(103,tblJulio[22])</f>
        <v>2</v>
      </c>
      <c r="X7" s="10">
        <f>SUBTOTAL(103,tblJulio[23])</f>
        <v>0</v>
      </c>
      <c r="Y7" s="10">
        <f>SUBTOTAL(103,tblJulio[24])</f>
        <v>0</v>
      </c>
      <c r="Z7" s="10">
        <f>SUBTOTAL(103,tblJulio[25])</f>
        <v>2</v>
      </c>
      <c r="AA7" s="10">
        <f>SUBTOTAL(103,tblJulio[26])</f>
        <v>0</v>
      </c>
      <c r="AB7" s="10">
        <f>SUBTOTAL(103,tblJulio[27])</f>
        <v>0</v>
      </c>
      <c r="AC7" s="10">
        <f>SUBTOTAL(103,tblJulio[28])</f>
        <v>0</v>
      </c>
      <c r="AD7" s="10">
        <f>SUBTOTAL(103,tblJulio[29])</f>
        <v>0</v>
      </c>
      <c r="AE7" s="10"/>
      <c r="AF7" s="10"/>
      <c r="AG7" s="10">
        <f>SUBTOTAL(109,tblJulio[Total de días])</f>
        <v>34</v>
      </c>
    </row>
    <row r="8" spans="1:34" ht="15" customHeight="1" x14ac:dyDescent="0.25">
      <c r="A8" s="62"/>
      <c r="B8" s="62"/>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row>
    <row r="9" spans="1:34" s="14" customFormat="1" ht="15" customHeight="1" x14ac:dyDescent="0.25">
      <c r="A9" s="40" t="s">
        <v>34</v>
      </c>
      <c r="B9" s="40"/>
      <c r="C9" s="40"/>
      <c r="D9" s="40"/>
      <c r="E9" s="41"/>
      <c r="F9" s="21" t="s">
        <v>45</v>
      </c>
      <c r="G9" s="37" t="s">
        <v>46</v>
      </c>
      <c r="H9" s="38"/>
      <c r="I9" s="38"/>
      <c r="J9" s="22" t="s">
        <v>47</v>
      </c>
      <c r="K9" s="37" t="s">
        <v>50</v>
      </c>
      <c r="L9" s="38"/>
      <c r="M9" s="38"/>
      <c r="N9" s="23" t="s">
        <v>48</v>
      </c>
      <c r="O9" s="37" t="s">
        <v>51</v>
      </c>
      <c r="P9" s="39"/>
      <c r="Q9" s="38"/>
      <c r="R9" s="24" t="s">
        <v>49</v>
      </c>
      <c r="S9" s="37" t="s">
        <v>52</v>
      </c>
      <c r="T9" s="38"/>
      <c r="U9" s="39"/>
      <c r="V9" s="44" t="s">
        <v>53</v>
      </c>
      <c r="W9" s="37" t="s">
        <v>54</v>
      </c>
      <c r="X9" s="39"/>
      <c r="Y9" s="38"/>
      <c r="Z9" s="45" t="s">
        <v>55</v>
      </c>
      <c r="AA9" s="37" t="s">
        <v>56</v>
      </c>
      <c r="AB9" s="38"/>
      <c r="AC9" s="39"/>
      <c r="AD9" s="46" t="s">
        <v>57</v>
      </c>
      <c r="AE9" s="37" t="s">
        <v>58</v>
      </c>
      <c r="AF9" s="38"/>
      <c r="AG9" s="39"/>
    </row>
  </sheetData>
  <mergeCells count="4">
    <mergeCell ref="A2:A3"/>
    <mergeCell ref="B2:AF2"/>
    <mergeCell ref="AG2:AG3"/>
    <mergeCell ref="A8:AG8"/>
  </mergeCells>
  <conditionalFormatting sqref="B5:AF6">
    <cfRule type="expression" priority="1" stopIfTrue="1">
      <formula>B5=""</formula>
    </cfRule>
  </conditionalFormatting>
  <conditionalFormatting sqref="B5:AF6">
    <cfRule type="expression" dxfId="69" priority="2" stopIfTrue="1">
      <formula>B5=ClavePersonalizada2</formula>
    </cfRule>
    <cfRule type="expression" dxfId="68" priority="3" stopIfTrue="1">
      <formula>B5=ClavePersonalizada1</formula>
    </cfRule>
    <cfRule type="expression" dxfId="67" priority="4" stopIfTrue="1">
      <formula>B5=ClaveEnfermedad</formula>
    </cfRule>
    <cfRule type="expression" dxfId="66" priority="5" stopIfTrue="1">
      <formula>B5=ClavePersonal</formula>
    </cfRule>
    <cfRule type="expression" dxfId="65" priority="6" stopIfTrue="1">
      <formula>B5=ClaveVacaciones</formula>
    </cfRule>
  </conditionalFormatting>
  <conditionalFormatting sqref="AG5:AG6">
    <cfRule type="dataBar" priority="37">
      <dataBar>
        <cfvo type="min"/>
        <cfvo type="formula" val="DATEDIF(DATE(AñoCalendario,2,1),DATE(AñoCalendario,3,1),&quot;d&quot;)"/>
        <color theme="2" tint="-0.249977111117893"/>
      </dataBar>
      <extLst>
        <ext xmlns:x14="http://schemas.microsoft.com/office/spreadsheetml/2009/9/main" uri="{B025F937-C7B1-47D3-B67F-A62EFF666E3E}">
          <x14:id>{15FE6D65-ECEC-46F2-A3C1-0385AFBC7710}</x14:id>
        </ext>
      </extLst>
    </cfRule>
  </conditionalFormatting>
  <pageMargins left="0.25" right="0.25" top="0.75" bottom="0.75" header="0.3" footer="0.3"/>
  <pageSetup scale="80" fitToHeight="0"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5FE6D65-ECEC-46F2-A3C1-0385AFBC7710}">
            <x14:dataBar minLength="0" maxLength="100">
              <x14:cfvo type="autoMin"/>
              <x14:cfvo type="formula">
                <xm:f>DATEDIF(DATE(AñoCalendario,2,1),DATE(AñoCalendario,3,1),"d")</xm:f>
              </x14:cfvo>
              <x14:negativeFillColor rgb="FFFF0000"/>
              <x14:axisColor rgb="FF000000"/>
            </x14:dataBar>
          </x14:cfRule>
          <xm:sqref>AG5:AG6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2B7C6AD-4757-4354-B044-7DF1C9BC9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16</vt:i4>
      </vt:variant>
    </vt:vector>
  </HeadingPairs>
  <TitlesOfParts>
    <vt:vector size="23" baseType="lpstr">
      <vt:lpstr>Enero</vt:lpstr>
      <vt:lpstr>Febrero</vt:lpstr>
      <vt:lpstr>Marzo</vt:lpstr>
      <vt:lpstr>Abril</vt:lpstr>
      <vt:lpstr>Mayo</vt:lpstr>
      <vt:lpstr>Junio</vt:lpstr>
      <vt:lpstr>Julio</vt:lpstr>
      <vt:lpstr>AñoCalendario</vt:lpstr>
      <vt:lpstr>ClaveEnfermedad</vt:lpstr>
      <vt:lpstr>ClavePersonal</vt:lpstr>
      <vt:lpstr>ClavePersonalizada1</vt:lpstr>
      <vt:lpstr>ClavePersonalizada2</vt:lpstr>
      <vt:lpstr>EtiquetaClaveEnfermedad</vt:lpstr>
      <vt:lpstr>EtiquetaClavePersonal</vt:lpstr>
      <vt:lpstr>EtiquetaClavePersonalizada1</vt:lpstr>
      <vt:lpstr>EtiquetaClavePersonalizada2</vt:lpstr>
      <vt:lpstr>Abril!NombreMes</vt:lpstr>
      <vt:lpstr>Enero!NombreMes</vt:lpstr>
      <vt:lpstr>Febrero!NombreMes</vt:lpstr>
      <vt:lpstr>Julio!NombreMes</vt:lpstr>
      <vt:lpstr>Junio!NombreMes</vt:lpstr>
      <vt:lpstr>Marzo!NombreMes</vt:lpstr>
      <vt:lpstr>Mayo!NombreMes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Ing. Priscila</dc:creator>
  <cp:keywords/>
  <cp:lastModifiedBy>Ing. Priscila</cp:lastModifiedBy>
  <dcterms:created xsi:type="dcterms:W3CDTF">2016-01-28T07:36:07Z</dcterms:created>
  <dcterms:modified xsi:type="dcterms:W3CDTF">2016-02-05T05:59:12Z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TC039871679991</vt:lpwstr>
  </property>
</Properties>
</file>