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2"/>
  </bookViews>
  <sheets>
    <sheet name="Portada" sheetId="11" r:id="rId1"/>
    <sheet name=" Momento Dos" sheetId="8" r:id="rId2"/>
    <sheet name="punto de equilibrio" sheetId="9" r:id="rId3"/>
    <sheet name="Estados Financieros" sheetId="10" r:id="rId4"/>
  </sheets>
  <calcPr calcId="144525" concurrentCalc="0"/>
</workbook>
</file>

<file path=xl/calcChain.xml><?xml version="1.0" encoding="utf-8"?>
<calcChain xmlns="http://schemas.openxmlformats.org/spreadsheetml/2006/main">
  <c r="C80" i="8" l="1"/>
  <c r="A98" i="8"/>
  <c r="D80" i="8"/>
  <c r="E80" i="8"/>
  <c r="E104" i="8"/>
  <c r="E105" i="8"/>
  <c r="C77" i="8"/>
  <c r="C78" i="8"/>
  <c r="C79" i="8"/>
  <c r="C81" i="8"/>
  <c r="C82" i="8"/>
  <c r="C83" i="8"/>
  <c r="D77" i="8"/>
  <c r="D78" i="8"/>
  <c r="D79" i="8"/>
  <c r="D81" i="8"/>
  <c r="D82" i="8"/>
  <c r="D83" i="8"/>
  <c r="E77" i="8"/>
  <c r="E78" i="8"/>
  <c r="E79" i="8"/>
  <c r="E81" i="8"/>
  <c r="E82" i="8"/>
  <c r="E83" i="8"/>
  <c r="E205" i="8"/>
  <c r="E203" i="8"/>
  <c r="E204" i="8"/>
  <c r="E206" i="8"/>
  <c r="B229" i="8"/>
  <c r="B232" i="8"/>
  <c r="E179" i="8"/>
  <c r="E181" i="8"/>
  <c r="E180" i="8"/>
  <c r="E182" i="8"/>
  <c r="E183" i="8"/>
  <c r="E184" i="8"/>
  <c r="B223" i="8"/>
  <c r="C172" i="8"/>
  <c r="E172" i="8"/>
  <c r="C171" i="8"/>
  <c r="D171" i="8"/>
  <c r="E171" i="8"/>
  <c r="C170" i="8"/>
  <c r="D170" i="8"/>
  <c r="E170" i="8"/>
  <c r="C173" i="8"/>
  <c r="D173" i="8"/>
  <c r="E173" i="8"/>
  <c r="E174" i="8"/>
  <c r="B222" i="8"/>
  <c r="D19" i="8"/>
  <c r="D20" i="8"/>
  <c r="D21" i="8"/>
  <c r="D22" i="8"/>
  <c r="D23" i="8"/>
  <c r="D24" i="8"/>
  <c r="C195" i="8"/>
  <c r="D195" i="8"/>
  <c r="D196" i="8"/>
  <c r="D72" i="8"/>
  <c r="C190" i="8"/>
  <c r="D190" i="8"/>
  <c r="D191" i="8"/>
  <c r="D197" i="8"/>
  <c r="B224" i="8"/>
  <c r="D49" i="8"/>
  <c r="C155" i="8"/>
  <c r="B155" i="8"/>
  <c r="D155" i="8"/>
  <c r="D50" i="8"/>
  <c r="C156" i="8"/>
  <c r="B156" i="8"/>
  <c r="D156" i="8"/>
  <c r="D51" i="8"/>
  <c r="C157" i="8"/>
  <c r="B157" i="8"/>
  <c r="D157" i="8"/>
  <c r="D52" i="8"/>
  <c r="C158" i="8"/>
  <c r="B158" i="8"/>
  <c r="D158" i="8"/>
  <c r="D53" i="8"/>
  <c r="C159" i="8"/>
  <c r="B159" i="8"/>
  <c r="D159" i="8"/>
  <c r="D54" i="8"/>
  <c r="C160" i="8"/>
  <c r="B160" i="8"/>
  <c r="D160" i="8"/>
  <c r="D55" i="8"/>
  <c r="C161" i="8"/>
  <c r="B161" i="8"/>
  <c r="D161" i="8"/>
  <c r="D56" i="8"/>
  <c r="C162" i="8"/>
  <c r="B162" i="8"/>
  <c r="D162" i="8"/>
  <c r="D57" i="8"/>
  <c r="C163" i="8"/>
  <c r="B163" i="8"/>
  <c r="D163" i="8"/>
  <c r="D164" i="8"/>
  <c r="B225" i="8"/>
  <c r="B226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D149" i="8"/>
  <c r="B216" i="8"/>
  <c r="B219" i="8"/>
  <c r="B234" i="8"/>
  <c r="B240" i="8"/>
  <c r="C212" i="8"/>
  <c r="E115" i="8"/>
  <c r="C214" i="8"/>
  <c r="E117" i="8"/>
  <c r="E118" i="8"/>
  <c r="E119" i="8"/>
  <c r="E120" i="8"/>
  <c r="E121" i="8"/>
  <c r="C215" i="8"/>
  <c r="E128" i="8"/>
  <c r="E129" i="8"/>
  <c r="E130" i="8"/>
  <c r="E131" i="8"/>
  <c r="E132" i="8"/>
  <c r="E133" i="8"/>
  <c r="E134" i="8"/>
  <c r="E135" i="8"/>
  <c r="C217" i="8"/>
  <c r="C219" i="8"/>
  <c r="C234" i="8"/>
  <c r="B239" i="8"/>
  <c r="B242" i="8"/>
  <c r="B238" i="8"/>
  <c r="B243" i="8"/>
  <c r="A251" i="8"/>
  <c r="A248" i="8"/>
  <c r="A250" i="8"/>
  <c r="A254" i="8"/>
  <c r="A249" i="8"/>
  <c r="A253" i="8"/>
  <c r="B254" i="8"/>
  <c r="C254" i="8"/>
  <c r="D254" i="8"/>
  <c r="E254" i="8"/>
  <c r="A252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G142" i="8"/>
  <c r="H142" i="8"/>
  <c r="E142" i="8"/>
  <c r="F142" i="8"/>
  <c r="I142" i="8"/>
  <c r="E141" i="8"/>
  <c r="F141" i="8"/>
  <c r="G141" i="8"/>
  <c r="H141" i="8"/>
  <c r="I141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C532" i="8"/>
  <c r="J348" i="8"/>
  <c r="J345" i="8"/>
  <c r="J346" i="8"/>
  <c r="J347" i="8"/>
  <c r="J349" i="8"/>
  <c r="B349" i="8"/>
  <c r="F345" i="8"/>
  <c r="F346" i="8"/>
  <c r="F347" i="8"/>
  <c r="F348" i="8"/>
  <c r="B348" i="8"/>
  <c r="B350" i="8"/>
  <c r="B353" i="8"/>
  <c r="B356" i="8"/>
  <c r="B358" i="8"/>
  <c r="B357" i="8"/>
  <c r="B359" i="8"/>
  <c r="B362" i="8"/>
  <c r="B363" i="8"/>
  <c r="B403" i="8"/>
  <c r="B441" i="8"/>
  <c r="C533" i="8"/>
  <c r="D29" i="8"/>
  <c r="D30" i="8"/>
  <c r="D31" i="8"/>
  <c r="D32" i="8"/>
  <c r="D33" i="8"/>
  <c r="D34" i="8"/>
  <c r="D35" i="8"/>
  <c r="D36" i="8"/>
  <c r="C526" i="8"/>
  <c r="D58" i="8"/>
  <c r="C528" i="8"/>
  <c r="C529" i="8"/>
  <c r="C531" i="8"/>
  <c r="C534" i="8"/>
  <c r="B606" i="8"/>
  <c r="B608" i="8"/>
  <c r="I164" i="8"/>
  <c r="G454" i="8"/>
  <c r="B435" i="8"/>
  <c r="B436" i="8"/>
  <c r="B437" i="8"/>
  <c r="B438" i="8"/>
  <c r="B439" i="8"/>
  <c r="B445" i="8"/>
  <c r="B446" i="8"/>
  <c r="B447" i="8"/>
  <c r="I149" i="8"/>
  <c r="G453" i="8"/>
  <c r="G458" i="8"/>
  <c r="B367" i="8"/>
  <c r="B368" i="8"/>
  <c r="B370" i="8"/>
  <c r="B371" i="8"/>
  <c r="G459" i="8"/>
  <c r="G460" i="8"/>
  <c r="G461" i="8"/>
  <c r="G518" i="8"/>
  <c r="B517" i="8"/>
  <c r="C378" i="8"/>
  <c r="C380" i="8"/>
  <c r="C517" i="8"/>
  <c r="D517" i="8"/>
  <c r="E517" i="8"/>
  <c r="F517" i="8"/>
  <c r="G517" i="8"/>
  <c r="G519" i="8"/>
  <c r="G606" i="8"/>
  <c r="B466" i="8"/>
  <c r="B591" i="8"/>
  <c r="C591" i="8"/>
  <c r="F591" i="8"/>
  <c r="B592" i="8"/>
  <c r="C592" i="8"/>
  <c r="D592" i="8"/>
  <c r="E592" i="8"/>
  <c r="F592" i="8"/>
  <c r="F594" i="8"/>
  <c r="F595" i="8"/>
  <c r="F597" i="8"/>
  <c r="F599" i="8"/>
  <c r="B598" i="8"/>
  <c r="F598" i="8"/>
  <c r="F600" i="8"/>
  <c r="G607" i="8"/>
  <c r="G608" i="8"/>
  <c r="B541" i="8"/>
  <c r="B542" i="8"/>
  <c r="B545" i="8"/>
  <c r="C552" i="8"/>
  <c r="B547" i="8"/>
  <c r="F552" i="8"/>
  <c r="D552" i="8"/>
  <c r="E552" i="8"/>
  <c r="G552" i="8"/>
  <c r="C553" i="8"/>
  <c r="D553" i="8"/>
  <c r="B564" i="8"/>
  <c r="B568" i="8"/>
  <c r="B567" i="8"/>
  <c r="G655" i="8"/>
  <c r="B616" i="8"/>
  <c r="B654" i="8"/>
  <c r="C389" i="8"/>
  <c r="C391" i="8"/>
  <c r="C446" i="8"/>
  <c r="D533" i="8"/>
  <c r="D534" i="8"/>
  <c r="C606" i="8"/>
  <c r="C616" i="8"/>
  <c r="C618" i="8"/>
  <c r="C654" i="8"/>
  <c r="D654" i="8"/>
  <c r="E654" i="8"/>
  <c r="F654" i="8"/>
  <c r="G654" i="8"/>
  <c r="E553" i="8"/>
  <c r="G553" i="8"/>
  <c r="C554" i="8"/>
  <c r="D554" i="8"/>
  <c r="E554" i="8"/>
  <c r="G554" i="8"/>
  <c r="C555" i="8"/>
  <c r="D555" i="8"/>
  <c r="E555" i="8"/>
  <c r="G555" i="8"/>
  <c r="C556" i="8"/>
  <c r="D556" i="8"/>
  <c r="E556" i="8"/>
  <c r="B579" i="8"/>
  <c r="F585" i="8"/>
  <c r="G657" i="8"/>
  <c r="G658" i="8"/>
  <c r="D616" i="8"/>
  <c r="E616" i="8"/>
  <c r="F616" i="8"/>
  <c r="G616" i="8"/>
  <c r="B478" i="8"/>
  <c r="B480" i="8"/>
  <c r="B481" i="8"/>
  <c r="J390" i="8"/>
  <c r="D389" i="8"/>
  <c r="D390" i="8"/>
  <c r="B406" i="8"/>
  <c r="B389" i="8"/>
  <c r="B391" i="8"/>
  <c r="B394" i="8"/>
  <c r="B395" i="8"/>
  <c r="C403" i="8"/>
  <c r="B407" i="8"/>
  <c r="D407" i="8"/>
  <c r="C416" i="8"/>
  <c r="C415" i="8"/>
  <c r="B396" i="8"/>
  <c r="C235" i="8"/>
  <c r="K425" i="8"/>
  <c r="J425" i="8"/>
  <c r="B397" i="8"/>
  <c r="B241" i="8"/>
  <c r="C594" i="8"/>
  <c r="C595" i="8"/>
  <c r="C597" i="8"/>
  <c r="C599" i="8"/>
  <c r="C598" i="8"/>
  <c r="C600" i="8"/>
  <c r="D607" i="8"/>
  <c r="D606" i="8"/>
  <c r="D608" i="8"/>
  <c r="D591" i="8"/>
  <c r="D594" i="8"/>
  <c r="D595" i="8"/>
  <c r="D597" i="8"/>
  <c r="D599" i="8"/>
  <c r="D598" i="8"/>
  <c r="D600" i="8"/>
  <c r="E607" i="8"/>
  <c r="E606" i="8"/>
  <c r="E608" i="8"/>
  <c r="E591" i="8"/>
  <c r="E594" i="8"/>
  <c r="E595" i="8"/>
  <c r="E597" i="8"/>
  <c r="E599" i="8"/>
  <c r="E598" i="8"/>
  <c r="E600" i="8"/>
  <c r="F607" i="8"/>
  <c r="F606" i="8"/>
  <c r="F608" i="8"/>
  <c r="B594" i="8"/>
  <c r="B595" i="8"/>
  <c r="B597" i="8"/>
  <c r="B599" i="8"/>
  <c r="B600" i="8"/>
  <c r="C607" i="8"/>
  <c r="C608" i="8"/>
  <c r="B624" i="8"/>
  <c r="B664" i="8"/>
  <c r="B625" i="8"/>
  <c r="B665" i="8"/>
  <c r="B667" i="8"/>
  <c r="B584" i="8"/>
  <c r="B668" i="8"/>
  <c r="B670" i="8"/>
  <c r="B671" i="8"/>
  <c r="B673" i="8"/>
  <c r="B635" i="8"/>
  <c r="B675" i="8"/>
  <c r="B634" i="8"/>
  <c r="B674" i="8"/>
  <c r="B677" i="8"/>
  <c r="C684" i="8"/>
  <c r="B575" i="8"/>
  <c r="B585" i="8"/>
  <c r="C657" i="8"/>
  <c r="C658" i="8"/>
  <c r="C683" i="8"/>
  <c r="C686" i="8"/>
  <c r="C624" i="8"/>
  <c r="C664" i="8"/>
  <c r="C625" i="8"/>
  <c r="C665" i="8"/>
  <c r="C667" i="8"/>
  <c r="C584" i="8"/>
  <c r="C668" i="8"/>
  <c r="C670" i="8"/>
  <c r="C671" i="8"/>
  <c r="C673" i="8"/>
  <c r="C675" i="8"/>
  <c r="C674" i="8"/>
  <c r="C677" i="8"/>
  <c r="D684" i="8"/>
  <c r="B576" i="8"/>
  <c r="C585" i="8"/>
  <c r="D657" i="8"/>
  <c r="D658" i="8"/>
  <c r="D683" i="8"/>
  <c r="D686" i="8"/>
  <c r="D624" i="8"/>
  <c r="D664" i="8"/>
  <c r="D625" i="8"/>
  <c r="D665" i="8"/>
  <c r="D667" i="8"/>
  <c r="B577" i="8"/>
  <c r="D585" i="8"/>
  <c r="D668" i="8"/>
  <c r="D670" i="8"/>
  <c r="D671" i="8"/>
  <c r="D673" i="8"/>
  <c r="D675" i="8"/>
  <c r="D674" i="8"/>
  <c r="D677" i="8"/>
  <c r="E684" i="8"/>
  <c r="E657" i="8"/>
  <c r="E658" i="8"/>
  <c r="E683" i="8"/>
  <c r="E686" i="8"/>
  <c r="E624" i="8"/>
  <c r="E664" i="8"/>
  <c r="E625" i="8"/>
  <c r="E665" i="8"/>
  <c r="E667" i="8"/>
  <c r="B570" i="8"/>
  <c r="E584" i="8"/>
  <c r="E668" i="8"/>
  <c r="E670" i="8"/>
  <c r="E671" i="8"/>
  <c r="E673" i="8"/>
  <c r="E675" i="8"/>
  <c r="E674" i="8"/>
  <c r="E677" i="8"/>
  <c r="F684" i="8"/>
  <c r="B578" i="8"/>
  <c r="E585" i="8"/>
  <c r="F657" i="8"/>
  <c r="F658" i="8"/>
  <c r="F683" i="8"/>
  <c r="F686" i="8"/>
  <c r="F624" i="8"/>
  <c r="F664" i="8"/>
  <c r="F625" i="8"/>
  <c r="F665" i="8"/>
  <c r="F667" i="8"/>
  <c r="B571" i="8"/>
  <c r="F584" i="8"/>
  <c r="F668" i="8"/>
  <c r="F670" i="8"/>
  <c r="F671" i="8"/>
  <c r="F673" i="8"/>
  <c r="F675" i="8"/>
  <c r="F674" i="8"/>
  <c r="F677" i="8"/>
  <c r="G684" i="8"/>
  <c r="G683" i="8"/>
  <c r="G686" i="8"/>
  <c r="B627" i="8"/>
  <c r="B628" i="8"/>
  <c r="B630" i="8"/>
  <c r="B631" i="8"/>
  <c r="B633" i="8"/>
  <c r="B637" i="8"/>
  <c r="C644" i="8"/>
  <c r="C643" i="8"/>
  <c r="C646" i="8"/>
  <c r="C627" i="8"/>
  <c r="C628" i="8"/>
  <c r="C630" i="8"/>
  <c r="C631" i="8"/>
  <c r="C633" i="8"/>
  <c r="C635" i="8"/>
  <c r="C634" i="8"/>
  <c r="C637" i="8"/>
  <c r="D644" i="8"/>
  <c r="D643" i="8"/>
  <c r="D646" i="8"/>
  <c r="D627" i="8"/>
  <c r="B569" i="8"/>
  <c r="D584" i="8"/>
  <c r="D628" i="8"/>
  <c r="D630" i="8"/>
  <c r="D631" i="8"/>
  <c r="D633" i="8"/>
  <c r="D635" i="8"/>
  <c r="D634" i="8"/>
  <c r="D637" i="8"/>
  <c r="E644" i="8"/>
  <c r="E643" i="8"/>
  <c r="E646" i="8"/>
  <c r="E627" i="8"/>
  <c r="E628" i="8"/>
  <c r="E630" i="8"/>
  <c r="E631" i="8"/>
  <c r="E633" i="8"/>
  <c r="E635" i="8"/>
  <c r="E634" i="8"/>
  <c r="E637" i="8"/>
  <c r="F644" i="8"/>
  <c r="F643" i="8"/>
  <c r="F646" i="8"/>
  <c r="F627" i="8"/>
  <c r="F628" i="8"/>
  <c r="F630" i="8"/>
  <c r="F631" i="8"/>
  <c r="F633" i="8"/>
  <c r="F635" i="8"/>
  <c r="F634" i="8"/>
  <c r="F637" i="8"/>
  <c r="G644" i="8"/>
  <c r="G643" i="8"/>
  <c r="G646" i="8"/>
  <c r="D45" i="10"/>
  <c r="D46" i="10"/>
  <c r="D47" i="10"/>
  <c r="B48" i="10"/>
  <c r="B49" i="10"/>
  <c r="D50" i="10"/>
  <c r="D51" i="10"/>
  <c r="D52" i="10"/>
  <c r="D53" i="10"/>
  <c r="D54" i="10"/>
  <c r="D55" i="10"/>
  <c r="B29" i="10"/>
  <c r="C30" i="10"/>
  <c r="B614" i="8"/>
  <c r="B652" i="8"/>
  <c r="B656" i="8"/>
  <c r="B658" i="8"/>
  <c r="B34" i="10"/>
  <c r="C35" i="10"/>
  <c r="D37" i="10"/>
  <c r="B6" i="10"/>
  <c r="C9" i="10"/>
  <c r="B13" i="10"/>
  <c r="B15" i="10"/>
  <c r="C17" i="10"/>
  <c r="B21" i="10"/>
  <c r="B22" i="10"/>
  <c r="C23" i="10"/>
  <c r="D25" i="10"/>
  <c r="C32" i="9"/>
  <c r="C31" i="9"/>
  <c r="C30" i="9"/>
  <c r="C29" i="9"/>
  <c r="C28" i="9"/>
  <c r="C27" i="9"/>
  <c r="C20" i="9"/>
  <c r="C18" i="9"/>
  <c r="C19" i="9"/>
  <c r="C22" i="9"/>
  <c r="C23" i="9"/>
  <c r="F14" i="9"/>
  <c r="E14" i="9"/>
  <c r="D14" i="9"/>
  <c r="C14" i="9"/>
  <c r="B14" i="9"/>
  <c r="E253" i="8"/>
  <c r="F13" i="9"/>
  <c r="C253" i="8"/>
  <c r="B253" i="8"/>
  <c r="D253" i="8"/>
  <c r="E13" i="9"/>
  <c r="D13" i="9"/>
  <c r="C13" i="9"/>
  <c r="B13" i="9"/>
  <c r="E252" i="8"/>
  <c r="F12" i="9"/>
  <c r="C252" i="8"/>
  <c r="B252" i="8"/>
  <c r="D252" i="8"/>
  <c r="E12" i="9"/>
  <c r="D12" i="9"/>
  <c r="C12" i="9"/>
  <c r="B12" i="9"/>
  <c r="E251" i="8"/>
  <c r="F11" i="9"/>
  <c r="C251" i="8"/>
  <c r="B251" i="8"/>
  <c r="D251" i="8"/>
  <c r="E11" i="9"/>
  <c r="D11" i="9"/>
  <c r="C11" i="9"/>
  <c r="B11" i="9"/>
  <c r="E250" i="8"/>
  <c r="F10" i="9"/>
  <c r="C250" i="8"/>
  <c r="B250" i="8"/>
  <c r="D250" i="8"/>
  <c r="E10" i="9"/>
  <c r="D10" i="9"/>
  <c r="C10" i="9"/>
  <c r="B10" i="9"/>
  <c r="E249" i="8"/>
  <c r="F9" i="9"/>
  <c r="C249" i="8"/>
  <c r="B249" i="8"/>
  <c r="D249" i="8"/>
  <c r="E9" i="9"/>
  <c r="D9" i="9"/>
  <c r="C9" i="9"/>
  <c r="B9" i="9"/>
  <c r="E248" i="8"/>
  <c r="F8" i="9"/>
  <c r="C248" i="8"/>
  <c r="B248" i="8"/>
  <c r="D248" i="8"/>
  <c r="E8" i="9"/>
  <c r="D8" i="9"/>
  <c r="C8" i="9"/>
  <c r="B8" i="9"/>
  <c r="E247" i="8"/>
  <c r="F7" i="9"/>
  <c r="C247" i="8"/>
  <c r="B247" i="8"/>
  <c r="D247" i="8"/>
  <c r="E7" i="9"/>
  <c r="D7" i="9"/>
  <c r="C7" i="9"/>
  <c r="B7" i="9"/>
  <c r="D44" i="8"/>
  <c r="E123" i="8"/>
  <c r="E149" i="8"/>
  <c r="F149" i="8"/>
  <c r="G149" i="8"/>
  <c r="H149" i="8"/>
  <c r="C164" i="8"/>
  <c r="E164" i="8"/>
  <c r="F164" i="8"/>
  <c r="G164" i="8"/>
  <c r="H164" i="8"/>
  <c r="B174" i="8"/>
  <c r="C174" i="8"/>
  <c r="D174" i="8"/>
  <c r="E190" i="8"/>
  <c r="F190" i="8"/>
  <c r="G190" i="8"/>
  <c r="H190" i="8"/>
  <c r="E191" i="8"/>
  <c r="F191" i="8"/>
  <c r="G191" i="8"/>
  <c r="H191" i="8"/>
  <c r="E195" i="8"/>
  <c r="F195" i="8"/>
  <c r="G195" i="8"/>
  <c r="H195" i="8"/>
  <c r="E196" i="8"/>
  <c r="F196" i="8"/>
  <c r="G196" i="8"/>
  <c r="H196" i="8"/>
  <c r="C197" i="8"/>
  <c r="E197" i="8"/>
  <c r="F197" i="8"/>
  <c r="G197" i="8"/>
  <c r="H197" i="8"/>
  <c r="A238" i="8"/>
  <c r="B267" i="8"/>
  <c r="C267" i="8"/>
  <c r="D267" i="8"/>
  <c r="B277" i="8"/>
  <c r="B279" i="8"/>
  <c r="D279" i="8"/>
  <c r="B280" i="8"/>
  <c r="D280" i="8"/>
  <c r="B281" i="8"/>
  <c r="D281" i="8"/>
  <c r="D282" i="8"/>
  <c r="B287" i="8"/>
  <c r="C287" i="8"/>
  <c r="D287" i="8"/>
  <c r="B288" i="8"/>
  <c r="C288" i="8"/>
  <c r="D288" i="8"/>
  <c r="B289" i="8"/>
  <c r="C289" i="8"/>
  <c r="D289" i="8"/>
  <c r="E290" i="8"/>
  <c r="E291" i="8"/>
  <c r="E292" i="8"/>
  <c r="E293" i="8"/>
  <c r="E294" i="8"/>
  <c r="B299" i="8"/>
  <c r="C299" i="8"/>
  <c r="D299" i="8"/>
  <c r="E299" i="8"/>
  <c r="B300" i="8"/>
  <c r="C300" i="8"/>
  <c r="D300" i="8"/>
  <c r="E300" i="8"/>
  <c r="B301" i="8"/>
  <c r="C301" i="8"/>
  <c r="D301" i="8"/>
  <c r="E301" i="8"/>
  <c r="B302" i="8"/>
  <c r="C302" i="8"/>
  <c r="D302" i="8"/>
  <c r="E302" i="8"/>
  <c r="C306" i="8"/>
  <c r="D306" i="8"/>
  <c r="C308" i="8"/>
  <c r="B313" i="8"/>
  <c r="C313" i="8"/>
  <c r="D313" i="8"/>
  <c r="E313" i="8"/>
  <c r="B314" i="8"/>
  <c r="C314" i="8"/>
  <c r="D314" i="8"/>
  <c r="B315" i="8"/>
  <c r="C315" i="8"/>
  <c r="D315" i="8"/>
  <c r="B316" i="8"/>
  <c r="C316" i="8"/>
  <c r="D316" i="8"/>
  <c r="E317" i="8"/>
  <c r="E318" i="8"/>
  <c r="E319" i="8"/>
  <c r="E320" i="8"/>
  <c r="B325" i="8"/>
  <c r="C325" i="8"/>
  <c r="D325" i="8"/>
  <c r="E325" i="8"/>
  <c r="E326" i="8"/>
  <c r="B326" i="8"/>
  <c r="C326" i="8"/>
  <c r="D326" i="8"/>
  <c r="B333" i="8"/>
  <c r="B335" i="8"/>
  <c r="B336" i="8"/>
  <c r="B338" i="8"/>
  <c r="B339" i="8"/>
  <c r="B340" i="8"/>
  <c r="B341" i="8"/>
  <c r="J375" i="8"/>
  <c r="B378" i="8"/>
  <c r="D378" i="8"/>
  <c r="E378" i="8"/>
  <c r="F378" i="8"/>
  <c r="B380" i="8"/>
  <c r="D380" i="8"/>
  <c r="E380" i="8"/>
  <c r="F380" i="8"/>
  <c r="E389" i="8"/>
  <c r="F389" i="8"/>
  <c r="E390" i="8"/>
  <c r="F390" i="8"/>
  <c r="D391" i="8"/>
  <c r="E391" i="8"/>
  <c r="F391" i="8"/>
  <c r="B398" i="8"/>
  <c r="D403" i="8"/>
  <c r="E403" i="8"/>
  <c r="F403" i="8"/>
  <c r="B408" i="8"/>
  <c r="D408" i="8"/>
  <c r="B409" i="8"/>
  <c r="D409" i="8"/>
  <c r="B410" i="8"/>
  <c r="D410" i="8"/>
  <c r="B415" i="8"/>
  <c r="D415" i="8"/>
  <c r="E415" i="8"/>
  <c r="F415" i="8"/>
  <c r="D416" i="8"/>
  <c r="E416" i="8"/>
  <c r="F416" i="8"/>
  <c r="B417" i="8"/>
  <c r="C417" i="8"/>
  <c r="D417" i="8"/>
  <c r="E417" i="8"/>
  <c r="F417" i="8"/>
  <c r="L425" i="8"/>
  <c r="M425" i="8"/>
  <c r="B425" i="8"/>
  <c r="C425" i="8"/>
  <c r="D425" i="8"/>
  <c r="E425" i="8"/>
  <c r="F425" i="8"/>
  <c r="J426" i="8"/>
  <c r="M426" i="8"/>
  <c r="B426" i="8"/>
  <c r="C426" i="8"/>
  <c r="D426" i="8"/>
  <c r="E426" i="8"/>
  <c r="F426" i="8"/>
  <c r="B427" i="8"/>
  <c r="C427" i="8"/>
  <c r="D427" i="8"/>
  <c r="E427" i="8"/>
  <c r="F427" i="8"/>
  <c r="B431" i="8"/>
  <c r="C431" i="8"/>
  <c r="D431" i="8"/>
  <c r="E431" i="8"/>
  <c r="F431" i="8"/>
  <c r="B432" i="8"/>
  <c r="C432" i="8"/>
  <c r="D432" i="8"/>
  <c r="E432" i="8"/>
  <c r="F432" i="8"/>
  <c r="D446" i="8"/>
  <c r="E446" i="8"/>
  <c r="F446" i="8"/>
  <c r="C447" i="8"/>
  <c r="D447" i="8"/>
  <c r="E447" i="8"/>
  <c r="F447" i="8"/>
  <c r="C466" i="8"/>
  <c r="D466" i="8"/>
  <c r="E466" i="8"/>
  <c r="F466" i="8"/>
  <c r="B473" i="8"/>
  <c r="C473" i="8"/>
  <c r="D473" i="8"/>
  <c r="E473" i="8"/>
  <c r="F473" i="8"/>
  <c r="G473" i="8"/>
  <c r="B474" i="8"/>
  <c r="C474" i="8"/>
  <c r="D474" i="8"/>
  <c r="E474" i="8"/>
  <c r="F474" i="8"/>
  <c r="G474" i="8"/>
  <c r="B475" i="8"/>
  <c r="C475" i="8"/>
  <c r="D475" i="8"/>
  <c r="E475" i="8"/>
  <c r="F475" i="8"/>
  <c r="G475" i="8"/>
  <c r="B476" i="8"/>
  <c r="C476" i="8"/>
  <c r="D476" i="8"/>
  <c r="E476" i="8"/>
  <c r="F476" i="8"/>
  <c r="G476" i="8"/>
  <c r="C478" i="8"/>
  <c r="D478" i="8"/>
  <c r="E478" i="8"/>
  <c r="F478" i="8"/>
  <c r="G478" i="8"/>
  <c r="C480" i="8"/>
  <c r="D480" i="8"/>
  <c r="E480" i="8"/>
  <c r="F480" i="8"/>
  <c r="G480" i="8"/>
  <c r="C481" i="8"/>
  <c r="D481" i="8"/>
  <c r="E481" i="8"/>
  <c r="F481" i="8"/>
  <c r="G481" i="8"/>
  <c r="B482" i="8"/>
  <c r="C482" i="8"/>
  <c r="D482" i="8"/>
  <c r="E482" i="8"/>
  <c r="F482" i="8"/>
  <c r="G482" i="8"/>
  <c r="B488" i="8"/>
  <c r="C488" i="8"/>
  <c r="D488" i="8"/>
  <c r="E488" i="8"/>
  <c r="F488" i="8"/>
  <c r="B489" i="8"/>
  <c r="C489" i="8"/>
  <c r="D489" i="8"/>
  <c r="E489" i="8"/>
  <c r="F489" i="8"/>
  <c r="B491" i="8"/>
  <c r="C491" i="8"/>
  <c r="D491" i="8"/>
  <c r="E491" i="8"/>
  <c r="F491" i="8"/>
  <c r="B492" i="8"/>
  <c r="C492" i="8"/>
  <c r="D492" i="8"/>
  <c r="E492" i="8"/>
  <c r="F492" i="8"/>
  <c r="B493" i="8"/>
  <c r="C493" i="8"/>
  <c r="D493" i="8"/>
  <c r="E493" i="8"/>
  <c r="F493" i="8"/>
  <c r="B499" i="8"/>
  <c r="C499" i="8"/>
  <c r="D499" i="8"/>
  <c r="E499" i="8"/>
  <c r="F499" i="8"/>
  <c r="B500" i="8"/>
  <c r="C500" i="8"/>
  <c r="D500" i="8"/>
  <c r="E500" i="8"/>
  <c r="F500" i="8"/>
  <c r="B501" i="8"/>
  <c r="C501" i="8"/>
  <c r="D501" i="8"/>
  <c r="E501" i="8"/>
  <c r="F501" i="8"/>
  <c r="B507" i="8"/>
  <c r="C507" i="8"/>
  <c r="D507" i="8"/>
  <c r="E507" i="8"/>
  <c r="F507" i="8"/>
  <c r="B508" i="8"/>
  <c r="C508" i="8"/>
  <c r="D508" i="8"/>
  <c r="E508" i="8"/>
  <c r="F508" i="8"/>
  <c r="B509" i="8"/>
  <c r="C509" i="8"/>
  <c r="D509" i="8"/>
  <c r="E509" i="8"/>
  <c r="F509" i="8"/>
  <c r="B510" i="8"/>
  <c r="C510" i="8"/>
  <c r="D510" i="8"/>
  <c r="E510" i="8"/>
  <c r="F510" i="8"/>
  <c r="B516" i="8"/>
  <c r="B519" i="8"/>
  <c r="C519" i="8"/>
  <c r="D519" i="8"/>
  <c r="E519" i="8"/>
  <c r="F519" i="8"/>
  <c r="E533" i="8"/>
  <c r="F533" i="8"/>
  <c r="G533" i="8"/>
  <c r="E534" i="8"/>
  <c r="F534" i="8"/>
  <c r="G534" i="8"/>
  <c r="F553" i="8"/>
  <c r="F554" i="8"/>
  <c r="F555" i="8"/>
  <c r="F556" i="8"/>
  <c r="G556" i="8"/>
  <c r="B618" i="8"/>
  <c r="D618" i="8"/>
  <c r="E618" i="8"/>
  <c r="F618" i="8"/>
  <c r="G618" i="8"/>
  <c r="B643" i="8"/>
  <c r="B646" i="8"/>
  <c r="B683" i="8"/>
  <c r="B686" i="8"/>
  <c r="B692" i="8"/>
  <c r="B693" i="8"/>
  <c r="B694" i="8"/>
  <c r="B695" i="8"/>
  <c r="C695" i="8"/>
  <c r="D695" i="8"/>
  <c r="E695" i="8"/>
  <c r="F695" i="8"/>
  <c r="B697" i="8"/>
  <c r="C697" i="8"/>
  <c r="D697" i="8"/>
  <c r="E697" i="8"/>
  <c r="F697" i="8"/>
  <c r="B698" i="8"/>
  <c r="B700" i="8"/>
  <c r="C700" i="8"/>
  <c r="D700" i="8"/>
  <c r="E700" i="8"/>
  <c r="F700" i="8"/>
  <c r="G700" i="8"/>
  <c r="C701" i="8"/>
  <c r="D701" i="8"/>
  <c r="E701" i="8"/>
  <c r="F701" i="8"/>
  <c r="G701" i="8"/>
  <c r="G703" i="8"/>
  <c r="G704" i="8"/>
  <c r="B706" i="8"/>
  <c r="C706" i="8"/>
  <c r="D706" i="8"/>
  <c r="E706" i="8"/>
  <c r="F706" i="8"/>
  <c r="G706" i="8"/>
  <c r="C709" i="8"/>
  <c r="D709" i="8"/>
  <c r="E709" i="8"/>
  <c r="F709" i="8"/>
  <c r="G709" i="8"/>
  <c r="C710" i="8"/>
  <c r="D710" i="8"/>
  <c r="E710" i="8"/>
  <c r="F710" i="8"/>
  <c r="G710" i="8"/>
  <c r="C712" i="8"/>
  <c r="D712" i="8"/>
  <c r="E712" i="8"/>
  <c r="F712" i="8"/>
  <c r="G712" i="8"/>
  <c r="C713" i="8"/>
  <c r="D713" i="8"/>
  <c r="E713" i="8"/>
  <c r="F713" i="8"/>
  <c r="G713" i="8"/>
  <c r="C714" i="8"/>
  <c r="D714" i="8"/>
  <c r="E714" i="8"/>
  <c r="F714" i="8"/>
  <c r="G714" i="8"/>
  <c r="C715" i="8"/>
  <c r="D715" i="8"/>
  <c r="E715" i="8"/>
  <c r="F715" i="8"/>
  <c r="G715" i="8"/>
  <c r="C716" i="8"/>
  <c r="D716" i="8"/>
  <c r="E716" i="8"/>
  <c r="F716" i="8"/>
  <c r="G716" i="8"/>
  <c r="C717" i="8"/>
  <c r="D717" i="8"/>
  <c r="E717" i="8"/>
  <c r="F717" i="8"/>
  <c r="G717" i="8"/>
  <c r="C718" i="8"/>
  <c r="D718" i="8"/>
  <c r="E718" i="8"/>
  <c r="F718" i="8"/>
  <c r="G718" i="8"/>
  <c r="C719" i="8"/>
  <c r="D719" i="8"/>
  <c r="E719" i="8"/>
  <c r="F719" i="8"/>
  <c r="G719" i="8"/>
  <c r="C720" i="8"/>
  <c r="D720" i="8"/>
  <c r="E720" i="8"/>
  <c r="F720" i="8"/>
  <c r="G720" i="8"/>
  <c r="C721" i="8"/>
  <c r="D721" i="8"/>
  <c r="E721" i="8"/>
  <c r="F721" i="8"/>
  <c r="G721" i="8"/>
  <c r="C722" i="8"/>
  <c r="D722" i="8"/>
  <c r="E722" i="8"/>
  <c r="F722" i="8"/>
  <c r="G722" i="8"/>
  <c r="C723" i="8"/>
  <c r="D723" i="8"/>
  <c r="E723" i="8"/>
  <c r="F723" i="8"/>
  <c r="G723" i="8"/>
  <c r="B724" i="8"/>
  <c r="C724" i="8"/>
  <c r="D724" i="8"/>
  <c r="E724" i="8"/>
  <c r="F724" i="8"/>
  <c r="G724" i="8"/>
</calcChain>
</file>

<file path=xl/comments1.xml><?xml version="1.0" encoding="utf-8"?>
<comments xmlns="http://schemas.openxmlformats.org/spreadsheetml/2006/main">
  <authors>
    <author>SISTEMAS-4</author>
    <author>ad</author>
    <author>CarmenCobo</author>
    <author>PMIRA-ECACEN-2</author>
  </authors>
  <commentList>
    <comment ref="E29" authorId="0">
      <text>
        <r>
          <rPr>
            <b/>
            <sz val="9"/>
            <color indexed="81"/>
            <rFont val="Tahoma"/>
            <family val="2"/>
          </rPr>
          <t>Vida útil
Construcciones y edificaciones: 20 años
Maquinaria y equipo: 10 años
Vehículos: 5 años
Equipo de computación, herramientas: 5 años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Estudio Técnico: Tener en cuenta los materiales directos e indirectos que el proyecto requiere para realizar el proceso productivo.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0" authorId="0">
      <text>
        <r>
          <rPr>
            <b/>
            <sz val="9"/>
            <color indexed="81"/>
            <rFont val="Tahoma"/>
            <family val="2"/>
          </rPr>
          <t>Rubros necesarios, para dar a conocer el producto, ej. Pagos al personal de ventas, gastos de distribución, gastos publicitarios y de promoción.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6" authorId="1">
      <text>
        <r>
          <rPr>
            <sz val="9"/>
            <color indexed="81"/>
            <rFont val="Tahoma"/>
            <family val="2"/>
          </rPr>
          <t xml:space="preserve">Incremento en ventas de acuerdo a la inflación de 0,0645
</t>
        </r>
      </text>
    </comment>
    <comment ref="B473" authorId="1">
      <text>
        <r>
          <rPr>
            <b/>
            <sz val="9"/>
            <color indexed="81"/>
            <rFont val="Tahoma"/>
            <family val="2"/>
          </rPr>
          <t>Del cuadro 8</t>
        </r>
      </text>
    </comment>
    <comment ref="C473" authorId="1">
      <text>
        <r>
          <rPr>
            <b/>
            <sz val="9"/>
            <color indexed="81"/>
            <rFont val="Tahoma"/>
            <family val="2"/>
          </rPr>
          <t>Incremento de acuerdo a la inflación, para este caso 0,0645</t>
        </r>
      </text>
    </comment>
    <comment ref="B474" authorId="1">
      <text>
        <r>
          <rPr>
            <b/>
            <sz val="9"/>
            <color indexed="81"/>
            <rFont val="Tahoma"/>
            <family val="2"/>
          </rPr>
          <t>Del cuadro 6</t>
        </r>
      </text>
    </comment>
    <comment ref="B475" authorId="1">
      <text>
        <r>
          <rPr>
            <b/>
            <sz val="9"/>
            <color indexed="81"/>
            <rFont val="Tahoma"/>
            <family val="2"/>
          </rPr>
          <t>Del cuadro 10</t>
        </r>
      </text>
    </comment>
    <comment ref="B478" authorId="1">
      <text>
        <r>
          <rPr>
            <b/>
            <sz val="9"/>
            <color indexed="81"/>
            <rFont val="Tahoma"/>
            <family val="2"/>
          </rPr>
          <t>Del cuadro 8</t>
        </r>
      </text>
    </comment>
    <comment ref="B480" authorId="1">
      <text>
        <r>
          <rPr>
            <b/>
            <sz val="9"/>
            <color indexed="81"/>
            <rFont val="Tahoma"/>
            <family val="2"/>
          </rPr>
          <t>Del cuadro 9</t>
        </r>
      </text>
    </comment>
    <comment ref="B488" authorId="1">
      <text>
        <r>
          <rPr>
            <b/>
            <sz val="9"/>
            <color indexed="81"/>
            <rFont val="Tahoma"/>
            <family val="2"/>
          </rPr>
          <t>Del cuadro 12</t>
        </r>
      </text>
    </comment>
    <comment ref="B489" authorId="1">
      <text>
        <r>
          <rPr>
            <b/>
            <sz val="9"/>
            <color indexed="81"/>
            <rFont val="Tahoma"/>
            <family val="2"/>
          </rPr>
          <t>Del cuadro 13</t>
        </r>
      </text>
    </comment>
    <comment ref="B491" authorId="1">
      <text>
        <r>
          <rPr>
            <b/>
            <sz val="9"/>
            <color indexed="81"/>
            <rFont val="Tahoma"/>
            <family val="2"/>
          </rPr>
          <t>Del cuadro 11</t>
        </r>
      </text>
    </comment>
    <comment ref="B492" authorId="1">
      <text>
        <r>
          <rPr>
            <sz val="9"/>
            <color indexed="81"/>
            <rFont val="Tahoma"/>
            <family val="2"/>
          </rPr>
          <t xml:space="preserve">Del cuadro 14
</t>
        </r>
      </text>
    </comment>
    <comment ref="B499" authorId="1">
      <text>
        <r>
          <rPr>
            <b/>
            <sz val="9"/>
            <color indexed="81"/>
            <rFont val="Tahoma"/>
            <family val="2"/>
          </rPr>
          <t>Del cuadro 15</t>
        </r>
      </text>
    </comment>
    <comment ref="B507" authorId="1">
      <text>
        <r>
          <rPr>
            <b/>
            <sz val="9"/>
            <color indexed="81"/>
            <rFont val="Tahoma"/>
            <family val="2"/>
          </rPr>
          <t>Consolidado del cuadro 32</t>
        </r>
      </text>
    </comment>
    <comment ref="B508" authorId="2">
      <text>
        <r>
          <rPr>
            <sz val="7"/>
            <color indexed="81"/>
            <rFont val="Tahoma"/>
            <family val="2"/>
          </rPr>
          <t>Consolidado del cuadro No. 33 Ppto Gtos Admon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9" authorId="2">
      <text>
        <r>
          <rPr>
            <sz val="7"/>
            <color indexed="81"/>
            <rFont val="Tahoma"/>
            <family val="2"/>
          </rPr>
          <t>Consolidado del cuadro No. 34 Ppto Gtos de Vta</t>
        </r>
      </text>
    </comment>
    <comment ref="B516" authorId="2">
      <text>
        <r>
          <rPr>
            <sz val="7"/>
            <color indexed="81"/>
            <rFont val="Tahoma"/>
            <family val="2"/>
          </rPr>
          <t>Del cuadro No. 30 programa de Inversiones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7" authorId="2">
      <text>
        <r>
          <rPr>
            <sz val="7"/>
            <color indexed="81"/>
            <rFont val="Tahoma"/>
            <family val="2"/>
          </rPr>
          <t>Del cuadro No. 25 Proyección Capital de Trabajo términos constantes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26" authorId="2">
      <text>
        <r>
          <rPr>
            <sz val="7"/>
            <color indexed="81"/>
            <rFont val="Tahoma"/>
            <family val="2"/>
          </rPr>
          <t>Del cuadro No. 2  Inv. Maq y Eq de PN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28" authorId="2">
      <text>
        <r>
          <rPr>
            <sz val="7"/>
            <color indexed="81"/>
            <rFont val="Tahoma"/>
            <family val="2"/>
          </rPr>
          <t>Del cuadro No. 4 Inv. Muebles enseres y eq Admon</t>
        </r>
      </text>
    </comment>
    <comment ref="C531" authorId="2">
      <text>
        <r>
          <rPr>
            <sz val="7"/>
            <color indexed="81"/>
            <rFont val="Tahoma"/>
            <family val="2"/>
          </rPr>
          <t>Del cuadro No. 5 Inv Act Intangibles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32" authorId="2">
      <text>
        <r>
          <rPr>
            <sz val="7"/>
            <color indexed="81"/>
            <rFont val="Tahoma"/>
            <family val="2"/>
          </rPr>
          <t>Del cuadro No. 1 Inversión en Obras Físicas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33" authorId="2">
      <text>
        <r>
          <rPr>
            <sz val="7"/>
            <color indexed="81"/>
            <rFont val="Tahoma"/>
            <family val="2"/>
          </rPr>
          <t>Del cuadro No. 30 Capital de trabajo a términos constantes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3" authorId="2">
      <text>
        <r>
          <rPr>
            <sz val="7"/>
            <color indexed="81"/>
            <rFont val="Tahoma"/>
            <family val="2"/>
          </rPr>
          <t>Del cuadro No. 25 Proyección Capital de Trabajo términos constantes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2" authorId="3">
      <text>
        <r>
          <rPr>
            <sz val="7"/>
            <color indexed="81"/>
            <rFont val="Tahoma"/>
            <family val="2"/>
          </rPr>
          <t>Del cuadro No. 24 Costos Operacionales</t>
        </r>
      </text>
    </comment>
    <comment ref="B606" authorId="3">
      <text>
        <r>
          <rPr>
            <sz val="7"/>
            <color indexed="81"/>
            <rFont val="Tahoma"/>
            <family val="2"/>
          </rPr>
          <t>Viene del Cuadro 37 Programa de Inversiones con Financiamiento</t>
        </r>
      </text>
    </comment>
    <comment ref="C606" authorId="3">
      <text>
        <r>
          <rPr>
            <sz val="7"/>
            <color indexed="81"/>
            <rFont val="Tahoma"/>
            <family val="2"/>
          </rPr>
          <t>Del cuadro No. 25 Proyección Capital de Trabajo términos constantes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6" authorId="3">
      <text>
        <r>
          <rPr>
            <sz val="9"/>
            <color indexed="81"/>
            <rFont val="Tahoma"/>
            <family val="2"/>
          </rPr>
          <t xml:space="preserve">Del cuadro 36 Flujo neto de inversión
</t>
        </r>
      </text>
    </comment>
    <comment ref="B614" authorId="3">
      <text>
        <r>
          <rPr>
            <sz val="9"/>
            <color indexed="81"/>
            <rFont val="Tahoma"/>
            <family val="2"/>
          </rPr>
          <t>Del cuadro 30 Programa de Inversiones</t>
        </r>
      </text>
    </comment>
    <comment ref="B616" authorId="3">
      <text>
        <r>
          <rPr>
            <sz val="9"/>
            <color indexed="81"/>
            <rFont val="Tahoma"/>
            <family val="2"/>
          </rPr>
          <t>Del Cuadro 36 Flujo neto de inversión sin financiamiento</t>
        </r>
      </text>
    </comment>
    <comment ref="C616" authorId="3">
      <text>
        <r>
          <rPr>
            <sz val="9"/>
            <color indexed="81"/>
            <rFont val="Tahoma"/>
            <family val="2"/>
          </rPr>
          <t xml:space="preserve">Del cuadro No. 25 Proyección Capital de Trabajo términos constantes
</t>
        </r>
      </text>
    </comment>
    <comment ref="B628" authorId="3">
      <text>
        <r>
          <rPr>
            <sz val="9"/>
            <color indexed="81"/>
            <rFont val="Tahoma"/>
            <family val="2"/>
          </rPr>
          <t>Del cuadro No. 38 
Programa de Amortización de crédito</t>
        </r>
      </text>
    </comment>
    <comment ref="B643" authorId="3">
      <text>
        <r>
          <rPr>
            <sz val="9"/>
            <color indexed="81"/>
            <rFont val="Tahoma"/>
            <family val="2"/>
          </rPr>
          <t>Del cuadro 42 Flujo neto de inversiones</t>
        </r>
      </text>
    </comment>
    <comment ref="C643" authorId="3">
      <text>
        <r>
          <rPr>
            <sz val="9"/>
            <color indexed="81"/>
            <rFont val="Tahoma"/>
            <family val="2"/>
          </rPr>
          <t xml:space="preserve">Del cuadro No. 25 Proyección Capital de Trabajo términos constantes
</t>
        </r>
      </text>
    </comment>
    <comment ref="G643" authorId="3">
      <text>
        <r>
          <rPr>
            <sz val="9"/>
            <color indexed="81"/>
            <rFont val="Tahoma"/>
            <family val="2"/>
          </rPr>
          <t>Cuadro 31Valor residual activos al final del período de evaluación</t>
        </r>
      </text>
    </comment>
    <comment ref="B656" authorId="3">
      <text>
        <r>
          <rPr>
            <sz val="9"/>
            <color indexed="81"/>
            <rFont val="Tahoma"/>
            <family val="2"/>
          </rPr>
          <t xml:space="preserve">se incluye el valor del credito del cuadro 38
</t>
        </r>
      </text>
    </comment>
    <comment ref="B664" authorId="3">
      <text>
        <r>
          <rPr>
            <sz val="9"/>
            <color indexed="81"/>
            <rFont val="Tahoma"/>
            <family val="2"/>
          </rPr>
          <t xml:space="preserve">Ingresos operacionales del cuadro No. 43 Flujo neto de operaciones con financiamiento
</t>
        </r>
      </text>
    </comment>
    <comment ref="G683" authorId="1">
      <text>
        <r>
          <rPr>
            <b/>
            <sz val="9"/>
            <color indexed="81"/>
            <rFont val="Tahoma"/>
            <family val="2"/>
          </rPr>
          <t>Del cuadro 45 Flujo neto de inversión</t>
        </r>
      </text>
    </comment>
    <comment ref="B692" authorId="3">
      <text>
        <r>
          <rPr>
            <sz val="9"/>
            <color indexed="81"/>
            <rFont val="Tahoma"/>
            <family val="2"/>
          </rPr>
          <t>Activos Fijos del cuadro 37 Programa de Inversiones con financiamiento</t>
        </r>
      </text>
    </comment>
    <comment ref="B693" authorId="3">
      <text>
        <r>
          <rPr>
            <sz val="9"/>
            <color indexed="81"/>
            <rFont val="Tahoma"/>
            <family val="2"/>
          </rPr>
          <t>Gtos preoperacionales el cuadro 37 Programa de Inversiones con Financiamiento</t>
        </r>
      </text>
    </comment>
    <comment ref="B694" authorId="3">
      <text>
        <r>
          <rPr>
            <sz val="9"/>
            <color indexed="81"/>
            <rFont val="Tahoma"/>
            <family val="2"/>
          </rPr>
          <t xml:space="preserve">Obras físicas instalación Cuadro No. 37 programa de Inversiones con Financiamiento </t>
        </r>
      </text>
    </comment>
    <comment ref="C701" authorId="3">
      <text>
        <r>
          <rPr>
            <sz val="9"/>
            <color indexed="81"/>
            <rFont val="Tahoma"/>
            <family val="2"/>
          </rPr>
          <t>Capital Deflactado cuadro No. 39</t>
        </r>
      </text>
    </comment>
    <comment ref="C712" authorId="3">
      <text>
        <r>
          <rPr>
            <sz val="9"/>
            <color indexed="81"/>
            <rFont val="Tahoma"/>
            <family val="2"/>
          </rPr>
          <t xml:space="preserve">Gastos operacionales Cuadro No. 24
</t>
        </r>
      </text>
    </comment>
  </commentList>
</comments>
</file>

<file path=xl/sharedStrings.xml><?xml version="1.0" encoding="utf-8"?>
<sst xmlns="http://schemas.openxmlformats.org/spreadsheetml/2006/main" count="793" uniqueCount="549">
  <si>
    <t>CANTIDAD</t>
  </si>
  <si>
    <t>COSTO UNITARIO</t>
  </si>
  <si>
    <t>COSTO TOTAL</t>
  </si>
  <si>
    <t>DETALLE DE INVERSION</t>
  </si>
  <si>
    <t>Pintura</t>
  </si>
  <si>
    <t>Mano de obra (días)</t>
  </si>
  <si>
    <t>Total</t>
  </si>
  <si>
    <t>DETALLE DE INVERSIÓN 
INVERSIONES</t>
  </si>
  <si>
    <t>VIDA UTIL (años)</t>
  </si>
  <si>
    <t>Maquinaria multiuso</t>
  </si>
  <si>
    <t>Software</t>
  </si>
  <si>
    <t xml:space="preserve">DETALLE DE INVERSIÓN </t>
  </si>
  <si>
    <t>Escritorio Tipo gerencia</t>
  </si>
  <si>
    <t>Escritorio Tipo secretaria</t>
  </si>
  <si>
    <t>Escritorio auxiliar</t>
  </si>
  <si>
    <t>Archivador</t>
  </si>
  <si>
    <t>Extintor</t>
  </si>
  <si>
    <t>Sillas operarias</t>
  </si>
  <si>
    <t>Sillas tipo sala</t>
  </si>
  <si>
    <t>COSTO</t>
  </si>
  <si>
    <t>LICENCIAS</t>
  </si>
  <si>
    <t>GASTOS DE ORGANIZACIÓN</t>
  </si>
  <si>
    <t>MONTAJE Y PUESTA EN MARCHA</t>
  </si>
  <si>
    <t>ENTRENAMIENTO DE PERSONAL</t>
  </si>
  <si>
    <t>IMPREVISTOS</t>
  </si>
  <si>
    <t>TOTAL GASTOS PREOPERATIVOS</t>
  </si>
  <si>
    <t>CARGO</t>
  </si>
  <si>
    <t>REMUNERACIÓN MENSUAL</t>
  </si>
  <si>
    <t>REMUNERACIÓN ANUAL</t>
  </si>
  <si>
    <t>PRESTACIONES SOCIALES</t>
  </si>
  <si>
    <t>PRIMER AÑO</t>
  </si>
  <si>
    <t>_</t>
  </si>
  <si>
    <t>%</t>
  </si>
  <si>
    <t>ITEM</t>
  </si>
  <si>
    <t>CESANTIAS</t>
  </si>
  <si>
    <t>PRIMAS</t>
  </si>
  <si>
    <t>VACACIONES</t>
  </si>
  <si>
    <t>SALUD</t>
  </si>
  <si>
    <t>PENSIONES</t>
  </si>
  <si>
    <t>RIESGOS</t>
  </si>
  <si>
    <t>TRANSPORTE</t>
  </si>
  <si>
    <t>INTERESES CESANTIAS</t>
  </si>
  <si>
    <t>TOTAL</t>
  </si>
  <si>
    <t>MATERIAL</t>
  </si>
  <si>
    <t>UNIDAD DE MEDIDA</t>
  </si>
  <si>
    <t>TOTAL AÑO</t>
  </si>
  <si>
    <t>A.    MATERIALES DIRECTOS</t>
  </si>
  <si>
    <t>B.    MATERIALES INDIRECTOS</t>
  </si>
  <si>
    <t>Caja</t>
  </si>
  <si>
    <t>SERVICIO</t>
  </si>
  <si>
    <t>Alumbrado público</t>
  </si>
  <si>
    <t>Aseo</t>
  </si>
  <si>
    <t>Acueducto</t>
  </si>
  <si>
    <t>Mantenimiento Equipo</t>
  </si>
  <si>
    <t>Kw_ hora</t>
  </si>
  <si>
    <t>Cargo fijo</t>
  </si>
  <si>
    <t>Mts3</t>
  </si>
  <si>
    <t>Promedio</t>
  </si>
  <si>
    <t>Bimensual</t>
  </si>
  <si>
    <t>Mensual</t>
  </si>
  <si>
    <t>ACTIVO</t>
  </si>
  <si>
    <t>VIDA UTIL</t>
  </si>
  <si>
    <t>COSTO ACTIVO</t>
  </si>
  <si>
    <t>DEPRECIACION ANUAL</t>
  </si>
  <si>
    <t>VALOR RESIDUAL</t>
  </si>
  <si>
    <t>TOTAL ACTIVOS DE PRODUCCION</t>
  </si>
  <si>
    <t>Total activos de administración</t>
  </si>
  <si>
    <t>SECRETARIA RECEPCIONISTA</t>
  </si>
  <si>
    <t>CONTADOR (HONORARIOS)</t>
  </si>
  <si>
    <t>subtotal</t>
  </si>
  <si>
    <t>Servicios públicos</t>
  </si>
  <si>
    <t>Cafetería</t>
  </si>
  <si>
    <t>año</t>
  </si>
  <si>
    <t xml:space="preserve">ACTIVO INTANGIBLE </t>
  </si>
  <si>
    <t>COSTO DEL ACTIVO</t>
  </si>
  <si>
    <t>VALOR AMORTIZACION ANUAL</t>
  </si>
  <si>
    <t xml:space="preserve">SERVICIO </t>
  </si>
  <si>
    <t xml:space="preserve">CANTIDAD </t>
  </si>
  <si>
    <t xml:space="preserve">COSTO UNITARIO </t>
  </si>
  <si>
    <t>AÑO 1</t>
  </si>
  <si>
    <t>Publicidad</t>
  </si>
  <si>
    <t>Transporte</t>
  </si>
  <si>
    <t>MES</t>
  </si>
  <si>
    <t>Gastos de Ventas</t>
  </si>
  <si>
    <t xml:space="preserve">COSTO </t>
  </si>
  <si>
    <t xml:space="preserve">COSTO FIJO </t>
  </si>
  <si>
    <t>COSTO VARIABLE</t>
  </si>
  <si>
    <t xml:space="preserve">Mano de Obra directa </t>
  </si>
  <si>
    <t xml:space="preserve">Mano de obra indirecta </t>
  </si>
  <si>
    <t>Materiales directos</t>
  </si>
  <si>
    <t xml:space="preserve">Materiales indirectos </t>
  </si>
  <si>
    <t xml:space="preserve">Servicios </t>
  </si>
  <si>
    <t xml:space="preserve">Subtotal </t>
  </si>
  <si>
    <t xml:space="preserve">Sueldos y prestaciones </t>
  </si>
  <si>
    <t xml:space="preserve">Otros gastos </t>
  </si>
  <si>
    <t>$                                  -</t>
  </si>
  <si>
    <t>$                                   -</t>
  </si>
  <si>
    <t xml:space="preserve">TOTAL </t>
  </si>
  <si>
    <t xml:space="preserve">COSTOS TOTALES </t>
  </si>
  <si>
    <t>$                       -</t>
  </si>
  <si>
    <t>UNIDADES</t>
  </si>
  <si>
    <t>COSTO FIJO</t>
  </si>
  <si>
    <t>INGRESO TOTAL</t>
  </si>
  <si>
    <t>ACTIVIDADES</t>
  </si>
  <si>
    <t>A</t>
  </si>
  <si>
    <t>B</t>
  </si>
  <si>
    <t>C</t>
  </si>
  <si>
    <t>PARTICIPACION</t>
  </si>
  <si>
    <t>PRECIO DE VENTAS</t>
  </si>
  <si>
    <t>COSTOS VARIABLES</t>
  </si>
  <si>
    <t>MARGEN DE CONTRIBUCION</t>
  </si>
  <si>
    <t>COSTOS FIJOS SON:</t>
  </si>
  <si>
    <t>DESCRIPCION</t>
  </si>
  <si>
    <t>VENTAS</t>
  </si>
  <si>
    <t>TOTAL DE VENTAS</t>
  </si>
  <si>
    <t>TOTAL DE COSTOS VARIABLES</t>
  </si>
  <si>
    <t>TOTAL MARGEN DE CONTRIBUCION</t>
  </si>
  <si>
    <t>COSTOS FIJOS</t>
  </si>
  <si>
    <t>UTILIDAD</t>
  </si>
  <si>
    <t>PRODUCTOS</t>
  </si>
  <si>
    <t>TOTALES</t>
  </si>
  <si>
    <t>Unidades</t>
  </si>
  <si>
    <t>Ingresos</t>
  </si>
  <si>
    <t>Costo Variable por unidad</t>
  </si>
  <si>
    <t>% en pesos</t>
  </si>
  <si>
    <t>ITEMS</t>
  </si>
  <si>
    <t>Costos variables</t>
  </si>
  <si>
    <t>Total en Ingresos</t>
  </si>
  <si>
    <t>Total de costos variables</t>
  </si>
  <si>
    <t>Total de Porcentaje</t>
  </si>
  <si>
    <t>Mezcla Conformada</t>
  </si>
  <si>
    <t>CONCEPTOS</t>
  </si>
  <si>
    <t>AÑOS</t>
  </si>
  <si>
    <t>Activos fijos y tangibles</t>
  </si>
  <si>
    <t>Maquinaria y Equipo</t>
  </si>
  <si>
    <t>Muebles y Equipo de Oficina</t>
  </si>
  <si>
    <t>$                        -</t>
  </si>
  <si>
    <t>SUBTOTAL</t>
  </si>
  <si>
    <t>ACTIVOS DIFERIDOS</t>
  </si>
  <si>
    <t>TOTAL INVERSION FIJA</t>
  </si>
  <si>
    <t>N0 17   Datos agrupados para calcular punto de equilibrio.</t>
  </si>
  <si>
    <t>No 18  Cálculo del punto de equilibrio en varias líneas.</t>
  </si>
  <si>
    <t>No 19  Comprobación del punto de equilibrio</t>
  </si>
  <si>
    <t>No 20  Determinación del punto de equilibrio en pesos</t>
  </si>
  <si>
    <t>No21  Comprobación del punto de equilibrio en pesos.</t>
  </si>
  <si>
    <t>No 22 Distribución en pesos del punto de equilibrio.</t>
  </si>
  <si>
    <t>No 23   Programa de inversión fija del proyecto.</t>
  </si>
  <si>
    <t>CONCEPTO</t>
  </si>
  <si>
    <t xml:space="preserve">AÑO </t>
  </si>
  <si>
    <t>Gastos Administrativos</t>
  </si>
  <si>
    <t>Gastos de venta</t>
  </si>
  <si>
    <t xml:space="preserve">Total Costos </t>
  </si>
  <si>
    <t>Operacionales</t>
  </si>
  <si>
    <t>N0 25  Capital de trabajo términos constantes</t>
  </si>
  <si>
    <t>Energía Eléctrica</t>
  </si>
  <si>
    <t>Útiles y papelería</t>
  </si>
  <si>
    <t>Costo de Producción</t>
  </si>
  <si>
    <t>Depreciación</t>
  </si>
  <si>
    <t xml:space="preserve">Mantenimiento  </t>
  </si>
  <si>
    <t>Gastos de Administración</t>
  </si>
  <si>
    <t xml:space="preserve">Pre operativos </t>
  </si>
  <si>
    <t xml:space="preserve">Depreciación </t>
  </si>
  <si>
    <t xml:space="preserve">Publicidad, promoción, transportes </t>
  </si>
  <si>
    <t>Contribución Marginal en Pesos</t>
  </si>
  <si>
    <t>Contribución Marginal en %</t>
  </si>
  <si>
    <t>Total de margen de contribución</t>
  </si>
  <si>
    <t>Mobiliario y decoración</t>
  </si>
  <si>
    <t>Adecuaciones ,obras físicas</t>
  </si>
  <si>
    <t>Gastos de producción</t>
  </si>
  <si>
    <t>DETALLE</t>
  </si>
  <si>
    <t>CAPITAL DE TRABAJO</t>
  </si>
  <si>
    <t>$                -</t>
  </si>
  <si>
    <t>TOTAL INVERSION</t>
  </si>
  <si>
    <t>Incremento Valor en la producción</t>
  </si>
  <si>
    <t>No 26  Inversión de capital de trabajo (términos constantes).</t>
  </si>
  <si>
    <t>No 27  Inversion en Capital de trabajo , sin incremento en produccion</t>
  </si>
  <si>
    <t>No 28 Inversión de capital de trabajo con incremento en producción</t>
  </si>
  <si>
    <t>Incremento En Capital de trabajo</t>
  </si>
  <si>
    <t>PLAZO (en años) AMORTIZACIÓN</t>
  </si>
  <si>
    <t>Gastos preoperativos</t>
  </si>
  <si>
    <t>AMORTIZAR</t>
  </si>
  <si>
    <t>Amortización en cifras físicas</t>
  </si>
  <si>
    <t>TOTAL A AMORTIZAR</t>
  </si>
  <si>
    <t>TOTAL AMORTIZACION ANUAL</t>
  </si>
  <si>
    <t>N0 29. PRESUPUESTO DE CAPITAL DE TRABAJO PUNTO DE VISTA CONTABLE</t>
  </si>
  <si>
    <t>(Terminos constantes) con incremento de producción</t>
  </si>
  <si>
    <t>Activos</t>
  </si>
  <si>
    <t>Corrientes de caja y bancos</t>
  </si>
  <si>
    <t>Cuentas por cobrar inventarios</t>
  </si>
  <si>
    <t>TOTAL ACTIVOS CORRIENTES</t>
  </si>
  <si>
    <t>Pasivos</t>
  </si>
  <si>
    <t>Corrientes cuentas por pagar</t>
  </si>
  <si>
    <t>0.0</t>
  </si>
  <si>
    <t>Capital de Trabajo</t>
  </si>
  <si>
    <t>Incremento de capital de trabajo</t>
  </si>
  <si>
    <t>Inversión fija</t>
  </si>
  <si>
    <t>Capital de trabajo</t>
  </si>
  <si>
    <t>TOTAL DE INVERSIONES</t>
  </si>
  <si>
    <t>Otros activos producción</t>
  </si>
  <si>
    <t>Activos administrativos</t>
  </si>
  <si>
    <t>Activos de ventas</t>
  </si>
  <si>
    <t>Activos de distribución</t>
  </si>
  <si>
    <t>Subtotal valor residual</t>
  </si>
  <si>
    <t xml:space="preserve">Activos fijos </t>
  </si>
  <si>
    <t>TOTAL VALOR RESIDUAL</t>
  </si>
  <si>
    <t>Materiales Directos</t>
  </si>
  <si>
    <t>Mano de Obra Directa</t>
  </si>
  <si>
    <t>Subtotal Costos Directos</t>
  </si>
  <si>
    <t>1.    Costos Directos</t>
  </si>
  <si>
    <t>2.    Gastos Generales de producción</t>
  </si>
  <si>
    <t>Materiales Indirectos</t>
  </si>
  <si>
    <t>Mano de obra indirecta</t>
  </si>
  <si>
    <t>Servicios y otros</t>
  </si>
  <si>
    <t>Subtotal Gastos generales de producción</t>
  </si>
  <si>
    <t>TOTAL COSTOS DE PRODUCCIÓN</t>
  </si>
  <si>
    <t>Sueldos y prestaciones</t>
  </si>
  <si>
    <t>Pagos de servicios varios</t>
  </si>
  <si>
    <t>Otros egresos</t>
  </si>
  <si>
    <t>Amortización diferidos</t>
  </si>
  <si>
    <t>TOTAL GASTOS DE ADMINISTRACIÓN</t>
  </si>
  <si>
    <t>TOTAL GASTOS VENTA</t>
  </si>
  <si>
    <t>Costos de produccion</t>
  </si>
  <si>
    <t>Gastos administrativos</t>
  </si>
  <si>
    <t>TOTAL COSTOS OPERACIONALES</t>
  </si>
  <si>
    <t>Inversión Fija</t>
  </si>
  <si>
    <t>Valor Residual</t>
  </si>
  <si>
    <t>Flujo Neto de Inversión</t>
  </si>
  <si>
    <t>FUENTES</t>
  </si>
  <si>
    <t>Activos Fijos Tangibles</t>
  </si>
  <si>
    <t>Maquinaria y equipo</t>
  </si>
  <si>
    <t>Muebles y equipos de oficina</t>
  </si>
  <si>
    <t>Activos  Diferidos</t>
  </si>
  <si>
    <t>Gastos preoperacionales</t>
  </si>
  <si>
    <t>Obras físicas instalación</t>
  </si>
  <si>
    <t>TOTAL INVERSIONES</t>
  </si>
  <si>
    <t>Pr</t>
  </si>
  <si>
    <t>Cr y Pr</t>
  </si>
  <si>
    <t>PERIODO</t>
  </si>
  <si>
    <t>INTERESES SOBRE SALDOS 0,2387</t>
  </si>
  <si>
    <t>VALOR DISPONIBLE PARA AMORTIZAR</t>
  </si>
  <si>
    <t>PAGO ANUAL    A</t>
  </si>
  <si>
    <t>SALDOS A FINAL DEL AÑO</t>
  </si>
  <si>
    <t>Total ingresos</t>
  </si>
  <si>
    <t>Total costos operacionales</t>
  </si>
  <si>
    <t>Utilidad operacional</t>
  </si>
  <si>
    <t>Menos impuestos</t>
  </si>
  <si>
    <t>Utilidad Neta</t>
  </si>
  <si>
    <t>Más depreciación</t>
  </si>
  <si>
    <t>Más Amortización de Diferidos</t>
  </si>
  <si>
    <t>FLUJO NETO DE OPERACIÓN SIN FINANCIAMIENTO</t>
  </si>
  <si>
    <t>Flujo neto de inversión</t>
  </si>
  <si>
    <t>Flujo neto de opéración</t>
  </si>
  <si>
    <t>Flujo financiero neto del proyecto sin financiamiento</t>
  </si>
  <si>
    <t>Intereses durante la implementación</t>
  </si>
  <si>
    <t>Valor residual</t>
  </si>
  <si>
    <t>Total ingresos Operacionales</t>
  </si>
  <si>
    <t>Menos costos operacionales</t>
  </si>
  <si>
    <t>Menos Gastos Financieros</t>
  </si>
  <si>
    <t>Utilidad Gravable</t>
  </si>
  <si>
    <t>Flujo Neto de Operación</t>
  </si>
  <si>
    <t>Flujo financiero neto del proyecto del proyecto con financiamiento</t>
  </si>
  <si>
    <t>N0. 45  FLUJO NETO DE INVERSIONES PARA EL INVERSIONISTA (Términos constantes)</t>
  </si>
  <si>
    <t>Inversion fija</t>
  </si>
  <si>
    <t>Interes durante la implementación</t>
  </si>
  <si>
    <t>Crédito</t>
  </si>
  <si>
    <t>Amortización Crédito</t>
  </si>
  <si>
    <t>Flujo Neto de inversión</t>
  </si>
  <si>
    <t>N0. 46  FLUJO NETO DE OPERACIONES PARA EL INVERSIONISTA (Términos constantes)</t>
  </si>
  <si>
    <t>Menos gastos financieros</t>
  </si>
  <si>
    <t>Más Depreciación</t>
  </si>
  <si>
    <t>FLUJO NETO DE OPERACIÓN</t>
  </si>
  <si>
    <t>N0. 47  FLUJO FINANCIERO NETO  PARA EL INVERSIONISTA (Términos constantes)</t>
  </si>
  <si>
    <t>Flujo neto de operación</t>
  </si>
  <si>
    <t>Flujo financiero neto del proyecto</t>
  </si>
  <si>
    <t xml:space="preserve">IMPLEMENTACION    </t>
  </si>
  <si>
    <t>OPERACIÓN (AÑOS)</t>
  </si>
  <si>
    <t>INVERSIONES</t>
  </si>
  <si>
    <t>N0. 48  FLUJO DE FONDOS PARA EL INVERSIONISTA (Términos constantes)</t>
  </si>
  <si>
    <t>Activos fijos tangibles</t>
  </si>
  <si>
    <t>Intereses implementación</t>
  </si>
  <si>
    <t>Inversión Total</t>
  </si>
  <si>
    <t>Créditos para inversión en activos fijos</t>
  </si>
  <si>
    <t>Inversión Neta</t>
  </si>
  <si>
    <t>Amortización créditos</t>
  </si>
  <si>
    <t>Activos fijos</t>
  </si>
  <si>
    <t>Flujo neto de inversores</t>
  </si>
  <si>
    <t>OPERACIÓN</t>
  </si>
  <si>
    <t>Ingresos:</t>
  </si>
  <si>
    <t>Ventas</t>
  </si>
  <si>
    <t>Costos</t>
  </si>
  <si>
    <t>Gastos de Venta</t>
  </si>
  <si>
    <t>Impuestos</t>
  </si>
  <si>
    <t>Utilidad Operacional</t>
  </si>
  <si>
    <t>Gastos financieros</t>
  </si>
  <si>
    <t>Depreciaciones</t>
  </si>
  <si>
    <t>FLUJO DE FONDOS PARA EL INVERSIONISTA</t>
  </si>
  <si>
    <t>precio de venta</t>
  </si>
  <si>
    <t>unidades a producir</t>
  </si>
  <si>
    <t>Costo fijo</t>
  </si>
  <si>
    <t>Costo variable unitario</t>
  </si>
  <si>
    <t>Costo variable total</t>
  </si>
  <si>
    <t>Qo (pto equilibrio)</t>
  </si>
  <si>
    <t>Hasta aquí ejemplo de punto de equilibrio en varios líneas</t>
  </si>
  <si>
    <t>gastos de producción</t>
  </si>
  <si>
    <t>materias primas</t>
  </si>
  <si>
    <t>Mano de obra directa</t>
  </si>
  <si>
    <t>Ctos indirectos de fabricación</t>
  </si>
  <si>
    <t>Servicios varios</t>
  </si>
  <si>
    <t>Amort diferidos</t>
  </si>
  <si>
    <t>CALCULO DEL CAPITAL DE TRABAJO ICT= CO (COPD)</t>
  </si>
  <si>
    <t>(-) amort diferidos</t>
  </si>
  <si>
    <t>(-) depreciación</t>
  </si>
  <si>
    <t>se resta 1 para igualar al resultado del módulo, la diferencia es por decimales</t>
  </si>
  <si>
    <t>COPA</t>
  </si>
  <si>
    <t>COPD (Costo operacional diario) = COPA/360</t>
  </si>
  <si>
    <t>COPD =</t>
  </si>
  <si>
    <t>PROYECCION CAPITAL DE TRABAJO TERMINOS CONSTANTES</t>
  </si>
  <si>
    <t>P= F/(1+I)^n</t>
  </si>
  <si>
    <t>F</t>
  </si>
  <si>
    <t>i</t>
  </si>
  <si>
    <t>la inflación</t>
  </si>
  <si>
    <t>n</t>
  </si>
  <si>
    <t>un año</t>
  </si>
  <si>
    <t>P</t>
  </si>
  <si>
    <t>Diferencia</t>
  </si>
  <si>
    <t>Calculo del capital de trabajo a  terminos corrientes</t>
  </si>
  <si>
    <t>inflación</t>
  </si>
  <si>
    <t>Incremento año 2</t>
  </si>
  <si>
    <t>incremento año 3</t>
  </si>
  <si>
    <t>incremento año 4</t>
  </si>
  <si>
    <t>incremento año 5</t>
  </si>
  <si>
    <t>Incremento de producción anual</t>
  </si>
  <si>
    <t>Incremento capital trabajo1</t>
  </si>
  <si>
    <t>Incremento capital trabajo2</t>
  </si>
  <si>
    <t>Incremento capital trabajo3</t>
  </si>
  <si>
    <t>Incremento capital trabajo4</t>
  </si>
  <si>
    <t>Inversión obras fisicas</t>
  </si>
  <si>
    <t>inversión en maquinaria y equipo</t>
  </si>
  <si>
    <t>inversión mueble y enseres equipos</t>
  </si>
  <si>
    <t>inversion intangibles</t>
  </si>
  <si>
    <t>programa de inversión terminos constantes</t>
  </si>
  <si>
    <t>total inversión</t>
  </si>
  <si>
    <t>DATOS</t>
  </si>
  <si>
    <t>I=</t>
  </si>
  <si>
    <t>EA</t>
  </si>
  <si>
    <t>P=</t>
  </si>
  <si>
    <t>N=</t>
  </si>
  <si>
    <t>A=</t>
  </si>
  <si>
    <t>TABLA DE AMORTIZACION DE CREDITO</t>
  </si>
  <si>
    <t>CUOTA</t>
  </si>
  <si>
    <t>SALDO INICIAL</t>
  </si>
  <si>
    <t>INTERES</t>
  </si>
  <si>
    <t>ABONO CAPITAL</t>
  </si>
  <si>
    <t>VALOR CUOTA</t>
  </si>
  <si>
    <t>SALDO FINAL</t>
  </si>
  <si>
    <t>remitase al modulo para verificar calculo de valores</t>
  </si>
  <si>
    <t>Subtotal Materiales Directos</t>
  </si>
  <si>
    <t>Subtotal Materiales Indirectos</t>
  </si>
  <si>
    <t>MEDIDA</t>
  </si>
  <si>
    <t>Arrendamiento</t>
  </si>
  <si>
    <t xml:space="preserve">GERENTE GENERAL </t>
  </si>
  <si>
    <t>No 14. AMORTIZACION A GASTOS DIFERIDOS</t>
  </si>
  <si>
    <t>No. 1 INVERSION EN OBRAS FISICAS</t>
  </si>
  <si>
    <t>No. 2 INVERSION EN MAQUINARIA Y EQUIPO DE PRODUCCIÓN</t>
  </si>
  <si>
    <t xml:space="preserve">No. 3 INVERSION DE HERRAMIENTAS                                                                                </t>
  </si>
  <si>
    <t xml:space="preserve"> No. 4 INVERSIÓN EN MUEBLES, ENSERES Y EQUIPOS DE ADMINISTRACIÓN</t>
  </si>
  <si>
    <t xml:space="preserve"> No. 5 INVERSION EN ACTIVOS INTANGIBLES</t>
  </si>
  <si>
    <t>No. 6 COSTO MANO DE OBRA</t>
  </si>
  <si>
    <t>No. 7 PORCENTAJES UTILIZADOS PARA PRESTACIONES SOCIALES Y APORTES</t>
  </si>
  <si>
    <t>No. 8 COSTOS DE MATERIALES (primer año de operaciones)</t>
  </si>
  <si>
    <t>No. 9 COSTO DE SERVICIO (primer año)</t>
  </si>
  <si>
    <t>No. 10 GASTOS POR DEPRECIACIÓN ACTIVOS DE PRODUCCIÓN</t>
  </si>
  <si>
    <t>No. 11 GASTOS POR DEPRECIACIÓN ACTIVOS DE ADMINISTRACIÓN</t>
  </si>
  <si>
    <t>No. 12 REMUNERACIÓN AL PERSONAL ADMINISTRATIVO</t>
  </si>
  <si>
    <t>No. 13 OTROS GASTOS ADMINISTRATIVOS</t>
  </si>
  <si>
    <t>No 15. Gastos de venta (primer año de operaciones).</t>
  </si>
  <si>
    <t>No. 16 DISTRIBUCION DE COSTOS</t>
  </si>
  <si>
    <t>Margen de contribución promedio ponderado</t>
  </si>
  <si>
    <t>(2400*0,4)+(1700*0.35)+(2000*0.25)=960+595+500=2055</t>
  </si>
  <si>
    <t>Aplicando la formula</t>
  </si>
  <si>
    <t>Qo = Costos Fijos /Margen de Contribución</t>
  </si>
  <si>
    <t>Este valor se relaciona con los porcentajes de participación de cada línea</t>
  </si>
  <si>
    <t>Linea A</t>
  </si>
  <si>
    <t>Linea B</t>
  </si>
  <si>
    <t>Linea C</t>
  </si>
  <si>
    <t>Calculo del volumen del punto de equilibrio global en pesos</t>
  </si>
  <si>
    <t>CM% = Contribución marginal total/Ingresos totales</t>
  </si>
  <si>
    <t>No 24 Costos Operacionales</t>
  </si>
  <si>
    <t>No. 31 CUADRO VALOR RESISUAL ACTIVOS ALFINAL DEL PERIODO DE EVALUACIÓN (Términos constantes)</t>
  </si>
  <si>
    <t>No. 32 PRESUPUESTO DE COSTOS DE PRODUCCION (términos constantes)</t>
  </si>
  <si>
    <t>No. 33  PRESUPUESTO DE GASTOS DE ADMINISTRACIÓN (Términos constantes)</t>
  </si>
  <si>
    <t xml:space="preserve">No. 34  PRESUPUESTO DE GASTOS DE VENTAS </t>
  </si>
  <si>
    <t>No. 35  PROGRAMACION DE COSTOS OPERACIONALES (Términos constantes)</t>
  </si>
  <si>
    <t>No. 36 FLUJO NETO DE INVERSIONES SIN FINANCIAMIENTO (Términos constantes)</t>
  </si>
  <si>
    <t xml:space="preserve">No. 37 PROGRAMA DE  INVERSIONES CON FINANCIAMIENTO </t>
  </si>
  <si>
    <t>No 38 PROGRAMA DE AMORTIZACION DE CREDITO (Términos Constantes)</t>
  </si>
  <si>
    <t>No. 40  FLUJO NETO DE OPERACIÓN SIN FINANCIAMIENTO (Términos constantes)</t>
  </si>
  <si>
    <t>No. 41  FLUJO FINANCIERO NETO DEL PROYECTO SIN FINANCIAMIENTO (Términos constantes)</t>
  </si>
  <si>
    <t>No. 42  FLUJO NETO DE INVERSIONES CON FINANCIAMIENTO (Términos constantes)</t>
  </si>
  <si>
    <t>No. 43  FLUJO NETO DE OPERACIONES FINANCIERO CON FINANCIAMIENTO (Términos constantes)</t>
  </si>
  <si>
    <t xml:space="preserve">Deflactación de los intereses </t>
  </si>
  <si>
    <t>P=F/(1+i)^n</t>
  </si>
  <si>
    <t>P=F/(1+0,0645)^1</t>
  </si>
  <si>
    <t>P= Valor presente de los intereses</t>
  </si>
  <si>
    <t>F= Valor a deflactar</t>
  </si>
  <si>
    <t>I=Tasa de inflación</t>
  </si>
  <si>
    <t>n= Número de años transcurridos con respecto a cero</t>
  </si>
  <si>
    <t>No. 39 Datos deflactados de intereses y amortización de capital</t>
  </si>
  <si>
    <t>Años</t>
  </si>
  <si>
    <t>Datos deflactados de intereses y amortización de capital</t>
  </si>
  <si>
    <t>Intereses</t>
  </si>
  <si>
    <t>No. 44  FLUJO NETO DE OPERACIONES FINANCIERO CON FINANCIAMIENTO (Términos constantes)</t>
  </si>
  <si>
    <t>Deflactación de amortización de capital</t>
  </si>
  <si>
    <t>Capital</t>
  </si>
  <si>
    <t>PRESUPUESTO DE INGRESOS</t>
  </si>
  <si>
    <t>Año 1</t>
  </si>
  <si>
    <t>Año 2</t>
  </si>
  <si>
    <t>Año 3</t>
  </si>
  <si>
    <t>Año 4</t>
  </si>
  <si>
    <t>Año 5</t>
  </si>
  <si>
    <t>ACTIVO CORRIENTE</t>
  </si>
  <si>
    <t>Bancos</t>
  </si>
  <si>
    <t>Inventarios</t>
  </si>
  <si>
    <t>TOTAL ACTIVO CORRIENTE</t>
  </si>
  <si>
    <t>ACTIVOS FIJOS</t>
  </si>
  <si>
    <t>Muebles y Enseres</t>
  </si>
  <si>
    <t>Vehículos</t>
  </si>
  <si>
    <t>Mobiliario y Decoración</t>
  </si>
  <si>
    <t>TOTAL ACTIVOS FIJOS</t>
  </si>
  <si>
    <t>Adecuación Física</t>
  </si>
  <si>
    <t>Gastos Preoperativos</t>
  </si>
  <si>
    <t>TOTAL ACTIVOS DIFERIDOS</t>
  </si>
  <si>
    <t>PASIVOS</t>
  </si>
  <si>
    <t>PASIVOS A LARGO PLAZO</t>
  </si>
  <si>
    <t>Prestamos por Pagar</t>
  </si>
  <si>
    <t>TOTAL PASIVO A LARGO PLAZO</t>
  </si>
  <si>
    <t>PATRIMONIO</t>
  </si>
  <si>
    <t>TOTAL ACTIVOS</t>
  </si>
  <si>
    <t>TOTAL PATRIMONIO</t>
  </si>
  <si>
    <t>TOTAL PASIVO Y PATRIMONIO</t>
  </si>
  <si>
    <t>BALANCE GENERAL</t>
  </si>
  <si>
    <t>TERMINOS CONSTANTES</t>
  </si>
  <si>
    <t>ESTADO DE RESULTADOS</t>
  </si>
  <si>
    <t>1 DE ENERO AL 31 DE DICIEMBRE</t>
  </si>
  <si>
    <t>Costos de Producción</t>
  </si>
  <si>
    <t>Utilidad Bruta en Ventas</t>
  </si>
  <si>
    <t>TOTAL GASTOS OPERACIONALES</t>
  </si>
  <si>
    <t>UTILIDAD OPERACIONAL</t>
  </si>
  <si>
    <t>Gastos Financieros</t>
  </si>
  <si>
    <t>UTILIDAD ANTES DE IMPUESTOS</t>
  </si>
  <si>
    <t>Provisión para impuestos</t>
  </si>
  <si>
    <t>UTILIDAD NETA</t>
  </si>
  <si>
    <t>Qo= 160.000.600/2055=</t>
  </si>
  <si>
    <t>P=5.205.470/(1+0,0645)^5</t>
  </si>
  <si>
    <t>P=4.202.365/(1+0,0645)^4</t>
  </si>
  <si>
    <t>P=3.392.561/(1+0,0645)^3</t>
  </si>
  <si>
    <t>P= 2.738.808/(1+0,0645)^2</t>
  </si>
  <si>
    <t>P= 2.211.034/((1+0,0645)^1</t>
  </si>
  <si>
    <t>1.242.650/(1+0,0645)^5</t>
  </si>
  <si>
    <t>2.245.650/(1+0,0645)^4</t>
  </si>
  <si>
    <t>3.055.455/(1+0,0645)^3</t>
  </si>
  <si>
    <t>3.709.208/(1+0,0645)^2</t>
  </si>
  <si>
    <t>$4.236.982/(1+0,0645)</t>
  </si>
  <si>
    <t>Financiamiento</t>
  </si>
  <si>
    <t>Total Inversiones</t>
  </si>
  <si>
    <t>Financiamiento solicitado</t>
  </si>
  <si>
    <t>Cuentas por cobrar</t>
  </si>
  <si>
    <t>Corriente Caja y Bancos</t>
  </si>
  <si>
    <t>mes</t>
  </si>
  <si>
    <t>neto</t>
  </si>
  <si>
    <t>costos y gastos</t>
  </si>
  <si>
    <t>año 1</t>
  </si>
  <si>
    <t>sobre capital del trabajo</t>
  </si>
  <si>
    <t xml:space="preserve">En este caso se da un icremento de </t>
  </si>
  <si>
    <t>unidades al año</t>
  </si>
  <si>
    <t xml:space="preserve">En este caso se deja la producción en </t>
  </si>
  <si>
    <t>gastos administrativos</t>
  </si>
  <si>
    <t>X=CF/CM%=160.000.600/0.47</t>
  </si>
  <si>
    <t>CM%= 143.650.400/300.350.774=</t>
  </si>
  <si>
    <t>Si en su proyecto solo tiene un único producto, continúe con el cuadro 23</t>
  </si>
  <si>
    <t>Los cuadros No. 18 a 22 muestran un ejemplo de punto de equilibrio para 3 referencias de productos</t>
  </si>
  <si>
    <t>EJEMPLO DE PUNTO DE EQUILIBRIO EN VARIAS LINEAS</t>
  </si>
  <si>
    <t>PUNTO DE EQUILIBRIO</t>
  </si>
  <si>
    <t>2. El precio de venta es mayor al costo variable unitario</t>
  </si>
  <si>
    <t>cantidades a producir</t>
  </si>
  <si>
    <t>1. las cantidades en el punto de equilibrio son menores a las</t>
  </si>
  <si>
    <t>CONDICIONES PARA QUE UN PUNTO DE EQUILIBRIO SEA CORRECTO</t>
  </si>
  <si>
    <t xml:space="preserve">TOTAL AÑO  </t>
  </si>
  <si>
    <t xml:space="preserve">OFICIOS VARIOS </t>
  </si>
  <si>
    <t>ADMINISTRACION</t>
  </si>
  <si>
    <t xml:space="preserve">AÑOS            </t>
  </si>
  <si>
    <t>DOTACION ORDINARIA</t>
  </si>
  <si>
    <t xml:space="preserve">ESTUDIO DE FACTIBILIDAD </t>
  </si>
  <si>
    <t xml:space="preserve">ESTUDIO DE PREFACTIBILIDAD </t>
  </si>
  <si>
    <t>VENTAS A CREDITO</t>
  </si>
  <si>
    <t>VENTAS CONTADO</t>
  </si>
  <si>
    <t>INCREMENTO EN CAPITAL DE TRABAJO</t>
  </si>
  <si>
    <t>INFLACIÓN</t>
  </si>
  <si>
    <t>PRECIO DE VENTA</t>
  </si>
  <si>
    <t>UNIDADES A PRODUCIR</t>
  </si>
  <si>
    <t>tabla 17</t>
  </si>
  <si>
    <t>datos agrupados</t>
  </si>
  <si>
    <t>Precio venta</t>
  </si>
  <si>
    <t>Costo variable</t>
  </si>
  <si>
    <t>costo fijo</t>
  </si>
  <si>
    <t>Punto de equilibrio</t>
  </si>
  <si>
    <t>Punto de equilibrio en ventas</t>
  </si>
  <si>
    <t>CONDICIONES PARA QUE UN PUNTO DE EQUILIBRIO SE CORRECTO</t>
  </si>
  <si>
    <t>INTEGRANTES</t>
  </si>
  <si>
    <t>Número de Grupo</t>
  </si>
  <si>
    <t>Bulto de Harina</t>
  </si>
  <si>
    <t>Oficinas</t>
  </si>
  <si>
    <t>Caseta de Vigilancia</t>
  </si>
  <si>
    <t>Instalacion electrica</t>
  </si>
  <si>
    <t>Maquina Tortilladora</t>
  </si>
  <si>
    <t>Prensa de Harina</t>
  </si>
  <si>
    <t>Cabezales</t>
  </si>
  <si>
    <t>Molinos</t>
  </si>
  <si>
    <t>Revolvedoras</t>
  </si>
  <si>
    <t>Pailas</t>
  </si>
  <si>
    <t>Equipos Varios</t>
  </si>
  <si>
    <t>Bajillas</t>
  </si>
  <si>
    <t>Mesas</t>
  </si>
  <si>
    <t>empaques</t>
  </si>
  <si>
    <t>OPERARIO DE TRATAMIENTO</t>
  </si>
  <si>
    <t>DOTACIÓN ESPECIAL</t>
  </si>
  <si>
    <t>Aditivos Harina trigo</t>
  </si>
  <si>
    <t>Impresora Laser</t>
  </si>
  <si>
    <t>ESTUDIO POSICIONAMIENTO DIGITAL</t>
  </si>
  <si>
    <t>PAGINA WEB</t>
  </si>
  <si>
    <t>OPERARIO DE RECEPCIÓN DE CEREAL</t>
  </si>
  <si>
    <t>OPERARIO DE LIMPIEZA DE CEREAL</t>
  </si>
  <si>
    <t>OPERARIO DE MOLIENDA</t>
  </si>
  <si>
    <t>OPERARIOS ALMACENAMIENTO, ENVASADO Y EXPEDICIÓN</t>
  </si>
  <si>
    <t>Teléfono e internet</t>
  </si>
  <si>
    <t>Gastos viaticos negocios</t>
  </si>
  <si>
    <t>Porductos aseo</t>
  </si>
  <si>
    <t>Camisas con logo de la empresa</t>
  </si>
  <si>
    <t>AÑO</t>
  </si>
  <si>
    <t>Tonelada</t>
  </si>
  <si>
    <t>Importación Trigo (Materia Prima)</t>
  </si>
  <si>
    <t>Al año</t>
  </si>
  <si>
    <t>SELADOR PLANTA</t>
  </si>
  <si>
    <t>102059_174</t>
  </si>
  <si>
    <t xml:space="preserve">          LORENA PATRICIA VASQUEZ ORTIZ</t>
  </si>
  <si>
    <r>
      <t xml:space="preserve">(=) </t>
    </r>
    <r>
      <rPr>
        <sz val="12"/>
        <color theme="1"/>
        <rFont val="Times New Roman"/>
        <family val="1"/>
      </rPr>
      <t>Costo operacional  anual</t>
    </r>
  </si>
  <si>
    <t>Sin incremento en producción</t>
  </si>
  <si>
    <r>
      <rPr>
        <b/>
        <sz val="12"/>
        <color indexed="9"/>
        <rFont val="Times New Roman"/>
        <family val="1"/>
      </rPr>
      <t>Con  incremento en producción</t>
    </r>
  </si>
  <si>
    <r>
      <t>N0. 30 PROGRAMA DE INVERSIONES</t>
    </r>
    <r>
      <rPr>
        <b/>
        <sz val="12"/>
        <color indexed="9"/>
        <rFont val="Times New Roman"/>
        <family val="1"/>
      </rPr>
      <t xml:space="preserve"> (términos constantes)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</si>
</sst>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8" formatCode="&quot;$&quot;#,##0.00;[Red]\-&quot;$&quot;#,##0.0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 &quot;$&quot;\ * #,##0.00_ ;_ &quot;$&quot;\ * \-#,##0.00_ ;_ &quot;$&quot;\ * &quot;-&quot;??_ ;_ @_ "/>
    <numFmt numFmtId="167" formatCode="_ &quot;$&quot;\ * #,##0_ ;_ &quot;$&quot;\ * \-#,##0_ ;_ &quot;$&quot;\ * &quot;-&quot;??_ ;_ @_ "/>
    <numFmt numFmtId="168" formatCode="#,##0_ ;\-#,##0\ "/>
    <numFmt numFmtId="169" formatCode="&quot;$&quot;\ #,##0.0000_);[Red]\(&quot;$&quot;\ #,##0.0000\)"/>
    <numFmt numFmtId="170" formatCode="&quot;$&quot;\ #,##0"/>
    <numFmt numFmtId="171" formatCode="_ &quot;$&quot;\ * #,##0_ ;_ &quot;$&quot;\ * \-#,##0_ ;_ &quot;$&quot;\ * &quot;-&quot;????_ ;_ @_ "/>
    <numFmt numFmtId="172" formatCode="&quot;$&quot;\ #,##0;[Red]&quot;$&quot;\ #,##0"/>
    <numFmt numFmtId="173" formatCode="_(&quot;$&quot;\ * #,##0_);_(&quot;$&quot;\ * \(#,##0\);_(&quot;$&quot;\ * &quot;-&quot;??_);_(@_)"/>
    <numFmt numFmtId="174" formatCode="#,##0.0"/>
    <numFmt numFmtId="175" formatCode="#,##0.0000"/>
    <numFmt numFmtId="176" formatCode="#,##0;[Red]#,##0"/>
    <numFmt numFmtId="177" formatCode="#,##0.0000;[Red]#,##0.0000"/>
    <numFmt numFmtId="178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indexed="81"/>
      <name val="Tahoma"/>
      <family val="2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2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b/>
      <sz val="12"/>
      <color indexed="9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1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3" fontId="0" fillId="0" borderId="0" xfId="0" applyNumberFormat="1" applyBorder="1"/>
    <xf numFmtId="0" fontId="4" fillId="0" borderId="0" xfId="0" applyFont="1" applyFill="1"/>
    <xf numFmtId="167" fontId="0" fillId="0" borderId="0" xfId="2" applyNumberFormat="1" applyFont="1"/>
    <xf numFmtId="0" fontId="0" fillId="0" borderId="0" xfId="0" applyFill="1"/>
    <xf numFmtId="0" fontId="4" fillId="0" borderId="0" xfId="0" applyFont="1"/>
    <xf numFmtId="167" fontId="0" fillId="0" borderId="6" xfId="2" applyNumberFormat="1" applyFont="1" applyBorder="1"/>
    <xf numFmtId="0" fontId="0" fillId="0" borderId="6" xfId="0" applyBorder="1"/>
    <xf numFmtId="3" fontId="0" fillId="0" borderId="6" xfId="0" applyNumberFormat="1" applyBorder="1"/>
    <xf numFmtId="37" fontId="0" fillId="0" borderId="0" xfId="0" applyNumberFormat="1"/>
    <xf numFmtId="37" fontId="0" fillId="0" borderId="6" xfId="0" applyNumberFormat="1" applyBorder="1"/>
    <xf numFmtId="167" fontId="0" fillId="0" borderId="0" xfId="0" applyNumberFormat="1"/>
    <xf numFmtId="167" fontId="2" fillId="0" borderId="47" xfId="0" applyNumberFormat="1" applyFont="1" applyBorder="1"/>
    <xf numFmtId="37" fontId="2" fillId="0" borderId="47" xfId="0" applyNumberFormat="1" applyFont="1" applyBorder="1"/>
    <xf numFmtId="167" fontId="0" fillId="0" borderId="6" xfId="0" applyNumberFormat="1" applyBorder="1"/>
    <xf numFmtId="38" fontId="0" fillId="0" borderId="6" xfId="0" applyNumberFormat="1" applyBorder="1"/>
    <xf numFmtId="167" fontId="2" fillId="0" borderId="48" xfId="0" applyNumberFormat="1" applyFont="1" applyBorder="1"/>
    <xf numFmtId="0" fontId="0" fillId="0" borderId="0" xfId="0"/>
    <xf numFmtId="0" fontId="2" fillId="0" borderId="0" xfId="0" applyFont="1"/>
    <xf numFmtId="167" fontId="0" fillId="0" borderId="0" xfId="2" applyNumberFormat="1" applyFont="1" applyBorder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6" borderId="49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164" fontId="8" fillId="0" borderId="17" xfId="0" applyNumberFormat="1" applyFont="1" applyBorder="1" applyAlignment="1">
      <alignment horizontal="right"/>
    </xf>
    <xf numFmtId="0" fontId="8" fillId="0" borderId="26" xfId="0" applyFont="1" applyBorder="1" applyAlignment="1">
      <alignment horizontal="left"/>
    </xf>
    <xf numFmtId="0" fontId="8" fillId="0" borderId="26" xfId="0" applyFont="1" applyBorder="1" applyAlignment="1">
      <alignment horizontal="center"/>
    </xf>
    <xf numFmtId="164" fontId="8" fillId="0" borderId="26" xfId="0" applyNumberFormat="1" applyFont="1" applyBorder="1" applyAlignment="1">
      <alignment horizontal="right"/>
    </xf>
    <xf numFmtId="164" fontId="13" fillId="6" borderId="1" xfId="0" applyNumberFormat="1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29" xfId="0" applyFont="1" applyBorder="1" applyAlignment="1">
      <alignment horizontal="center" wrapText="1"/>
    </xf>
    <xf numFmtId="0" fontId="14" fillId="0" borderId="22" xfId="0" applyFont="1" applyBorder="1"/>
    <xf numFmtId="0" fontId="13" fillId="8" borderId="1" xfId="0" applyFont="1" applyFill="1" applyBorder="1" applyAlignment="1"/>
    <xf numFmtId="164" fontId="13" fillId="8" borderId="1" xfId="0" applyNumberFormat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8" borderId="26" xfId="0" applyFont="1" applyFill="1" applyBorder="1"/>
    <xf numFmtId="164" fontId="13" fillId="8" borderId="29" xfId="0" applyNumberFormat="1" applyFont="1" applyFill="1" applyBorder="1" applyAlignment="1">
      <alignment horizontal="left"/>
    </xf>
    <xf numFmtId="164" fontId="13" fillId="8" borderId="28" xfId="0" applyNumberFormat="1" applyFont="1" applyFill="1" applyBorder="1" applyAlignment="1">
      <alignment horizontal="center"/>
    </xf>
    <xf numFmtId="164" fontId="13" fillId="2" borderId="0" xfId="0" applyNumberFormat="1" applyFont="1" applyFill="1" applyBorder="1" applyAlignment="1">
      <alignment horizontal="left"/>
    </xf>
    <xf numFmtId="164" fontId="15" fillId="2" borderId="0" xfId="0" applyNumberFormat="1" applyFont="1" applyFill="1" applyBorder="1" applyAlignment="1">
      <alignment horizontal="left"/>
    </xf>
    <xf numFmtId="0" fontId="13" fillId="8" borderId="1" xfId="0" applyFont="1" applyFill="1" applyBorder="1" applyAlignment="1">
      <alignment horizontal="center" wrapText="1"/>
    </xf>
    <xf numFmtId="0" fontId="14" fillId="0" borderId="17" xfId="0" applyFont="1" applyBorder="1"/>
    <xf numFmtId="3" fontId="8" fillId="0" borderId="17" xfId="0" applyNumberFormat="1" applyFont="1" applyBorder="1" applyAlignment="1">
      <alignment horizontal="center"/>
    </xf>
    <xf numFmtId="9" fontId="8" fillId="0" borderId="17" xfId="0" applyNumberFormat="1" applyFont="1" applyBorder="1" applyAlignment="1">
      <alignment horizontal="center"/>
    </xf>
    <xf numFmtId="0" fontId="14" fillId="0" borderId="0" xfId="0" applyFont="1" applyFill="1" applyBorder="1"/>
    <xf numFmtId="0" fontId="16" fillId="8" borderId="1" xfId="0" applyFont="1" applyFill="1" applyBorder="1" applyAlignment="1">
      <alignment horizontal="center"/>
    </xf>
    <xf numFmtId="0" fontId="14" fillId="0" borderId="29" xfId="0" applyFont="1" applyFill="1" applyBorder="1"/>
    <xf numFmtId="0" fontId="14" fillId="0" borderId="17" xfId="0" applyFont="1" applyFill="1" applyBorder="1"/>
    <xf numFmtId="0" fontId="14" fillId="8" borderId="25" xfId="0" applyFont="1" applyFill="1" applyBorder="1"/>
    <xf numFmtId="0" fontId="13" fillId="8" borderId="22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7" xfId="0" applyFont="1" applyFill="1" applyBorder="1" applyAlignment="1">
      <alignment horizontal="center" wrapText="1"/>
    </xf>
    <xf numFmtId="0" fontId="14" fillId="0" borderId="30" xfId="0" applyFont="1" applyBorder="1"/>
    <xf numFmtId="0" fontId="13" fillId="8" borderId="17" xfId="0" applyFont="1" applyFill="1" applyBorder="1"/>
    <xf numFmtId="0" fontId="13" fillId="8" borderId="27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center" vertical="top" wrapText="1"/>
    </xf>
    <xf numFmtId="0" fontId="13" fillId="8" borderId="25" xfId="0" applyFont="1" applyFill="1" applyBorder="1"/>
    <xf numFmtId="0" fontId="13" fillId="8" borderId="29" xfId="0" applyFont="1" applyFill="1" applyBorder="1" applyAlignment="1">
      <alignment horizontal="center"/>
    </xf>
    <xf numFmtId="0" fontId="13" fillId="8" borderId="22" xfId="0" applyFont="1" applyFill="1" applyBorder="1"/>
    <xf numFmtId="0" fontId="13" fillId="8" borderId="33" xfId="0" applyFont="1" applyFill="1" applyBorder="1" applyAlignment="1">
      <alignment horizontal="center"/>
    </xf>
    <xf numFmtId="164" fontId="8" fillId="0" borderId="26" xfId="0" applyNumberFormat="1" applyFont="1" applyBorder="1"/>
    <xf numFmtId="164" fontId="8" fillId="0" borderId="33" xfId="0" applyNumberFormat="1" applyFont="1" applyBorder="1"/>
    <xf numFmtId="0" fontId="8" fillId="0" borderId="29" xfId="0" applyFont="1" applyBorder="1"/>
    <xf numFmtId="0" fontId="8" fillId="0" borderId="19" xfId="0" applyFont="1" applyBorder="1"/>
    <xf numFmtId="164" fontId="8" fillId="0" borderId="24" xfId="0" applyNumberFormat="1" applyFont="1" applyBorder="1"/>
    <xf numFmtId="164" fontId="8" fillId="0" borderId="0" xfId="0" applyNumberFormat="1" applyFont="1" applyBorder="1"/>
    <xf numFmtId="0" fontId="13" fillId="8" borderId="1" xfId="0" applyFont="1" applyFill="1" applyBorder="1" applyAlignment="1">
      <alignment horizontal="center"/>
    </xf>
    <xf numFmtId="0" fontId="13" fillId="8" borderId="1" xfId="0" applyFont="1" applyFill="1" applyBorder="1"/>
    <xf numFmtId="0" fontId="13" fillId="8" borderId="10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3" fillId="8" borderId="25" xfId="0" applyFont="1" applyFill="1" applyBorder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33" xfId="0" applyFont="1" applyFill="1" applyBorder="1"/>
    <xf numFmtId="0" fontId="13" fillId="8" borderId="26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3" fillId="8" borderId="0" xfId="0" applyFont="1" applyFill="1"/>
    <xf numFmtId="0" fontId="13" fillId="8" borderId="31" xfId="0" applyFont="1" applyFill="1" applyBorder="1" applyAlignment="1">
      <alignment horizontal="center"/>
    </xf>
    <xf numFmtId="0" fontId="13" fillId="8" borderId="20" xfId="0" applyFont="1" applyFill="1" applyBorder="1" applyAlignment="1">
      <alignment horizontal="center"/>
    </xf>
    <xf numFmtId="0" fontId="13" fillId="8" borderId="30" xfId="0" applyFont="1" applyFill="1" applyBorder="1" applyAlignment="1">
      <alignment horizontal="center"/>
    </xf>
    <xf numFmtId="0" fontId="8" fillId="0" borderId="1" xfId="0" applyFont="1" applyBorder="1"/>
    <xf numFmtId="0" fontId="14" fillId="0" borderId="0" xfId="0" applyFont="1" applyBorder="1"/>
    <xf numFmtId="0" fontId="8" fillId="0" borderId="0" xfId="0" applyFont="1"/>
    <xf numFmtId="0" fontId="13" fillId="6" borderId="1" xfId="0" applyFont="1" applyFill="1" applyBorder="1"/>
    <xf numFmtId="3" fontId="8" fillId="0" borderId="1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2" applyFont="1"/>
    <xf numFmtId="175" fontId="8" fillId="0" borderId="1" xfId="0" applyNumberFormat="1" applyFont="1" applyBorder="1" applyAlignment="1">
      <alignment horizontal="center"/>
    </xf>
    <xf numFmtId="9" fontId="8" fillId="0" borderId="1" xfId="1" applyFont="1" applyBorder="1" applyAlignment="1">
      <alignment horizontal="center"/>
    </xf>
    <xf numFmtId="0" fontId="13" fillId="6" borderId="50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3" fillId="6" borderId="5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3" fontId="13" fillId="6" borderId="7" xfId="0" applyNumberFormat="1" applyFont="1" applyFill="1" applyBorder="1" applyAlignment="1">
      <alignment horizontal="center"/>
    </xf>
    <xf numFmtId="0" fontId="8" fillId="0" borderId="5" xfId="0" applyFont="1" applyBorder="1"/>
    <xf numFmtId="0" fontId="8" fillId="0" borderId="4" xfId="0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wrapText="1"/>
    </xf>
    <xf numFmtId="3" fontId="8" fillId="0" borderId="8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13" fillId="6" borderId="7" xfId="0" applyFont="1" applyFill="1" applyBorder="1" applyAlignment="1">
      <alignment horizontal="center"/>
    </xf>
    <xf numFmtId="3" fontId="13" fillId="6" borderId="10" xfId="0" applyNumberFormat="1" applyFont="1" applyFill="1" applyBorder="1" applyAlignment="1">
      <alignment horizontal="center"/>
    </xf>
    <xf numFmtId="0" fontId="8" fillId="6" borderId="7" xfId="0" applyFont="1" applyFill="1" applyBorder="1"/>
    <xf numFmtId="0" fontId="13" fillId="6" borderId="12" xfId="0" applyFont="1" applyFill="1" applyBorder="1" applyAlignment="1">
      <alignment horizontal="center" vertical="center"/>
    </xf>
    <xf numFmtId="0" fontId="13" fillId="6" borderId="49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1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3" fontId="8" fillId="0" borderId="0" xfId="0" applyNumberFormat="1" applyFont="1"/>
    <xf numFmtId="0" fontId="13" fillId="6" borderId="50" xfId="0" applyFont="1" applyFill="1" applyBorder="1" applyAlignment="1"/>
    <xf numFmtId="0" fontId="13" fillId="6" borderId="6" xfId="0" applyFont="1" applyFill="1" applyBorder="1" applyAlignment="1">
      <alignment wrapText="1"/>
    </xf>
    <xf numFmtId="0" fontId="8" fillId="0" borderId="1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3" fontId="13" fillId="6" borderId="1" xfId="0" applyNumberFormat="1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wrapText="1"/>
    </xf>
    <xf numFmtId="3" fontId="8" fillId="0" borderId="7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41" fontId="8" fillId="0" borderId="1" xfId="9" applyFont="1" applyBorder="1" applyAlignment="1">
      <alignment horizontal="center" vertical="center"/>
    </xf>
    <xf numFmtId="0" fontId="13" fillId="6" borderId="50" xfId="0" applyFont="1" applyFill="1" applyBorder="1" applyAlignment="1">
      <alignment horizontal="center"/>
    </xf>
    <xf numFmtId="0" fontId="8" fillId="6" borderId="6" xfId="0" applyFont="1" applyFill="1" applyBorder="1"/>
    <xf numFmtId="0" fontId="13" fillId="6" borderId="6" xfId="0" applyFont="1" applyFill="1" applyBorder="1" applyAlignment="1">
      <alignment horizontal="right"/>
    </xf>
    <xf numFmtId="0" fontId="8" fillId="6" borderId="5" xfId="0" applyFont="1" applyFill="1" applyBorder="1"/>
    <xf numFmtId="0" fontId="13" fillId="6" borderId="0" xfId="0" applyFont="1" applyFill="1"/>
    <xf numFmtId="0" fontId="8" fillId="6" borderId="0" xfId="0" applyFont="1" applyFill="1"/>
    <xf numFmtId="0" fontId="13" fillId="6" borderId="11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wrapText="1"/>
    </xf>
    <xf numFmtId="0" fontId="13" fillId="6" borderId="0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6" xfId="0" applyFont="1" applyFill="1" applyBorder="1"/>
    <xf numFmtId="0" fontId="13" fillId="6" borderId="5" xfId="0" applyFont="1" applyFill="1" applyBorder="1"/>
    <xf numFmtId="42" fontId="8" fillId="0" borderId="4" xfId="8" applyFont="1" applyBorder="1" applyAlignment="1">
      <alignment horizontal="center"/>
    </xf>
    <xf numFmtId="42" fontId="8" fillId="0" borderId="3" xfId="8" applyFont="1" applyBorder="1" applyAlignment="1">
      <alignment horizontal="center"/>
    </xf>
    <xf numFmtId="42" fontId="8" fillId="0" borderId="1" xfId="8" applyFont="1" applyBorder="1" applyAlignment="1">
      <alignment horizontal="center"/>
    </xf>
    <xf numFmtId="0" fontId="8" fillId="0" borderId="3" xfId="0" applyFont="1" applyBorder="1"/>
    <xf numFmtId="42" fontId="8" fillId="0" borderId="3" xfId="8" applyFont="1" applyBorder="1"/>
    <xf numFmtId="0" fontId="13" fillId="6" borderId="12" xfId="0" applyFont="1" applyFill="1" applyBorder="1" applyAlignment="1">
      <alignment horizontal="left"/>
    </xf>
    <xf numFmtId="0" fontId="8" fillId="6" borderId="49" xfId="0" applyFont="1" applyFill="1" applyBorder="1"/>
    <xf numFmtId="0" fontId="8" fillId="6" borderId="49" xfId="0" applyFont="1" applyFill="1" applyBorder="1" applyAlignment="1">
      <alignment horizontal="center"/>
    </xf>
    <xf numFmtId="3" fontId="13" fillId="6" borderId="13" xfId="0" applyNumberFormat="1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13" fillId="6" borderId="0" xfId="0" applyFont="1" applyFill="1" applyAlignment="1">
      <alignment horizontal="left"/>
    </xf>
    <xf numFmtId="3" fontId="13" fillId="6" borderId="0" xfId="0" applyNumberFormat="1" applyFont="1" applyFill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0" fontId="13" fillId="6" borderId="0" xfId="0" applyFont="1" applyFill="1" applyBorder="1"/>
    <xf numFmtId="0" fontId="13" fillId="6" borderId="2" xfId="0" applyFont="1" applyFill="1" applyBorder="1" applyAlignment="1">
      <alignment horizontal="center" wrapText="1"/>
    </xf>
    <xf numFmtId="0" fontId="13" fillId="6" borderId="50" xfId="0" applyFont="1" applyFill="1" applyBorder="1"/>
    <xf numFmtId="3" fontId="8" fillId="0" borderId="5" xfId="0" applyNumberFormat="1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8" fillId="0" borderId="2" xfId="0" applyFont="1" applyBorder="1" applyAlignment="1">
      <alignment wrapText="1"/>
    </xf>
    <xf numFmtId="3" fontId="8" fillId="0" borderId="4" xfId="0" applyNumberFormat="1" applyFont="1" applyBorder="1"/>
    <xf numFmtId="3" fontId="8" fillId="0" borderId="1" xfId="0" applyNumberFormat="1" applyFont="1" applyBorder="1"/>
    <xf numFmtId="0" fontId="13" fillId="6" borderId="1" xfId="0" applyFont="1" applyFill="1" applyBorder="1" applyAlignment="1">
      <alignment wrapText="1"/>
    </xf>
    <xf numFmtId="3" fontId="13" fillId="6" borderId="0" xfId="0" applyNumberFormat="1" applyFont="1" applyFill="1"/>
    <xf numFmtId="0" fontId="13" fillId="6" borderId="3" xfId="0" applyFont="1" applyFill="1" applyBorder="1"/>
    <xf numFmtId="0" fontId="13" fillId="6" borderId="3" xfId="0" applyFont="1" applyFill="1" applyBorder="1" applyAlignment="1">
      <alignment wrapText="1"/>
    </xf>
    <xf numFmtId="0" fontId="13" fillId="6" borderId="53" xfId="0" applyFont="1" applyFill="1" applyBorder="1"/>
    <xf numFmtId="0" fontId="13" fillId="6" borderId="24" xfId="0" applyFont="1" applyFill="1" applyBorder="1"/>
    <xf numFmtId="0" fontId="13" fillId="6" borderId="29" xfId="0" applyFont="1" applyFill="1" applyBorder="1"/>
    <xf numFmtId="0" fontId="13" fillId="6" borderId="30" xfId="0" applyFont="1" applyFill="1" applyBorder="1"/>
    <xf numFmtId="0" fontId="13" fillId="6" borderId="21" xfId="0" applyFont="1" applyFill="1" applyBorder="1"/>
    <xf numFmtId="0" fontId="8" fillId="0" borderId="17" xfId="0" applyFont="1" applyBorder="1"/>
    <xf numFmtId="0" fontId="8" fillId="0" borderId="17" xfId="0" applyFont="1" applyBorder="1" applyAlignment="1">
      <alignment horizontal="center" vertical="center"/>
    </xf>
    <xf numFmtId="3" fontId="8" fillId="0" borderId="17" xfId="0" applyNumberFormat="1" applyFont="1" applyBorder="1"/>
    <xf numFmtId="0" fontId="8" fillId="0" borderId="31" xfId="0" applyFont="1" applyBorder="1"/>
    <xf numFmtId="0" fontId="8" fillId="0" borderId="20" xfId="0" applyFont="1" applyBorder="1"/>
    <xf numFmtId="0" fontId="8" fillId="0" borderId="30" xfId="0" applyFont="1" applyBorder="1"/>
    <xf numFmtId="0" fontId="8" fillId="0" borderId="0" xfId="0" applyFont="1" applyBorder="1"/>
    <xf numFmtId="0" fontId="8" fillId="0" borderId="33" xfId="0" applyFont="1" applyBorder="1"/>
    <xf numFmtId="0" fontId="8" fillId="0" borderId="23" xfId="0" applyFont="1" applyBorder="1"/>
    <xf numFmtId="0" fontId="13" fillId="6" borderId="9" xfId="0" applyFont="1" applyFill="1" applyBorder="1"/>
    <xf numFmtId="0" fontId="13" fillId="6" borderId="9" xfId="0" applyFont="1" applyFill="1" applyBorder="1" applyAlignment="1">
      <alignment wrapText="1"/>
    </xf>
    <xf numFmtId="0" fontId="13" fillId="6" borderId="44" xfId="0" applyFont="1" applyFill="1" applyBorder="1"/>
    <xf numFmtId="0" fontId="13" fillId="6" borderId="8" xfId="0" applyFont="1" applyFill="1" applyBorder="1"/>
    <xf numFmtId="0" fontId="8" fillId="0" borderId="26" xfId="0" applyFont="1" applyBorder="1"/>
    <xf numFmtId="3" fontId="8" fillId="0" borderId="26" xfId="0" applyNumberFormat="1" applyFont="1" applyBorder="1"/>
    <xf numFmtId="0" fontId="13" fillId="6" borderId="31" xfId="0" applyFont="1" applyFill="1" applyBorder="1" applyAlignment="1">
      <alignment horizontal="center"/>
    </xf>
    <xf numFmtId="0" fontId="13" fillId="6" borderId="20" xfId="0" applyFont="1" applyFill="1" applyBorder="1" applyAlignment="1">
      <alignment horizontal="center"/>
    </xf>
    <xf numFmtId="3" fontId="13" fillId="6" borderId="1" xfId="0" applyNumberFormat="1" applyFont="1" applyFill="1" applyBorder="1"/>
    <xf numFmtId="0" fontId="13" fillId="6" borderId="6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 wrapText="1"/>
    </xf>
    <xf numFmtId="0" fontId="13" fillId="6" borderId="12" xfId="0" applyFont="1" applyFill="1" applyBorder="1" applyAlignment="1">
      <alignment horizontal="center" wrapText="1"/>
    </xf>
    <xf numFmtId="0" fontId="13" fillId="6" borderId="1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/>
    <xf numFmtId="0" fontId="8" fillId="0" borderId="14" xfId="0" applyFont="1" applyBorder="1"/>
    <xf numFmtId="0" fontId="8" fillId="0" borderId="11" xfId="0" applyFont="1" applyBorder="1" applyAlignment="1">
      <alignment horizontal="center"/>
    </xf>
    <xf numFmtId="0" fontId="8" fillId="0" borderId="15" xfId="0" applyFont="1" applyBorder="1"/>
    <xf numFmtId="0" fontId="8" fillId="0" borderId="1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42" xfId="0" applyFont="1" applyBorder="1"/>
    <xf numFmtId="0" fontId="8" fillId="0" borderId="26" xfId="0" applyFont="1" applyBorder="1" applyAlignment="1">
      <alignment horizontal="right"/>
    </xf>
    <xf numFmtId="0" fontId="8" fillId="0" borderId="39" xfId="0" applyFont="1" applyBorder="1" applyAlignment="1">
      <alignment horizontal="right"/>
    </xf>
    <xf numFmtId="0" fontId="8" fillId="0" borderId="16" xfId="0" applyFont="1" applyBorder="1"/>
    <xf numFmtId="0" fontId="8" fillId="0" borderId="22" xfId="0" applyFont="1" applyBorder="1"/>
    <xf numFmtId="0" fontId="8" fillId="0" borderId="43" xfId="0" applyFont="1" applyFill="1" applyBorder="1" applyAlignment="1">
      <alignment horizontal="right"/>
    </xf>
    <xf numFmtId="164" fontId="8" fillId="0" borderId="40" xfId="0" applyNumberFormat="1" applyFont="1" applyBorder="1" applyAlignment="1">
      <alignment horizontal="right"/>
    </xf>
    <xf numFmtId="0" fontId="8" fillId="0" borderId="33" xfId="0" applyFont="1" applyFill="1" applyBorder="1" applyAlignment="1">
      <alignment horizontal="right"/>
    </xf>
    <xf numFmtId="0" fontId="8" fillId="0" borderId="33" xfId="0" applyFont="1" applyBorder="1" applyAlignment="1">
      <alignment horizontal="right"/>
    </xf>
    <xf numFmtId="164" fontId="8" fillId="0" borderId="33" xfId="0" applyNumberFormat="1" applyFont="1" applyBorder="1" applyAlignment="1">
      <alignment horizontal="right"/>
    </xf>
    <xf numFmtId="0" fontId="8" fillId="0" borderId="41" xfId="0" applyFont="1" applyBorder="1" applyAlignment="1">
      <alignment horizontal="right"/>
    </xf>
    <xf numFmtId="164" fontId="8" fillId="0" borderId="0" xfId="0" applyNumberFormat="1" applyFont="1"/>
    <xf numFmtId="164" fontId="8" fillId="0" borderId="41" xfId="0" applyNumberFormat="1" applyFont="1" applyBorder="1" applyAlignment="1">
      <alignment horizontal="right"/>
    </xf>
    <xf numFmtId="0" fontId="8" fillId="0" borderId="22" xfId="0" applyFont="1" applyBorder="1" applyAlignment="1">
      <alignment wrapText="1"/>
    </xf>
    <xf numFmtId="0" fontId="8" fillId="0" borderId="46" xfId="0" applyFont="1" applyBorder="1" applyAlignment="1">
      <alignment horizontal="right"/>
    </xf>
    <xf numFmtId="0" fontId="8" fillId="0" borderId="25" xfId="0" applyFont="1" applyBorder="1"/>
    <xf numFmtId="0" fontId="16" fillId="6" borderId="1" xfId="0" applyFont="1" applyFill="1" applyBorder="1"/>
    <xf numFmtId="167" fontId="16" fillId="6" borderId="1" xfId="2" applyNumberFormat="1" applyFont="1" applyFill="1" applyBorder="1"/>
    <xf numFmtId="0" fontId="14" fillId="0" borderId="0" xfId="0" applyFont="1"/>
    <xf numFmtId="168" fontId="16" fillId="6" borderId="1" xfId="2" applyNumberFormat="1" applyFont="1" applyFill="1" applyBorder="1"/>
    <xf numFmtId="166" fontId="16" fillId="6" borderId="1" xfId="2" applyFont="1" applyFill="1" applyBorder="1"/>
    <xf numFmtId="167" fontId="13" fillId="6" borderId="1" xfId="2" applyNumberFormat="1" applyFont="1" applyFill="1" applyBorder="1"/>
    <xf numFmtId="0" fontId="13" fillId="6" borderId="1" xfId="0" applyFont="1" applyFill="1" applyBorder="1" applyAlignment="1">
      <alignment horizontal="center"/>
    </xf>
    <xf numFmtId="0" fontId="8" fillId="2" borderId="52" xfId="0" applyFont="1" applyFill="1" applyBorder="1"/>
    <xf numFmtId="164" fontId="8" fillId="2" borderId="46" xfId="0" applyNumberFormat="1" applyFont="1" applyFill="1" applyBorder="1"/>
    <xf numFmtId="44" fontId="8" fillId="2" borderId="46" xfId="0" applyNumberFormat="1" applyFont="1" applyFill="1" applyBorder="1"/>
    <xf numFmtId="164" fontId="8" fillId="2" borderId="51" xfId="0" applyNumberFormat="1" applyFont="1" applyFill="1" applyBorder="1"/>
    <xf numFmtId="167" fontId="8" fillId="2" borderId="29" xfId="0" applyNumberFormat="1" applyFont="1" applyFill="1" applyBorder="1"/>
    <xf numFmtId="164" fontId="8" fillId="2" borderId="29" xfId="0" applyNumberFormat="1" applyFont="1" applyFill="1" applyBorder="1"/>
    <xf numFmtId="167" fontId="8" fillId="2" borderId="17" xfId="0" applyNumberFormat="1" applyFont="1" applyFill="1" applyBorder="1"/>
    <xf numFmtId="164" fontId="8" fillId="2" borderId="17" xfId="0" applyNumberFormat="1" applyFont="1" applyFill="1" applyBorder="1"/>
    <xf numFmtId="167" fontId="8" fillId="4" borderId="17" xfId="0" applyNumberFormat="1" applyFont="1" applyFill="1" applyBorder="1"/>
    <xf numFmtId="164" fontId="8" fillId="4" borderId="17" xfId="0" applyNumberFormat="1" applyFont="1" applyFill="1" applyBorder="1"/>
    <xf numFmtId="0" fontId="14" fillId="4" borderId="0" xfId="0" applyFont="1" applyFill="1"/>
    <xf numFmtId="0" fontId="8" fillId="4" borderId="0" xfId="0" applyFont="1" applyFill="1"/>
    <xf numFmtId="167" fontId="8" fillId="2" borderId="26" xfId="0" applyNumberFormat="1" applyFont="1" applyFill="1" applyBorder="1"/>
    <xf numFmtId="164" fontId="8" fillId="2" borderId="26" xfId="0" applyNumberFormat="1" applyFont="1" applyFill="1" applyBorder="1"/>
    <xf numFmtId="167" fontId="8" fillId="2" borderId="1" xfId="0" applyNumberFormat="1" applyFont="1" applyFill="1" applyBorder="1"/>
    <xf numFmtId="164" fontId="8" fillId="2" borderId="1" xfId="0" applyNumberFormat="1" applyFont="1" applyFill="1" applyBorder="1"/>
    <xf numFmtId="0" fontId="15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8" fillId="0" borderId="0" xfId="0" applyFont="1" applyFill="1"/>
    <xf numFmtId="0" fontId="18" fillId="0" borderId="0" xfId="0" applyFont="1" applyFill="1" applyAlignment="1">
      <alignment horizontal="left"/>
    </xf>
    <xf numFmtId="0" fontId="8" fillId="0" borderId="29" xfId="0" applyFont="1" applyBorder="1" applyAlignment="1"/>
    <xf numFmtId="9" fontId="8" fillId="0" borderId="29" xfId="0" applyNumberFormat="1" applyFont="1" applyBorder="1" applyAlignment="1">
      <alignment horizontal="center"/>
    </xf>
    <xf numFmtId="0" fontId="8" fillId="0" borderId="17" xfId="0" applyFont="1" applyBorder="1" applyAlignment="1"/>
    <xf numFmtId="0" fontId="8" fillId="0" borderId="27" xfId="0" applyFont="1" applyBorder="1"/>
    <xf numFmtId="0" fontId="8" fillId="0" borderId="28" xfId="0" applyFont="1" applyBorder="1"/>
    <xf numFmtId="0" fontId="8" fillId="0" borderId="21" xfId="0" applyFont="1" applyBorder="1"/>
    <xf numFmtId="0" fontId="8" fillId="0" borderId="24" xfId="0" applyFont="1" applyBorder="1"/>
    <xf numFmtId="0" fontId="19" fillId="0" borderId="0" xfId="0" applyFont="1" applyBorder="1"/>
    <xf numFmtId="0" fontId="19" fillId="0" borderId="0" xfId="0" applyFont="1"/>
    <xf numFmtId="3" fontId="8" fillId="0" borderId="0" xfId="0" applyNumberFormat="1" applyFont="1" applyBorder="1" applyAlignment="1">
      <alignment horizontal="center"/>
    </xf>
    <xf numFmtId="164" fontId="19" fillId="0" borderId="0" xfId="0" applyNumberFormat="1" applyFont="1" applyBorder="1"/>
    <xf numFmtId="3" fontId="8" fillId="0" borderId="0" xfId="0" applyNumberFormat="1" applyFont="1" applyBorder="1" applyAlignment="1">
      <alignment horizontal="left"/>
    </xf>
    <xf numFmtId="174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164" fontId="19" fillId="0" borderId="6" xfId="0" applyNumberFormat="1" applyFont="1" applyBorder="1"/>
    <xf numFmtId="164" fontId="15" fillId="0" borderId="0" xfId="0" applyNumberFormat="1" applyFont="1" applyBorder="1"/>
    <xf numFmtId="0" fontId="8" fillId="8" borderId="1" xfId="0" applyFont="1" applyFill="1" applyBorder="1"/>
    <xf numFmtId="0" fontId="14" fillId="0" borderId="29" xfId="0" applyFont="1" applyBorder="1" applyAlignment="1">
      <alignment wrapText="1"/>
    </xf>
    <xf numFmtId="3" fontId="8" fillId="0" borderId="29" xfId="0" applyNumberFormat="1" applyFont="1" applyBorder="1"/>
    <xf numFmtId="0" fontId="14" fillId="0" borderId="17" xfId="0" applyFont="1" applyBorder="1" applyAlignment="1">
      <alignment wrapText="1"/>
    </xf>
    <xf numFmtId="3" fontId="8" fillId="0" borderId="17" xfId="0" applyNumberFormat="1" applyFont="1" applyBorder="1" applyAlignment="1">
      <alignment horizontal="right"/>
    </xf>
    <xf numFmtId="164" fontId="8" fillId="0" borderId="17" xfId="0" applyNumberFormat="1" applyFont="1" applyBorder="1"/>
    <xf numFmtId="0" fontId="13" fillId="8" borderId="1" xfId="0" applyFont="1" applyFill="1" applyBorder="1" applyAlignment="1">
      <alignment horizontal="center" wrapText="1"/>
    </xf>
    <xf numFmtId="9" fontId="8" fillId="0" borderId="0" xfId="1" applyFont="1"/>
    <xf numFmtId="3" fontId="8" fillId="0" borderId="29" xfId="0" applyNumberFormat="1" applyFont="1" applyBorder="1" applyAlignment="1">
      <alignment horizontal="center"/>
    </xf>
    <xf numFmtId="9" fontId="8" fillId="0" borderId="17" xfId="1" applyFont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9" fontId="8" fillId="0" borderId="29" xfId="0" applyNumberFormat="1" applyFont="1" applyBorder="1"/>
    <xf numFmtId="0" fontId="13" fillId="8" borderId="28" xfId="0" applyFont="1" applyFill="1" applyBorder="1" applyAlignment="1">
      <alignment horizontal="center"/>
    </xf>
    <xf numFmtId="0" fontId="8" fillId="8" borderId="21" xfId="0" applyFont="1" applyFill="1" applyBorder="1"/>
    <xf numFmtId="0" fontId="8" fillId="8" borderId="0" xfId="0" applyFont="1" applyFill="1"/>
    <xf numFmtId="164" fontId="8" fillId="0" borderId="34" xfId="0" applyNumberFormat="1" applyFont="1" applyBorder="1"/>
    <xf numFmtId="0" fontId="8" fillId="0" borderId="34" xfId="0" applyFont="1" applyBorder="1"/>
    <xf numFmtId="0" fontId="8" fillId="0" borderId="38" xfId="0" applyFont="1" applyBorder="1"/>
    <xf numFmtId="0" fontId="8" fillId="0" borderId="37" xfId="0" applyFont="1" applyBorder="1"/>
    <xf numFmtId="164" fontId="8" fillId="0" borderId="29" xfId="0" applyNumberFormat="1" applyFont="1" applyBorder="1"/>
    <xf numFmtId="0" fontId="8" fillId="0" borderId="35" xfId="0" applyFont="1" applyBorder="1"/>
    <xf numFmtId="0" fontId="14" fillId="0" borderId="19" xfId="0" applyFont="1" applyFill="1" applyBorder="1"/>
    <xf numFmtId="0" fontId="8" fillId="0" borderId="23" xfId="0" applyFont="1" applyFill="1" applyBorder="1"/>
    <xf numFmtId="0" fontId="8" fillId="0" borderId="32" xfId="0" applyFont="1" applyBorder="1"/>
    <xf numFmtId="164" fontId="13" fillId="8" borderId="35" xfId="0" applyNumberFormat="1" applyFont="1" applyFill="1" applyBorder="1"/>
    <xf numFmtId="0" fontId="8" fillId="0" borderId="36" xfId="0" applyFont="1" applyBorder="1"/>
    <xf numFmtId="0" fontId="13" fillId="7" borderId="1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3" fontId="8" fillId="7" borderId="1" xfId="0" applyNumberFormat="1" applyFont="1" applyFill="1" applyBorder="1"/>
    <xf numFmtId="0" fontId="8" fillId="7" borderId="1" xfId="0" applyFont="1" applyFill="1" applyBorder="1" applyAlignment="1">
      <alignment horizontal="left"/>
    </xf>
    <xf numFmtId="0" fontId="8" fillId="7" borderId="1" xfId="0" applyFont="1" applyFill="1" applyBorder="1"/>
    <xf numFmtId="0" fontId="13" fillId="7" borderId="10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3" fontId="13" fillId="7" borderId="1" xfId="0" applyNumberFormat="1" applyFont="1" applyFill="1" applyBorder="1"/>
    <xf numFmtId="0" fontId="13" fillId="7" borderId="1" xfId="0" applyFont="1" applyFill="1" applyBorder="1" applyAlignment="1">
      <alignment horizontal="left"/>
    </xf>
    <xf numFmtId="0" fontId="14" fillId="0" borderId="26" xfId="0" applyFont="1" applyBorder="1"/>
    <xf numFmtId="0" fontId="14" fillId="0" borderId="29" xfId="0" applyFont="1" applyBorder="1"/>
    <xf numFmtId="0" fontId="19" fillId="0" borderId="0" xfId="0" applyFont="1" applyFill="1"/>
    <xf numFmtId="164" fontId="19" fillId="0" borderId="0" xfId="0" applyNumberFormat="1" applyFont="1" applyFill="1"/>
    <xf numFmtId="0" fontId="15" fillId="0" borderId="0" xfId="0" applyFont="1" applyFill="1"/>
    <xf numFmtId="177" fontId="19" fillId="0" borderId="0" xfId="0" applyNumberFormat="1" applyFont="1" applyFill="1"/>
    <xf numFmtId="176" fontId="19" fillId="0" borderId="0" xfId="0" applyNumberFormat="1" applyFont="1" applyFill="1"/>
    <xf numFmtId="170" fontId="19" fillId="0" borderId="0" xfId="0" applyNumberFormat="1" applyFont="1" applyFill="1"/>
    <xf numFmtId="164" fontId="8" fillId="0" borderId="1" xfId="0" applyNumberFormat="1" applyFont="1" applyBorder="1"/>
    <xf numFmtId="164" fontId="13" fillId="8" borderId="1" xfId="0" applyNumberFormat="1" applyFont="1" applyFill="1" applyBorder="1"/>
    <xf numFmtId="9" fontId="8" fillId="0" borderId="0" xfId="0" applyNumberFormat="1" applyFont="1"/>
    <xf numFmtId="169" fontId="8" fillId="0" borderId="0" xfId="0" applyNumberFormat="1" applyFont="1" applyBorder="1"/>
    <xf numFmtId="0" fontId="8" fillId="0" borderId="33" xfId="0" applyFont="1" applyBorder="1" applyAlignment="1">
      <alignment horizontal="center"/>
    </xf>
    <xf numFmtId="164" fontId="8" fillId="0" borderId="45" xfId="0" applyNumberFormat="1" applyFont="1" applyBorder="1"/>
    <xf numFmtId="164" fontId="8" fillId="0" borderId="23" xfId="0" applyNumberFormat="1" applyFont="1" applyBorder="1"/>
    <xf numFmtId="164" fontId="8" fillId="0" borderId="22" xfId="0" applyNumberFormat="1" applyFont="1" applyBorder="1"/>
    <xf numFmtId="164" fontId="8" fillId="0" borderId="21" xfId="0" applyNumberFormat="1" applyFont="1" applyBorder="1"/>
    <xf numFmtId="164" fontId="8" fillId="0" borderId="25" xfId="0" applyNumberFormat="1" applyFont="1" applyBorder="1"/>
    <xf numFmtId="167" fontId="8" fillId="0" borderId="0" xfId="2" applyNumberFormat="1" applyFont="1"/>
    <xf numFmtId="171" fontId="8" fillId="0" borderId="0" xfId="0" applyNumberFormat="1" applyFont="1"/>
    <xf numFmtId="171" fontId="8" fillId="0" borderId="1" xfId="0" applyNumberFormat="1" applyFont="1" applyBorder="1"/>
    <xf numFmtId="0" fontId="8" fillId="2" borderId="0" xfId="0" applyFont="1" applyFill="1"/>
    <xf numFmtId="0" fontId="13" fillId="2" borderId="0" xfId="0" applyFont="1" applyFill="1"/>
    <xf numFmtId="0" fontId="13" fillId="2" borderId="0" xfId="0" applyFont="1" applyFill="1" applyBorder="1"/>
    <xf numFmtId="0" fontId="15" fillId="2" borderId="21" xfId="0" applyFont="1" applyFill="1" applyBorder="1"/>
    <xf numFmtId="0" fontId="19" fillId="2" borderId="17" xfId="0" applyFont="1" applyFill="1" applyBorder="1"/>
    <xf numFmtId="3" fontId="13" fillId="8" borderId="17" xfId="0" applyNumberFormat="1" applyFont="1" applyFill="1" applyBorder="1"/>
    <xf numFmtId="3" fontId="19" fillId="2" borderId="17" xfId="0" applyNumberFormat="1" applyFont="1" applyFill="1" applyBorder="1"/>
    <xf numFmtId="0" fontId="13" fillId="8" borderId="17" xfId="0" applyFont="1" applyFill="1" applyBorder="1" applyAlignment="1">
      <alignment wrapText="1"/>
    </xf>
    <xf numFmtId="3" fontId="14" fillId="0" borderId="0" xfId="0" applyNumberFormat="1" applyFont="1"/>
    <xf numFmtId="3" fontId="8" fillId="0" borderId="33" xfId="0" applyNumberFormat="1" applyFont="1" applyBorder="1"/>
    <xf numFmtId="3" fontId="8" fillId="0" borderId="20" xfId="0" applyNumberFormat="1" applyFont="1" applyBorder="1"/>
    <xf numFmtId="3" fontId="13" fillId="8" borderId="0" xfId="0" applyNumberFormat="1" applyFont="1" applyFill="1"/>
    <xf numFmtId="3" fontId="13" fillId="8" borderId="20" xfId="0" applyNumberFormat="1" applyFont="1" applyFill="1" applyBorder="1"/>
    <xf numFmtId="0" fontId="13" fillId="8" borderId="8" xfId="0" applyFont="1" applyFill="1" applyBorder="1" applyAlignment="1"/>
    <xf numFmtId="0" fontId="13" fillId="8" borderId="7" xfId="0" applyFont="1" applyFill="1" applyBorder="1" applyAlignment="1"/>
    <xf numFmtId="0" fontId="13" fillId="8" borderId="10" xfId="0" applyFont="1" applyFill="1" applyBorder="1" applyAlignment="1"/>
    <xf numFmtId="0" fontId="13" fillId="8" borderId="7" xfId="0" applyFont="1" applyFill="1" applyBorder="1"/>
    <xf numFmtId="3" fontId="8" fillId="0" borderId="19" xfId="0" applyNumberFormat="1" applyFont="1" applyBorder="1"/>
    <xf numFmtId="3" fontId="13" fillId="8" borderId="1" xfId="0" applyNumberFormat="1" applyFont="1" applyFill="1" applyBorder="1"/>
    <xf numFmtId="3" fontId="13" fillId="2" borderId="0" xfId="0" applyNumberFormat="1" applyFont="1" applyFill="1" applyBorder="1"/>
    <xf numFmtId="3" fontId="8" fillId="0" borderId="0" xfId="0" applyNumberFormat="1" applyFont="1" applyBorder="1"/>
    <xf numFmtId="0" fontId="13" fillId="8" borderId="9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172" fontId="8" fillId="0" borderId="1" xfId="0" applyNumberFormat="1" applyFont="1" applyBorder="1"/>
    <xf numFmtId="0" fontId="13" fillId="8" borderId="1" xfId="0" applyFont="1" applyFill="1" applyBorder="1" applyAlignment="1">
      <alignment wrapText="1"/>
    </xf>
    <xf numFmtId="0" fontId="8" fillId="0" borderId="1" xfId="0" applyFont="1" applyBorder="1" applyAlignment="1">
      <alignment horizontal="right"/>
    </xf>
    <xf numFmtId="0" fontId="13" fillId="8" borderId="0" xfId="0" applyFont="1" applyFill="1" applyAlignment="1">
      <alignment wrapText="1"/>
    </xf>
    <xf numFmtId="0" fontId="19" fillId="2" borderId="1" xfId="0" applyFont="1" applyFill="1" applyBorder="1"/>
    <xf numFmtId="0" fontId="13" fillId="8" borderId="0" xfId="0" applyFont="1" applyFill="1" applyBorder="1"/>
    <xf numFmtId="0" fontId="15" fillId="2" borderId="0" xfId="0" applyFont="1" applyFill="1" applyBorder="1"/>
    <xf numFmtId="0" fontId="8" fillId="0" borderId="0" xfId="0" applyFont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49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3" fillId="8" borderId="50" xfId="0" applyFont="1" applyFill="1" applyBorder="1"/>
    <xf numFmtId="0" fontId="13" fillId="8" borderId="6" xfId="0" applyFont="1" applyFill="1" applyBorder="1" applyAlignment="1">
      <alignment horizontal="center" wrapText="1"/>
    </xf>
    <xf numFmtId="0" fontId="13" fillId="8" borderId="5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42" fontId="8" fillId="0" borderId="0" xfId="8" applyFo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0" fontId="8" fillId="0" borderId="0" xfId="1" applyNumberFormat="1" applyFont="1"/>
    <xf numFmtId="38" fontId="8" fillId="0" borderId="0" xfId="0" applyNumberFormat="1" applyFont="1"/>
    <xf numFmtId="8" fontId="8" fillId="0" borderId="0" xfId="0" applyNumberFormat="1" applyFont="1"/>
    <xf numFmtId="173" fontId="14" fillId="0" borderId="0" xfId="3" applyNumberFormat="1" applyFont="1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8" fillId="3" borderId="1" xfId="3" applyNumberFormat="1" applyFont="1" applyFill="1" applyBorder="1" applyAlignment="1">
      <alignment horizontal="center"/>
    </xf>
    <xf numFmtId="37" fontId="8" fillId="3" borderId="1" xfId="3" applyNumberFormat="1" applyFont="1" applyFill="1" applyBorder="1"/>
    <xf numFmtId="175" fontId="8" fillId="0" borderId="0" xfId="0" applyNumberFormat="1" applyFont="1"/>
    <xf numFmtId="38" fontId="13" fillId="8" borderId="1" xfId="0" applyNumberFormat="1" applyFont="1" applyFill="1" applyBorder="1" applyAlignment="1">
      <alignment horizontal="center"/>
    </xf>
    <xf numFmtId="38" fontId="13" fillId="8" borderId="1" xfId="0" applyNumberFormat="1" applyFont="1" applyFill="1" applyBorder="1"/>
    <xf numFmtId="38" fontId="8" fillId="0" borderId="1" xfId="0" applyNumberFormat="1" applyFont="1" applyBorder="1"/>
    <xf numFmtId="3" fontId="8" fillId="0" borderId="1" xfId="0" applyNumberFormat="1" applyFont="1" applyFill="1" applyBorder="1"/>
    <xf numFmtId="0" fontId="8" fillId="2" borderId="1" xfId="0" applyFont="1" applyFill="1" applyBorder="1"/>
    <xf numFmtId="0" fontId="8" fillId="0" borderId="10" xfId="0" applyFont="1" applyBorder="1"/>
    <xf numFmtId="0" fontId="8" fillId="0" borderId="8" xfId="0" applyFont="1" applyBorder="1"/>
    <xf numFmtId="0" fontId="19" fillId="2" borderId="1" xfId="0" applyFont="1" applyFill="1" applyBorder="1" applyAlignment="1">
      <alignment wrapText="1"/>
    </xf>
    <xf numFmtId="3" fontId="8" fillId="0" borderId="1" xfId="0" applyNumberFormat="1" applyFont="1" applyBorder="1" applyAlignment="1">
      <alignment horizontal="right"/>
    </xf>
    <xf numFmtId="0" fontId="16" fillId="2" borderId="0" xfId="0" applyFont="1" applyFill="1"/>
    <xf numFmtId="0" fontId="16" fillId="2" borderId="0" xfId="0" applyFont="1" applyFill="1" applyBorder="1"/>
    <xf numFmtId="0" fontId="8" fillId="0" borderId="11" xfId="0" applyFont="1" applyBorder="1"/>
    <xf numFmtId="0" fontId="19" fillId="2" borderId="0" xfId="0" applyFont="1" applyFill="1" applyBorder="1" applyAlignment="1">
      <alignment wrapText="1"/>
    </xf>
    <xf numFmtId="3" fontId="19" fillId="2" borderId="1" xfId="0" applyNumberFormat="1" applyFont="1" applyFill="1" applyBorder="1"/>
    <xf numFmtId="0" fontId="8" fillId="0" borderId="13" xfId="0" applyFont="1" applyBorder="1"/>
    <xf numFmtId="0" fontId="19" fillId="2" borderId="0" xfId="0" applyFont="1" applyFill="1"/>
    <xf numFmtId="0" fontId="15" fillId="2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42" fontId="8" fillId="0" borderId="29" xfId="8" applyFont="1" applyBorder="1"/>
    <xf numFmtId="178" fontId="8" fillId="0" borderId="0" xfId="7" applyNumberFormat="1" applyFont="1"/>
    <xf numFmtId="178" fontId="8" fillId="0" borderId="0" xfId="0" applyNumberFormat="1" applyFont="1"/>
    <xf numFmtId="0" fontId="8" fillId="4" borderId="0" xfId="0" applyFont="1" applyFill="1" applyBorder="1"/>
    <xf numFmtId="167" fontId="8" fillId="4" borderId="0" xfId="2" applyNumberFormat="1" applyFont="1" applyFill="1" applyBorder="1"/>
  </cellXfs>
  <cellStyles count="10">
    <cellStyle name="Millares" xfId="7" builtinId="3"/>
    <cellStyle name="Millares [0]" xfId="9" builtinId="6"/>
    <cellStyle name="Millares [0] 2" xfId="6"/>
    <cellStyle name="Moneda" xfId="2" builtinId="4"/>
    <cellStyle name="Moneda [0]" xfId="8" builtinId="7"/>
    <cellStyle name="Moneda 2" xfId="3"/>
    <cellStyle name="Normal" xfId="0" builtinId="0"/>
    <cellStyle name="Normal 2" xfId="4"/>
    <cellStyle name="Porcentaje" xfId="1" builtinId="5"/>
    <cellStyle name="Porcentaje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CO"/>
              <a:t>Punto de equilibrio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40026293699462"/>
          <c:y val="3.3227313880362257E-2"/>
          <c:w val="0.824015500563825"/>
          <c:h val="0.74069329296756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'punto de equilibrio'!$C$6</c:f>
              <c:strCache>
                <c:ptCount val="1"/>
                <c:pt idx="0">
                  <c:v>COSTO FIJO</c:v>
                </c:pt>
              </c:strCache>
            </c:strRef>
          </c:tx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35-4643-A65F-E54AABE1B448}"/>
                </c:ext>
              </c:extLst>
            </c:dLbl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'punto de equilibrio'!$B$7:$B$12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593.95483641058365</c:v>
                </c:pt>
                <c:pt idx="2">
                  <c:v>1187.9096728211673</c:v>
                </c:pt>
                <c:pt idx="3">
                  <c:v>1781.8645092317511</c:v>
                </c:pt>
                <c:pt idx="4">
                  <c:v>2375.8193456423346</c:v>
                </c:pt>
                <c:pt idx="5">
                  <c:v>2969.7741820529181</c:v>
                </c:pt>
              </c:numCache>
            </c:numRef>
          </c:xVal>
          <c:yVal>
            <c:numRef>
              <c:f>'punto de equilibrio'!$C$7:$C$12</c:f>
              <c:numCache>
                <c:formatCode>_("$"* #,##0_);_("$"* \(#,##0\);_("$"* "-"_);_(@_)</c:formatCode>
                <c:ptCount val="6"/>
                <c:pt idx="0">
                  <c:v>127375134.53</c:v>
                </c:pt>
                <c:pt idx="1">
                  <c:v>127375134.53</c:v>
                </c:pt>
                <c:pt idx="2">
                  <c:v>127375134.53</c:v>
                </c:pt>
                <c:pt idx="3">
                  <c:v>127375134.53</c:v>
                </c:pt>
                <c:pt idx="4">
                  <c:v>127375134.53</c:v>
                </c:pt>
                <c:pt idx="5">
                  <c:v>127375134.53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35-4643-A65F-E54AABE1B448}"/>
            </c:ext>
          </c:extLst>
        </c:ser>
        <c:ser>
          <c:idx val="2"/>
          <c:order val="1"/>
          <c:tx>
            <c:strRef>
              <c:f>'punto de equilibrio'!$E$6</c:f>
              <c:strCache>
                <c:ptCount val="1"/>
                <c:pt idx="0">
                  <c:v>COSTO TOTAL</c:v>
                </c:pt>
              </c:strCache>
            </c:strRef>
          </c:tx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35-4643-A65F-E54AABE1B448}"/>
                </c:ext>
              </c:extLst>
            </c:dLbl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'punto de equilibrio'!$B$7:$B$12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593.95483641058365</c:v>
                </c:pt>
                <c:pt idx="2">
                  <c:v>1187.9096728211673</c:v>
                </c:pt>
                <c:pt idx="3">
                  <c:v>1781.8645092317511</c:v>
                </c:pt>
                <c:pt idx="4">
                  <c:v>2375.8193456423346</c:v>
                </c:pt>
                <c:pt idx="5">
                  <c:v>2969.7741820529181</c:v>
                </c:pt>
              </c:numCache>
            </c:numRef>
          </c:xVal>
          <c:yVal>
            <c:numRef>
              <c:f>'punto de equilibrio'!$E$7:$E$12</c:f>
              <c:numCache>
                <c:formatCode>_("$"* #,##0_);_("$"* \(#,##0\);_("$"* "-"_);_(@_)</c:formatCode>
                <c:ptCount val="6"/>
                <c:pt idx="0">
                  <c:v>127375134.53</c:v>
                </c:pt>
                <c:pt idx="1">
                  <c:v>148987286.17445254</c:v>
                </c:pt>
                <c:pt idx="2">
                  <c:v>170599437.81890506</c:v>
                </c:pt>
                <c:pt idx="3">
                  <c:v>192211589.46335757</c:v>
                </c:pt>
                <c:pt idx="4">
                  <c:v>213823741.10781011</c:v>
                </c:pt>
                <c:pt idx="5">
                  <c:v>235435892.75226262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635-4643-A65F-E54AABE1B448}"/>
            </c:ext>
          </c:extLst>
        </c:ser>
        <c:ser>
          <c:idx val="3"/>
          <c:order val="2"/>
          <c:tx>
            <c:strRef>
              <c:f>'punto de equilibrio'!$F$6</c:f>
              <c:strCache>
                <c:ptCount val="1"/>
                <c:pt idx="0">
                  <c:v>INGRESO TOTAL</c:v>
                </c:pt>
              </c:strCache>
            </c:strRef>
          </c:tx>
          <c:marker>
            <c:symbol val="none"/>
          </c:marker>
          <c:xVal>
            <c:numRef>
              <c:f>'punto de equilibrio'!$B$7:$B$12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593.95483641058365</c:v>
                </c:pt>
                <c:pt idx="2">
                  <c:v>1187.9096728211673</c:v>
                </c:pt>
                <c:pt idx="3">
                  <c:v>1781.8645092317511</c:v>
                </c:pt>
                <c:pt idx="4">
                  <c:v>2375.8193456423346</c:v>
                </c:pt>
                <c:pt idx="5">
                  <c:v>2969.7741820529181</c:v>
                </c:pt>
              </c:numCache>
            </c:numRef>
          </c:xVal>
          <c:yVal>
            <c:numRef>
              <c:f>'punto de equilibrio'!$F$7:$F$12</c:f>
              <c:numCache>
                <c:formatCode>_("$"* #,##0_);_("$"* \(#,##0\);_("$"* "-"_);_(@_)</c:formatCode>
                <c:ptCount val="6"/>
                <c:pt idx="0">
                  <c:v>0</c:v>
                </c:pt>
                <c:pt idx="1">
                  <c:v>53455935.276952527</c:v>
                </c:pt>
                <c:pt idx="2">
                  <c:v>106911870.55390505</c:v>
                </c:pt>
                <c:pt idx="3">
                  <c:v>160367805.8308576</c:v>
                </c:pt>
                <c:pt idx="4">
                  <c:v>213823741.10781011</c:v>
                </c:pt>
                <c:pt idx="5">
                  <c:v>267279676.38476264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635-4643-A65F-E54AABE1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0832"/>
        <c:axId val="194299392"/>
      </c:scatterChart>
      <c:valAx>
        <c:axId val="194280832"/>
        <c:scaling>
          <c:orientation val="minMax"/>
          <c:max val="1500"/>
          <c:min val="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O"/>
                  <a:t>Cantidades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94299392"/>
        <c:crosses val="autoZero"/>
        <c:crossBetween val="midCat"/>
      </c:valAx>
      <c:valAx>
        <c:axId val="194299392"/>
        <c:scaling>
          <c:orientation val="minMax"/>
          <c:max val="200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$$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94280832"/>
        <c:crosses val="autoZero"/>
        <c:crossBetween val="midCat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21167</xdr:rowOff>
    </xdr:from>
    <xdr:to>
      <xdr:col>6</xdr:col>
      <xdr:colOff>63500</xdr:colOff>
      <xdr:row>7</xdr:row>
      <xdr:rowOff>160421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2917" y="21167"/>
          <a:ext cx="4582583" cy="147275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PROYECTO INDUSTRIAL, FABRICACIÓN DE HARINA</a:t>
          </a:r>
          <a:r>
            <a:rPr lang="es-ES" sz="1100" b="1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DE MAIZ</a:t>
          </a:r>
          <a:endParaRPr lang="es-CO" sz="1400" b="1" baseline="0">
            <a:latin typeface="Times New Roman" pitchFamily="18" charset="0"/>
            <a:cs typeface="Times New Roman" pitchFamily="18" charset="0"/>
          </a:endParaRPr>
        </a:p>
        <a:p>
          <a:endParaRPr lang="es-CO" sz="1400" b="1" baseline="0"/>
        </a:p>
        <a:p>
          <a:pPr algn="l"/>
          <a:r>
            <a:rPr lang="es-CO" sz="1400" b="0" baseline="0">
              <a:latin typeface="Times New Roman" pitchFamily="18" charset="0"/>
              <a:cs typeface="Times New Roman" pitchFamily="18" charset="0"/>
            </a:rPr>
            <a:t> Es una empresa del sector de alimentos, fabrica y comercializa productos de alta calidad, buscando la satisfacción de clientes y consumidores, la calidad final de todos los productos, destinados al sector de la panadería y pastelería.</a:t>
          </a:r>
          <a:endParaRPr lang="es-CO" sz="1400" b="0">
            <a:latin typeface="Times New Roman" pitchFamily="18" charset="0"/>
            <a:cs typeface="Times New Roman" pitchFamily="18" charset="0"/>
          </a:endParaRPr>
        </a:p>
        <a:p>
          <a:pPr algn="ctr"/>
          <a:endParaRPr lang="es-CO" sz="1100" b="1"/>
        </a:p>
      </xdr:txBody>
    </xdr:sp>
    <xdr:clientData/>
  </xdr:twoCellAnchor>
  <xdr:twoCellAnchor>
    <xdr:from>
      <xdr:col>3</xdr:col>
      <xdr:colOff>210436</xdr:colOff>
      <xdr:row>208</xdr:row>
      <xdr:rowOff>22152</xdr:rowOff>
    </xdr:from>
    <xdr:to>
      <xdr:col>8</xdr:col>
      <xdr:colOff>11076</xdr:colOff>
      <xdr:row>224</xdr:row>
      <xdr:rowOff>60158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2496436" y="40027152"/>
          <a:ext cx="3610640" cy="3086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bg1"/>
              </a:solidFill>
            </a:rPr>
            <a:t>PUNTO DE EQUILIBRIO:  Punto</a:t>
          </a:r>
          <a:r>
            <a:rPr lang="es-CO" sz="1100" b="1" baseline="0">
              <a:solidFill>
                <a:schemeClr val="bg1"/>
              </a:solidFill>
            </a:rPr>
            <a:t> en el cual los ingresos totales son iguales a los costos totales, la empresa no obtiene ni utilidad ni perdida.</a:t>
          </a:r>
        </a:p>
        <a:p>
          <a:r>
            <a:rPr lang="es-CO" sz="1100" b="1" baseline="0">
              <a:solidFill>
                <a:schemeClr val="bg1"/>
              </a:solidFill>
            </a:rPr>
            <a:t>Para su cálculo hay que tener determinados los cotos fijos y variable.</a:t>
          </a:r>
        </a:p>
        <a:p>
          <a:endParaRPr lang="es-CO" sz="1100" b="1" baseline="0">
            <a:solidFill>
              <a:schemeClr val="bg1"/>
            </a:solidFill>
          </a:endParaRPr>
        </a:p>
        <a:p>
          <a:r>
            <a:rPr lang="es-CO" sz="1100" b="1" baseline="0">
              <a:solidFill>
                <a:schemeClr val="bg1"/>
              </a:solidFill>
            </a:rPr>
            <a:t>C Fijos. Se presentan en igual magnitud y valor independiente de los niveles de producción de la empresa. Ej. Depreciación,  Gastos de Administración como arrendamiento, sueldos del personal administrativo.</a:t>
          </a:r>
        </a:p>
        <a:p>
          <a:endParaRPr lang="es-CO" sz="1100" b="1" baseline="0">
            <a:solidFill>
              <a:schemeClr val="bg1"/>
            </a:solidFill>
          </a:endParaRPr>
        </a:p>
        <a:p>
          <a:r>
            <a:rPr lang="es-CO" sz="1100" b="1" baseline="0">
              <a:solidFill>
                <a:schemeClr val="bg1"/>
              </a:solidFill>
            </a:rPr>
            <a:t>C. Variables. Presentan variación ante cambios en los niveles de producción. Ej. Materiales directos e indirectos, servicios asociados a la planta de producción,  Mano de obra directa (operarios, supervisores de producción)</a:t>
          </a:r>
        </a:p>
        <a:p>
          <a:endParaRPr lang="es-CO" sz="1100" b="1" baseline="0">
            <a:solidFill>
              <a:schemeClr val="bg1"/>
            </a:solidFill>
          </a:endParaRPr>
        </a:p>
        <a:p>
          <a:endParaRPr lang="es-CO" sz="1100" b="1" baseline="0">
            <a:solidFill>
              <a:schemeClr val="bg1"/>
            </a:solidFill>
          </a:endParaRPr>
        </a:p>
        <a:p>
          <a:r>
            <a:rPr lang="es-CO" sz="1100" b="1" baseline="0">
              <a:solidFill>
                <a:schemeClr val="bg1"/>
              </a:solidFill>
            </a:rPr>
            <a:t>Qo = _____________</a:t>
          </a:r>
          <a:r>
            <a:rPr lang="es-CO" sz="1100" b="1" u="sng" baseline="0">
              <a:solidFill>
                <a:schemeClr val="bg1"/>
              </a:solidFill>
            </a:rPr>
            <a:t>_Costos Fijos___________</a:t>
          </a:r>
        </a:p>
        <a:p>
          <a:r>
            <a:rPr lang="es-CO" sz="1100" b="1" u="none" baseline="0">
              <a:solidFill>
                <a:schemeClr val="bg1"/>
              </a:solidFill>
            </a:rPr>
            <a:t>          Precio de Venta-Costo de Variable unitario</a:t>
          </a:r>
          <a:endParaRPr lang="es-CO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804059</xdr:colOff>
      <xdr:row>543</xdr:row>
      <xdr:rowOff>173182</xdr:rowOff>
    </xdr:from>
    <xdr:to>
      <xdr:col>8</xdr:col>
      <xdr:colOff>445325</xdr:colOff>
      <xdr:row>546</xdr:row>
      <xdr:rowOff>80406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2289959" y="103995682"/>
          <a:ext cx="4251366" cy="4787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Para</a:t>
          </a:r>
          <a:r>
            <a:rPr lang="es-CO" sz="1100" baseline="0"/>
            <a:t> este proyecto, el crédito es a través de un banco mendiante la modalidad de crédito ordinario de libre inversión a 5 años con una tasa anual de 23,87%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14</xdr:row>
      <xdr:rowOff>76200</xdr:rowOff>
    </xdr:from>
    <xdr:ext cx="2171700" cy="3511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609850" y="2790825"/>
              <a:ext cx="2171700" cy="351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b="0" i="1">
                        <a:latin typeface="Cambria Math" panose="02040503050406030204" pitchFamily="18" charset="0"/>
                      </a:rPr>
                      <m:t>𝑃𝐸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/>
                          </a:rPr>
                        </m:ctrlPr>
                      </m:fPr>
                      <m:num>
                        <m:r>
                          <a:rPr lang="es-CO" sz="1200" b="0" i="1">
                            <a:latin typeface="Cambria Math" panose="02040503050406030204" pitchFamily="18" charset="0"/>
                          </a:rPr>
                          <m:t>𝐶𝑓</m:t>
                        </m:r>
                      </m:num>
                      <m:den>
                        <m:r>
                          <a:rPr lang="es-CO" sz="1200" b="0" i="1">
                            <a:latin typeface="Cambria Math" panose="02040503050406030204" pitchFamily="18" charset="0"/>
                          </a:rPr>
                          <m:t>𝑃𝑉</m:t>
                        </m:r>
                        <m:r>
                          <a:rPr lang="es-CO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b="0" i="1">
                            <a:latin typeface="Cambria Math" panose="02040503050406030204" pitchFamily="18" charset="0"/>
                          </a:rPr>
                          <m:t>𝐶𝑉𝑈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609850" y="2790825"/>
              <a:ext cx="2171700" cy="351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200" b="0" i="0">
                  <a:latin typeface="Cambria Math" panose="02040503050406030204" pitchFamily="18" charset="0"/>
                </a:rPr>
                <a:t>𝑃𝐸</a:t>
              </a:r>
              <a:r>
                <a:rPr lang="es-CO" sz="1200" i="0">
                  <a:latin typeface="Cambria Math" panose="02040503050406030204" pitchFamily="18" charset="0"/>
                </a:rPr>
                <a:t>=</a:t>
              </a:r>
              <a:r>
                <a:rPr lang="es-CO" sz="1200" b="0" i="0">
                  <a:latin typeface="Cambria Math" panose="02040503050406030204" pitchFamily="18" charset="0"/>
                </a:rPr>
                <a:t>𝐶𝑓/(𝑃𝑉−𝐶𝑉𝑈)</a:t>
              </a:r>
              <a:endParaRPr lang="es-CO" sz="1200"/>
            </a:p>
          </xdr:txBody>
        </xdr:sp>
      </mc:Fallback>
    </mc:AlternateContent>
    <xdr:clientData/>
  </xdr:oneCellAnchor>
  <xdr:twoCellAnchor>
    <xdr:from>
      <xdr:col>6</xdr:col>
      <xdr:colOff>266701</xdr:colOff>
      <xdr:row>0</xdr:row>
      <xdr:rowOff>95249</xdr:rowOff>
    </xdr:from>
    <xdr:to>
      <xdr:col>17</xdr:col>
      <xdr:colOff>104775</xdr:colOff>
      <xdr:row>27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32</xdr:row>
      <xdr:rowOff>190499</xdr:rowOff>
    </xdr:from>
    <xdr:to>
      <xdr:col>9</xdr:col>
      <xdr:colOff>619125</xdr:colOff>
      <xdr:row>53</xdr:row>
      <xdr:rowOff>85725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562475" y="6334124"/>
          <a:ext cx="4714875" cy="389572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El</a:t>
          </a:r>
          <a:r>
            <a:rPr lang="es-CO" sz="11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punto de equilibrio se define como el momento en el cual las ventas igualan el valor total de los costos (Costo fijo + Costo variable) para este caso en particular se tendría el punto de equilibrio en 1.218 unidades  y unas ventas de 160.723.081</a:t>
          </a:r>
        </a:p>
        <a:p>
          <a:pPr algn="ctr"/>
          <a:r>
            <a:rPr lang="es-CO" sz="11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Por debajo de 1.218unidades se presentan perdidas para la empresa, dado que los ingresos serían menores que los costos y gastos</a:t>
          </a:r>
        </a:p>
        <a:p>
          <a:pPr algn="ctr"/>
          <a:endParaRPr lang="es-CO" sz="11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s-CO" sz="11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Por encima de 1.218 unidades se  empiezan a presentar utilidades dado que los ingresos son mayores a los costos y gastos.</a:t>
          </a:r>
        </a:p>
        <a:p>
          <a:pPr algn="ctr"/>
          <a:endParaRPr lang="es-CO" sz="11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s-CO" sz="11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El punto de equlibrio es correcto dado que 1.218 unidades son menores a las unidades a producir que son de  1.650 unidades</a:t>
          </a:r>
        </a:p>
        <a:p>
          <a:pPr algn="ctr"/>
          <a:endParaRPr lang="es-CO" sz="11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s-CO" sz="11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EL precio de venta es de $132.000 y el costo variable unitario es de  $58.099</a:t>
          </a:r>
        </a:p>
        <a:p>
          <a:pPr algn="ctr"/>
          <a:endParaRPr lang="es-CO" sz="11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s-CO" sz="11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Se cumplen todas las condiciones para afirmar que el  punto de equilibrio es correcto</a:t>
          </a:r>
          <a:endParaRPr lang="es-CO" sz="11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661988</xdr:colOff>
      <xdr:row>14</xdr:row>
      <xdr:rowOff>142877</xdr:rowOff>
    </xdr:from>
    <xdr:to>
      <xdr:col>12</xdr:col>
      <xdr:colOff>323850</xdr:colOff>
      <xdr:row>32</xdr:row>
      <xdr:rowOff>190499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>
          <a:stCxn id="4" idx="0"/>
        </xdr:cNvCxnSpPr>
      </xdr:nvCxnSpPr>
      <xdr:spPr>
        <a:xfrm flipV="1">
          <a:off x="7034213" y="2857502"/>
          <a:ext cx="4233862" cy="3476622"/>
        </a:xfrm>
        <a:prstGeom prst="straightConnector1">
          <a:avLst/>
        </a:prstGeom>
        <a:ln cmpd="dbl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22</xdr:row>
      <xdr:rowOff>1</xdr:rowOff>
    </xdr:from>
    <xdr:to>
      <xdr:col>6</xdr:col>
      <xdr:colOff>661988</xdr:colOff>
      <xdr:row>32</xdr:row>
      <xdr:rowOff>190499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>
          <a:stCxn id="4" idx="0"/>
        </xdr:cNvCxnSpPr>
      </xdr:nvCxnSpPr>
      <xdr:spPr>
        <a:xfrm flipH="1" flipV="1">
          <a:off x="3524251" y="4238626"/>
          <a:ext cx="3509962" cy="2095498"/>
        </a:xfrm>
        <a:prstGeom prst="straightConnector1">
          <a:avLst/>
        </a:prstGeom>
        <a:ln cmpd="dbl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7" sqref="M17"/>
    </sheetView>
  </sheetViews>
  <sheetFormatPr baseColWidth="10" defaultRowHeight="15" x14ac:dyDescent="0.25"/>
  <sheetData>
    <row r="1" spans="1:9" ht="19.5" x14ac:dyDescent="0.25">
      <c r="A1" s="25" t="s">
        <v>508</v>
      </c>
      <c r="B1" s="25"/>
      <c r="C1" s="25"/>
      <c r="D1" s="25"/>
      <c r="E1" s="25"/>
      <c r="F1" s="25"/>
      <c r="G1" s="25"/>
      <c r="H1" s="25"/>
      <c r="I1" s="25"/>
    </row>
    <row r="3" spans="1:9" ht="27.75" x14ac:dyDescent="0.25">
      <c r="D3" s="27" t="s">
        <v>544</v>
      </c>
      <c r="E3" s="26"/>
    </row>
    <row r="16" spans="1:9" ht="20.25" x14ac:dyDescent="0.3">
      <c r="A16" s="29" t="s">
        <v>509</v>
      </c>
      <c r="B16" s="29"/>
      <c r="C16" s="29"/>
      <c r="D16" s="29"/>
      <c r="E16" s="29"/>
      <c r="F16" s="29"/>
      <c r="G16" s="29"/>
      <c r="H16" s="29"/>
      <c r="I16" s="29"/>
    </row>
    <row r="18" spans="4:6" ht="23.25" x14ac:dyDescent="0.35">
      <c r="D18" s="28" t="s">
        <v>543</v>
      </c>
      <c r="E18" s="28"/>
      <c r="F18" s="28"/>
    </row>
  </sheetData>
  <mergeCells count="3">
    <mergeCell ref="A1:I1"/>
    <mergeCell ref="A16:I16"/>
    <mergeCell ref="D18:F1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724"/>
  <sheetViews>
    <sheetView topLeftCell="A50" zoomScale="96" zoomScaleNormal="96" workbookViewId="0">
      <selection activeCell="F18" sqref="F18"/>
    </sheetView>
  </sheetViews>
  <sheetFormatPr baseColWidth="10" defaultRowHeight="15" x14ac:dyDescent="0.25"/>
  <cols>
    <col min="1" max="1" width="35" style="20" customWidth="1"/>
    <col min="2" max="2" width="17.42578125" style="20" customWidth="1"/>
    <col min="3" max="3" width="16.42578125" style="20" customWidth="1"/>
    <col min="4" max="4" width="16.140625" style="20" customWidth="1"/>
    <col min="5" max="5" width="16" style="20" customWidth="1"/>
    <col min="6" max="6" width="19.5703125" style="20" customWidth="1"/>
    <col min="7" max="7" width="14.7109375" style="20" bestFit="1" customWidth="1"/>
    <col min="8" max="9" width="11.5703125" style="20" bestFit="1" customWidth="1"/>
    <col min="10" max="10" width="14.140625" style="20" bestFit="1" customWidth="1"/>
    <col min="11" max="11" width="22.5703125" style="20" bestFit="1" customWidth="1"/>
    <col min="12" max="12" width="15.28515625" style="20" bestFit="1" customWidth="1"/>
    <col min="13" max="13" width="12.7109375" style="20" bestFit="1" customWidth="1"/>
    <col min="14" max="16384" width="11.42578125" style="20"/>
  </cols>
  <sheetData>
    <row r="1" spans="1:10" ht="15.75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</row>
    <row r="2" spans="1:10" ht="15.75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</row>
    <row r="3" spans="1:10" ht="15.75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</row>
    <row r="4" spans="1:10" ht="15.75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</row>
    <row r="5" spans="1:10" ht="15.75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</row>
    <row r="6" spans="1:10" ht="15.75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</row>
    <row r="7" spans="1:10" ht="15.75" x14ac:dyDescent="0.25">
      <c r="A7" s="98"/>
      <c r="B7" s="98"/>
      <c r="C7" s="98"/>
      <c r="D7" s="98"/>
      <c r="E7" s="98"/>
      <c r="F7" s="98"/>
      <c r="G7" s="98"/>
      <c r="H7" s="98"/>
      <c r="I7" s="98"/>
      <c r="J7" s="98"/>
    </row>
    <row r="8" spans="1:10" ht="15.75" x14ac:dyDescent="0.25">
      <c r="A8" s="98"/>
      <c r="B8" s="98"/>
      <c r="C8" s="98"/>
      <c r="D8" s="98"/>
      <c r="E8" s="98"/>
      <c r="F8" s="98"/>
      <c r="G8" s="98"/>
      <c r="H8" s="98"/>
      <c r="I8" s="98"/>
      <c r="J8" s="98"/>
    </row>
    <row r="9" spans="1:10" ht="15.75" x14ac:dyDescent="0.25">
      <c r="A9" s="98"/>
      <c r="B9" s="98"/>
      <c r="C9" s="98"/>
      <c r="D9" s="98"/>
      <c r="E9" s="98"/>
      <c r="F9" s="98"/>
      <c r="G9" s="98"/>
      <c r="H9" s="98"/>
      <c r="I9" s="98"/>
      <c r="J9" s="98"/>
    </row>
    <row r="10" spans="1:10" ht="15.75" x14ac:dyDescent="0.25">
      <c r="A10" s="99" t="s">
        <v>499</v>
      </c>
      <c r="B10" s="100">
        <v>38400</v>
      </c>
      <c r="C10" s="98" t="s">
        <v>541</v>
      </c>
      <c r="D10" s="98"/>
      <c r="E10" s="98"/>
      <c r="F10" s="98"/>
      <c r="G10" s="98"/>
      <c r="H10" s="98"/>
      <c r="I10" s="98"/>
      <c r="J10" s="98"/>
    </row>
    <row r="11" spans="1:10" ht="15.75" x14ac:dyDescent="0.25">
      <c r="A11" s="99" t="s">
        <v>498</v>
      </c>
      <c r="B11" s="100">
        <v>90000</v>
      </c>
      <c r="C11" s="101" t="s">
        <v>510</v>
      </c>
      <c r="D11" s="98"/>
      <c r="E11" s="98"/>
      <c r="F11" s="98"/>
      <c r="G11" s="102"/>
      <c r="H11" s="98"/>
      <c r="I11" s="98"/>
      <c r="J11" s="98"/>
    </row>
    <row r="12" spans="1:10" ht="15.75" x14ac:dyDescent="0.25">
      <c r="A12" s="99" t="s">
        <v>497</v>
      </c>
      <c r="B12" s="103">
        <v>6.4500000000000002E-2</v>
      </c>
      <c r="C12" s="98"/>
      <c r="D12" s="98"/>
      <c r="E12" s="98"/>
      <c r="F12" s="98"/>
      <c r="G12" s="98"/>
      <c r="H12" s="98"/>
      <c r="I12" s="98"/>
      <c r="J12" s="98"/>
    </row>
    <row r="13" spans="1:10" ht="15.75" x14ac:dyDescent="0.25">
      <c r="A13" s="99" t="s">
        <v>496</v>
      </c>
      <c r="B13" s="104">
        <v>0.4</v>
      </c>
      <c r="C13" s="98"/>
      <c r="D13" s="98"/>
      <c r="E13" s="98"/>
      <c r="F13" s="98"/>
      <c r="G13" s="98"/>
      <c r="H13" s="98"/>
      <c r="I13" s="98"/>
      <c r="J13" s="98"/>
    </row>
    <row r="14" spans="1:10" ht="15.75" x14ac:dyDescent="0.25">
      <c r="A14" s="99" t="s">
        <v>495</v>
      </c>
      <c r="B14" s="104">
        <v>0.7</v>
      </c>
      <c r="C14" s="98"/>
      <c r="D14" s="98"/>
      <c r="E14" s="98"/>
      <c r="F14" s="98"/>
      <c r="G14" s="98"/>
      <c r="H14" s="98"/>
      <c r="I14" s="98"/>
      <c r="J14" s="98"/>
    </row>
    <row r="15" spans="1:10" ht="15.75" x14ac:dyDescent="0.25">
      <c r="A15" s="99" t="s">
        <v>494</v>
      </c>
      <c r="B15" s="104">
        <v>0.3</v>
      </c>
      <c r="C15" s="98"/>
      <c r="D15" s="98"/>
      <c r="E15" s="98"/>
      <c r="F15" s="98"/>
      <c r="G15" s="98"/>
      <c r="H15" s="98"/>
      <c r="I15" s="98"/>
      <c r="J15" s="98"/>
    </row>
    <row r="16" spans="1:10" ht="15.75" x14ac:dyDescent="0.25">
      <c r="A16" s="98"/>
      <c r="B16" s="98"/>
      <c r="C16" s="98"/>
      <c r="D16" s="98"/>
      <c r="E16" s="98"/>
      <c r="F16" s="98"/>
      <c r="G16" s="98"/>
      <c r="H16" s="98"/>
      <c r="I16" s="98"/>
      <c r="J16" s="98"/>
    </row>
    <row r="17" spans="1:10" ht="15.75" x14ac:dyDescent="0.25">
      <c r="A17" s="30" t="s">
        <v>362</v>
      </c>
      <c r="B17" s="31"/>
      <c r="C17" s="31"/>
      <c r="D17" s="32"/>
      <c r="E17" s="98"/>
      <c r="F17" s="98"/>
      <c r="G17" s="98"/>
      <c r="H17" s="98"/>
      <c r="I17" s="98"/>
      <c r="J17" s="98"/>
    </row>
    <row r="18" spans="1:10" ht="31.5" x14ac:dyDescent="0.25">
      <c r="A18" s="105" t="s">
        <v>3</v>
      </c>
      <c r="B18" s="106" t="s">
        <v>0</v>
      </c>
      <c r="C18" s="106" t="s">
        <v>1</v>
      </c>
      <c r="D18" s="107" t="s">
        <v>2</v>
      </c>
      <c r="E18" s="98"/>
      <c r="F18" s="98"/>
      <c r="G18" s="98"/>
      <c r="H18" s="98"/>
      <c r="I18" s="98"/>
      <c r="J18" s="98"/>
    </row>
    <row r="19" spans="1:10" ht="15.75" x14ac:dyDescent="0.25">
      <c r="A19" s="108" t="s">
        <v>511</v>
      </c>
      <c r="B19" s="108">
        <v>2</v>
      </c>
      <c r="C19" s="100">
        <v>75000</v>
      </c>
      <c r="D19" s="100">
        <f t="shared" ref="D19:D23" si="0">B19*C19</f>
        <v>150000</v>
      </c>
      <c r="E19" s="98"/>
      <c r="F19" s="98"/>
      <c r="G19" s="98"/>
      <c r="H19" s="98"/>
      <c r="I19" s="98"/>
      <c r="J19" s="98"/>
    </row>
    <row r="20" spans="1:10" ht="15.75" x14ac:dyDescent="0.25">
      <c r="A20" s="108" t="s">
        <v>512</v>
      </c>
      <c r="B20" s="108">
        <v>1</v>
      </c>
      <c r="C20" s="100">
        <v>40000</v>
      </c>
      <c r="D20" s="100">
        <f t="shared" si="0"/>
        <v>40000</v>
      </c>
      <c r="E20" s="98"/>
      <c r="F20" s="98"/>
      <c r="G20" s="98"/>
      <c r="H20" s="98"/>
      <c r="I20" s="98"/>
      <c r="J20" s="98"/>
    </row>
    <row r="21" spans="1:10" ht="15.75" x14ac:dyDescent="0.25">
      <c r="A21" s="108" t="s">
        <v>513</v>
      </c>
      <c r="B21" s="108">
        <v>1</v>
      </c>
      <c r="C21" s="100">
        <v>200000</v>
      </c>
      <c r="D21" s="100">
        <f t="shared" si="0"/>
        <v>200000</v>
      </c>
      <c r="E21" s="98"/>
      <c r="F21" s="98"/>
      <c r="G21" s="98"/>
      <c r="H21" s="98"/>
      <c r="I21" s="98"/>
      <c r="J21" s="98"/>
    </row>
    <row r="22" spans="1:10" ht="15.75" x14ac:dyDescent="0.25">
      <c r="A22" s="108" t="s">
        <v>4</v>
      </c>
      <c r="B22" s="108">
        <v>3</v>
      </c>
      <c r="C22" s="100">
        <v>80000</v>
      </c>
      <c r="D22" s="100">
        <f t="shared" si="0"/>
        <v>240000</v>
      </c>
      <c r="E22" s="98"/>
      <c r="F22" s="98"/>
      <c r="G22" s="98"/>
      <c r="H22" s="98"/>
      <c r="I22" s="98"/>
      <c r="J22" s="98"/>
    </row>
    <row r="23" spans="1:10" ht="15.75" x14ac:dyDescent="0.25">
      <c r="A23" s="108" t="s">
        <v>5</v>
      </c>
      <c r="B23" s="108">
        <v>5</v>
      </c>
      <c r="C23" s="100">
        <v>60000</v>
      </c>
      <c r="D23" s="100">
        <f t="shared" si="0"/>
        <v>300000</v>
      </c>
      <c r="E23" s="98"/>
      <c r="F23" s="98"/>
      <c r="G23" s="98"/>
      <c r="H23" s="98"/>
      <c r="I23" s="98"/>
      <c r="J23" s="98"/>
    </row>
    <row r="24" spans="1:10" ht="15.75" x14ac:dyDescent="0.25">
      <c r="A24" s="109" t="s">
        <v>6</v>
      </c>
      <c r="B24" s="110"/>
      <c r="C24" s="110"/>
      <c r="D24" s="111">
        <f>SUM(D19:D23)</f>
        <v>930000</v>
      </c>
      <c r="E24" s="98"/>
      <c r="F24" s="98"/>
      <c r="G24" s="98"/>
      <c r="H24" s="98"/>
      <c r="I24" s="98"/>
      <c r="J24" s="98"/>
    </row>
    <row r="25" spans="1:10" ht="15.75" x14ac:dyDescent="0.25">
      <c r="A25" s="98"/>
      <c r="B25" s="98"/>
      <c r="C25" s="98"/>
      <c r="D25" s="98"/>
      <c r="E25" s="98"/>
      <c r="F25" s="98"/>
      <c r="G25" s="98"/>
      <c r="H25" s="98"/>
      <c r="I25" s="98"/>
      <c r="J25" s="98"/>
    </row>
    <row r="26" spans="1:10" ht="15.75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</row>
    <row r="27" spans="1:10" ht="15.75" x14ac:dyDescent="0.25">
      <c r="A27" s="30" t="s">
        <v>363</v>
      </c>
      <c r="B27" s="31"/>
      <c r="C27" s="31"/>
      <c r="D27" s="31"/>
      <c r="E27" s="32"/>
      <c r="F27" s="98"/>
      <c r="G27" s="98"/>
      <c r="H27" s="98"/>
      <c r="I27" s="98"/>
      <c r="J27" s="98"/>
    </row>
    <row r="28" spans="1:10" ht="27" customHeight="1" x14ac:dyDescent="0.25">
      <c r="A28" s="105" t="s">
        <v>7</v>
      </c>
      <c r="B28" s="106" t="s">
        <v>0</v>
      </c>
      <c r="C28" s="106" t="s">
        <v>1</v>
      </c>
      <c r="D28" s="106" t="s">
        <v>2</v>
      </c>
      <c r="E28" s="107" t="s">
        <v>8</v>
      </c>
      <c r="F28" s="98"/>
      <c r="G28" s="98"/>
      <c r="H28" s="98"/>
      <c r="I28" s="98"/>
      <c r="J28" s="98"/>
    </row>
    <row r="29" spans="1:10" ht="15.75" x14ac:dyDescent="0.25">
      <c r="A29" s="112" t="s">
        <v>515</v>
      </c>
      <c r="B29" s="113">
        <v>1</v>
      </c>
      <c r="C29" s="114">
        <v>400000</v>
      </c>
      <c r="D29" s="115">
        <f t="shared" ref="D29:D35" si="1">B29*C29</f>
        <v>400000</v>
      </c>
      <c r="E29" s="116">
        <v>10</v>
      </c>
      <c r="F29" s="98"/>
      <c r="G29" s="98"/>
      <c r="H29" s="98"/>
      <c r="I29" s="98"/>
      <c r="J29" s="98"/>
    </row>
    <row r="30" spans="1:10" ht="15.75" x14ac:dyDescent="0.25">
      <c r="A30" s="117" t="s">
        <v>516</v>
      </c>
      <c r="B30" s="108">
        <v>1</v>
      </c>
      <c r="C30" s="118">
        <v>280000</v>
      </c>
      <c r="D30" s="115">
        <f t="shared" si="1"/>
        <v>280000</v>
      </c>
      <c r="E30" s="119">
        <v>10</v>
      </c>
      <c r="F30" s="98"/>
      <c r="G30" s="98"/>
      <c r="H30" s="98"/>
      <c r="I30" s="98"/>
      <c r="J30" s="98"/>
    </row>
    <row r="31" spans="1:10" ht="15.75" x14ac:dyDescent="0.25">
      <c r="A31" s="120" t="s">
        <v>517</v>
      </c>
      <c r="B31" s="121">
        <v>1</v>
      </c>
      <c r="C31" s="122">
        <v>180000</v>
      </c>
      <c r="D31" s="115">
        <f t="shared" si="1"/>
        <v>180000</v>
      </c>
      <c r="E31" s="123">
        <v>10</v>
      </c>
      <c r="F31" s="98"/>
      <c r="G31" s="98"/>
      <c r="H31" s="98"/>
      <c r="I31" s="98"/>
      <c r="J31" s="98"/>
    </row>
    <row r="32" spans="1:10" ht="15.75" x14ac:dyDescent="0.25">
      <c r="A32" s="96" t="s">
        <v>518</v>
      </c>
      <c r="B32" s="108">
        <v>1</v>
      </c>
      <c r="C32" s="118">
        <v>160000</v>
      </c>
      <c r="D32" s="115">
        <f t="shared" si="1"/>
        <v>160000</v>
      </c>
      <c r="E32" s="119">
        <v>10</v>
      </c>
      <c r="F32" s="98"/>
      <c r="G32" s="98"/>
      <c r="H32" s="98"/>
      <c r="I32" s="98"/>
      <c r="J32" s="98"/>
    </row>
    <row r="33" spans="1:10" ht="15.75" x14ac:dyDescent="0.25">
      <c r="A33" s="124" t="s">
        <v>519</v>
      </c>
      <c r="B33" s="113">
        <v>1</v>
      </c>
      <c r="C33" s="114">
        <v>220000</v>
      </c>
      <c r="D33" s="115">
        <f t="shared" si="1"/>
        <v>220000</v>
      </c>
      <c r="E33" s="116">
        <v>10</v>
      </c>
      <c r="F33" s="98"/>
      <c r="G33" s="98"/>
      <c r="H33" s="98"/>
      <c r="I33" s="98"/>
      <c r="J33" s="98"/>
    </row>
    <row r="34" spans="1:10" ht="15.75" x14ac:dyDescent="0.25">
      <c r="A34" s="96" t="s">
        <v>520</v>
      </c>
      <c r="B34" s="108">
        <v>1</v>
      </c>
      <c r="C34" s="100">
        <v>2200000</v>
      </c>
      <c r="D34" s="100">
        <f t="shared" si="1"/>
        <v>2200000</v>
      </c>
      <c r="E34" s="108">
        <v>10</v>
      </c>
      <c r="F34" s="98"/>
      <c r="G34" s="98"/>
      <c r="H34" s="98"/>
      <c r="I34" s="98"/>
      <c r="J34" s="98"/>
    </row>
    <row r="35" spans="1:10" ht="15.75" x14ac:dyDescent="0.25">
      <c r="A35" s="96" t="s">
        <v>514</v>
      </c>
      <c r="B35" s="108">
        <v>1</v>
      </c>
      <c r="C35" s="100">
        <v>900000</v>
      </c>
      <c r="D35" s="100">
        <f t="shared" si="1"/>
        <v>900000</v>
      </c>
      <c r="E35" s="108">
        <v>10</v>
      </c>
      <c r="F35" s="98"/>
      <c r="G35" s="98"/>
      <c r="H35" s="98"/>
      <c r="I35" s="98"/>
      <c r="J35" s="98"/>
    </row>
    <row r="36" spans="1:10" ht="15.75" x14ac:dyDescent="0.25">
      <c r="A36" s="109" t="s">
        <v>6</v>
      </c>
      <c r="B36" s="110"/>
      <c r="C36" s="125"/>
      <c r="D36" s="126">
        <f>SUM(D29:D35)</f>
        <v>4340000</v>
      </c>
      <c r="E36" s="127"/>
      <c r="F36" s="98"/>
      <c r="G36" s="98"/>
      <c r="H36" s="98"/>
      <c r="I36" s="98"/>
      <c r="J36" s="98"/>
    </row>
    <row r="37" spans="1:10" ht="15.75" x14ac:dyDescent="0.25">
      <c r="A37" s="98"/>
      <c r="B37" s="98"/>
      <c r="C37" s="98"/>
      <c r="D37" s="98"/>
      <c r="E37" s="98"/>
      <c r="F37" s="98"/>
      <c r="G37" s="98"/>
      <c r="H37" s="98"/>
      <c r="I37" s="98"/>
      <c r="J37" s="98"/>
    </row>
    <row r="38" spans="1:10" ht="15.75" x14ac:dyDescent="0.25">
      <c r="A38" s="98"/>
      <c r="B38" s="98"/>
      <c r="C38" s="98"/>
      <c r="D38" s="98"/>
      <c r="E38" s="98"/>
      <c r="F38" s="98"/>
      <c r="G38" s="98"/>
      <c r="H38" s="98"/>
      <c r="I38" s="98"/>
      <c r="J38" s="98"/>
    </row>
    <row r="39" spans="1:10" ht="15.75" x14ac:dyDescent="0.25">
      <c r="A39" s="128" t="s">
        <v>364</v>
      </c>
      <c r="B39" s="129"/>
      <c r="C39" s="129"/>
      <c r="D39" s="129"/>
      <c r="E39" s="130"/>
      <c r="F39" s="98"/>
      <c r="G39" s="98"/>
      <c r="H39" s="98"/>
      <c r="I39" s="98"/>
      <c r="J39" s="98"/>
    </row>
    <row r="40" spans="1:10" ht="31.5" x14ac:dyDescent="0.25">
      <c r="A40" s="105" t="s">
        <v>11</v>
      </c>
      <c r="B40" s="106" t="s">
        <v>0</v>
      </c>
      <c r="C40" s="106" t="s">
        <v>1</v>
      </c>
      <c r="D40" s="106" t="s">
        <v>2</v>
      </c>
      <c r="E40" s="107" t="s">
        <v>8</v>
      </c>
      <c r="F40" s="98"/>
      <c r="G40" s="98"/>
      <c r="H40" s="98"/>
      <c r="I40" s="98"/>
      <c r="J40" s="98"/>
    </row>
    <row r="41" spans="1:10" ht="15.75" x14ac:dyDescent="0.25">
      <c r="A41" s="112" t="s">
        <v>521</v>
      </c>
      <c r="B41" s="113">
        <v>1</v>
      </c>
      <c r="C41" s="115">
        <v>30000</v>
      </c>
      <c r="D41" s="115">
        <v>30000</v>
      </c>
      <c r="E41" s="113">
        <v>5</v>
      </c>
      <c r="F41" s="98"/>
      <c r="G41" s="98"/>
      <c r="H41" s="98"/>
      <c r="I41" s="98"/>
      <c r="J41" s="98"/>
    </row>
    <row r="42" spans="1:10" ht="15.75" x14ac:dyDescent="0.25">
      <c r="A42" s="131" t="s">
        <v>522</v>
      </c>
      <c r="B42" s="108">
        <v>1</v>
      </c>
      <c r="C42" s="100">
        <v>20000</v>
      </c>
      <c r="D42" s="100">
        <v>20000</v>
      </c>
      <c r="E42" s="108">
        <v>5</v>
      </c>
      <c r="F42" s="98"/>
      <c r="G42" s="98"/>
      <c r="H42" s="98"/>
      <c r="I42" s="98"/>
      <c r="J42" s="98"/>
    </row>
    <row r="43" spans="1:10" ht="15.75" x14ac:dyDescent="0.25">
      <c r="A43" s="131" t="s">
        <v>523</v>
      </c>
      <c r="B43" s="108">
        <v>1</v>
      </c>
      <c r="C43" s="100">
        <v>5000</v>
      </c>
      <c r="D43" s="100">
        <v>5000</v>
      </c>
      <c r="E43" s="108">
        <v>10</v>
      </c>
      <c r="F43" s="98"/>
      <c r="G43" s="98"/>
      <c r="H43" s="98"/>
      <c r="I43" s="98"/>
      <c r="J43" s="98"/>
    </row>
    <row r="44" spans="1:10" ht="15.75" x14ac:dyDescent="0.25">
      <c r="A44" s="109" t="s">
        <v>6</v>
      </c>
      <c r="B44" s="110"/>
      <c r="C44" s="125"/>
      <c r="D44" s="126">
        <f>SUM(D41:D43)</f>
        <v>55000</v>
      </c>
      <c r="E44" s="127"/>
      <c r="F44" s="98"/>
      <c r="G44" s="98"/>
      <c r="H44" s="98"/>
      <c r="I44" s="98"/>
      <c r="J44" s="98"/>
    </row>
    <row r="45" spans="1:10" ht="15.75" x14ac:dyDescent="0.25">
      <c r="A45" s="98"/>
      <c r="B45" s="98"/>
      <c r="C45" s="98"/>
      <c r="D45" s="98"/>
      <c r="E45" s="98"/>
      <c r="F45" s="98"/>
      <c r="G45" s="98"/>
      <c r="H45" s="98"/>
      <c r="I45" s="98"/>
      <c r="J45" s="98"/>
    </row>
    <row r="46" spans="1:10" ht="15.75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</row>
    <row r="47" spans="1:10" ht="15.75" x14ac:dyDescent="0.25">
      <c r="A47" s="30" t="s">
        <v>365</v>
      </c>
      <c r="B47" s="31"/>
      <c r="C47" s="31"/>
      <c r="D47" s="31"/>
      <c r="E47" s="32"/>
      <c r="F47" s="98"/>
      <c r="G47" s="98"/>
      <c r="H47" s="98"/>
      <c r="I47" s="98"/>
      <c r="J47" s="98"/>
    </row>
    <row r="48" spans="1:10" ht="31.5" x14ac:dyDescent="0.25">
      <c r="A48" s="105" t="s">
        <v>3</v>
      </c>
      <c r="B48" s="106" t="s">
        <v>0</v>
      </c>
      <c r="C48" s="106" t="s">
        <v>1</v>
      </c>
      <c r="D48" s="106" t="s">
        <v>2</v>
      </c>
      <c r="E48" s="107" t="s">
        <v>8</v>
      </c>
      <c r="F48" s="98"/>
      <c r="G48" s="98"/>
      <c r="H48" s="98"/>
      <c r="I48" s="98"/>
      <c r="J48" s="98"/>
    </row>
    <row r="49" spans="1:10" ht="15.75" x14ac:dyDescent="0.25">
      <c r="A49" s="132" t="s">
        <v>12</v>
      </c>
      <c r="B49" s="133">
        <v>1</v>
      </c>
      <c r="C49" s="115">
        <v>500000</v>
      </c>
      <c r="D49" s="115">
        <f t="shared" ref="D49:D57" si="2">B49*C49</f>
        <v>500000</v>
      </c>
      <c r="E49" s="113">
        <v>10</v>
      </c>
      <c r="F49" s="98"/>
      <c r="G49" s="98"/>
      <c r="H49" s="98"/>
      <c r="I49" s="98"/>
      <c r="J49" s="98"/>
    </row>
    <row r="50" spans="1:10" ht="15.75" x14ac:dyDescent="0.25">
      <c r="A50" s="132" t="s">
        <v>13</v>
      </c>
      <c r="B50" s="134">
        <v>1</v>
      </c>
      <c r="C50" s="100">
        <v>410000</v>
      </c>
      <c r="D50" s="115">
        <f t="shared" si="2"/>
        <v>410000</v>
      </c>
      <c r="E50" s="108">
        <v>10</v>
      </c>
      <c r="F50" s="98"/>
      <c r="G50" s="98"/>
      <c r="H50" s="98"/>
      <c r="I50" s="98"/>
      <c r="J50" s="98"/>
    </row>
    <row r="51" spans="1:10" ht="15.75" x14ac:dyDescent="0.25">
      <c r="A51" s="96" t="s">
        <v>14</v>
      </c>
      <c r="B51" s="134">
        <v>1</v>
      </c>
      <c r="C51" s="100">
        <v>200000</v>
      </c>
      <c r="D51" s="115">
        <f t="shared" si="2"/>
        <v>200000</v>
      </c>
      <c r="E51" s="108">
        <v>10</v>
      </c>
      <c r="F51" s="98"/>
      <c r="G51" s="98"/>
      <c r="H51" s="98"/>
      <c r="I51" s="98"/>
      <c r="J51" s="98"/>
    </row>
    <row r="52" spans="1:10" ht="15.75" x14ac:dyDescent="0.25">
      <c r="A52" s="96" t="s">
        <v>15</v>
      </c>
      <c r="B52" s="134">
        <v>1</v>
      </c>
      <c r="C52" s="100">
        <v>120000</v>
      </c>
      <c r="D52" s="115">
        <f t="shared" si="2"/>
        <v>120000</v>
      </c>
      <c r="E52" s="108">
        <v>10</v>
      </c>
      <c r="F52" s="98"/>
      <c r="G52" s="98"/>
      <c r="H52" s="98"/>
      <c r="I52" s="98"/>
      <c r="J52" s="98"/>
    </row>
    <row r="53" spans="1:10" ht="15.75" x14ac:dyDescent="0.25">
      <c r="A53" s="96" t="s">
        <v>16</v>
      </c>
      <c r="B53" s="134">
        <v>2</v>
      </c>
      <c r="C53" s="100">
        <v>70000</v>
      </c>
      <c r="D53" s="115">
        <f t="shared" si="2"/>
        <v>140000</v>
      </c>
      <c r="E53" s="108">
        <v>10</v>
      </c>
      <c r="F53" s="98"/>
      <c r="G53" s="98"/>
      <c r="H53" s="98"/>
      <c r="I53" s="98"/>
      <c r="J53" s="98"/>
    </row>
    <row r="54" spans="1:10" ht="15.75" x14ac:dyDescent="0.25">
      <c r="A54" s="96" t="s">
        <v>17</v>
      </c>
      <c r="B54" s="108">
        <v>2</v>
      </c>
      <c r="C54" s="100">
        <v>55000</v>
      </c>
      <c r="D54" s="115">
        <f t="shared" si="2"/>
        <v>110000</v>
      </c>
      <c r="E54" s="108">
        <v>10</v>
      </c>
      <c r="F54" s="98"/>
      <c r="G54" s="98"/>
      <c r="H54" s="98"/>
      <c r="I54" s="98"/>
      <c r="J54" s="98"/>
    </row>
    <row r="55" spans="1:10" ht="15.75" x14ac:dyDescent="0.25">
      <c r="A55" s="96" t="s">
        <v>10</v>
      </c>
      <c r="B55" s="108">
        <v>1</v>
      </c>
      <c r="C55" s="100">
        <v>350000</v>
      </c>
      <c r="D55" s="115">
        <f t="shared" si="2"/>
        <v>350000</v>
      </c>
      <c r="E55" s="108">
        <v>5</v>
      </c>
      <c r="F55" s="98"/>
      <c r="G55" s="98"/>
      <c r="H55" s="98"/>
      <c r="I55" s="98"/>
      <c r="J55" s="98"/>
    </row>
    <row r="56" spans="1:10" ht="15.75" x14ac:dyDescent="0.25">
      <c r="A56" s="96" t="s">
        <v>527</v>
      </c>
      <c r="B56" s="108">
        <v>1</v>
      </c>
      <c r="C56" s="100">
        <v>650000</v>
      </c>
      <c r="D56" s="115">
        <f t="shared" si="2"/>
        <v>650000</v>
      </c>
      <c r="E56" s="108">
        <v>5</v>
      </c>
      <c r="F56" s="98"/>
      <c r="G56" s="98"/>
      <c r="H56" s="98"/>
      <c r="I56" s="98"/>
      <c r="J56" s="98"/>
    </row>
    <row r="57" spans="1:10" ht="15.75" x14ac:dyDescent="0.25">
      <c r="A57" s="96" t="s">
        <v>18</v>
      </c>
      <c r="B57" s="108">
        <v>12</v>
      </c>
      <c r="C57" s="100">
        <v>25000</v>
      </c>
      <c r="D57" s="115">
        <f t="shared" si="2"/>
        <v>300000</v>
      </c>
      <c r="E57" s="108">
        <v>10</v>
      </c>
      <c r="F57" s="98"/>
      <c r="G57" s="98"/>
      <c r="H57" s="98"/>
      <c r="I57" s="98"/>
      <c r="J57" s="98"/>
    </row>
    <row r="58" spans="1:10" ht="15.75" x14ac:dyDescent="0.25">
      <c r="A58" s="109" t="s">
        <v>6</v>
      </c>
      <c r="B58" s="110"/>
      <c r="C58" s="125"/>
      <c r="D58" s="126">
        <f>SUM(D49:D57)</f>
        <v>2780000</v>
      </c>
      <c r="E58" s="127"/>
      <c r="F58" s="135"/>
      <c r="G58" s="98"/>
      <c r="H58" s="98"/>
      <c r="I58" s="98"/>
      <c r="J58" s="98"/>
    </row>
    <row r="59" spans="1:10" ht="15.75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</row>
    <row r="60" spans="1:10" ht="15.75" x14ac:dyDescent="0.25">
      <c r="A60" s="98"/>
      <c r="B60" s="98"/>
      <c r="C60" s="98"/>
      <c r="D60" s="98"/>
      <c r="E60" s="98"/>
      <c r="F60" s="98"/>
      <c r="G60" s="98"/>
      <c r="H60" s="98"/>
      <c r="I60" s="98"/>
      <c r="J60" s="98"/>
    </row>
    <row r="61" spans="1:10" ht="15.75" x14ac:dyDescent="0.25">
      <c r="A61" s="30" t="s">
        <v>366</v>
      </c>
      <c r="B61" s="31"/>
      <c r="C61" s="31"/>
      <c r="D61" s="32"/>
      <c r="E61" s="98"/>
      <c r="F61" s="98"/>
      <c r="G61" s="98"/>
      <c r="H61" s="98"/>
      <c r="I61" s="98"/>
      <c r="J61" s="98"/>
    </row>
    <row r="62" spans="1:10" ht="15.75" x14ac:dyDescent="0.25">
      <c r="A62" s="136" t="s">
        <v>3</v>
      </c>
      <c r="B62" s="137"/>
      <c r="C62" s="137"/>
      <c r="D62" s="107" t="s">
        <v>19</v>
      </c>
      <c r="E62" s="98"/>
      <c r="F62" s="98"/>
      <c r="G62" s="98"/>
      <c r="H62" s="98"/>
      <c r="I62" s="98"/>
      <c r="J62" s="98"/>
    </row>
    <row r="63" spans="1:10" ht="15.75" x14ac:dyDescent="0.25">
      <c r="A63" s="138" t="s">
        <v>493</v>
      </c>
      <c r="B63" s="138"/>
      <c r="C63" s="138"/>
      <c r="D63" s="100">
        <v>600000</v>
      </c>
      <c r="E63" s="98"/>
      <c r="F63" s="98"/>
      <c r="G63" s="98"/>
      <c r="H63" s="98"/>
      <c r="I63" s="98"/>
      <c r="J63" s="98"/>
    </row>
    <row r="64" spans="1:10" ht="15.75" x14ac:dyDescent="0.25">
      <c r="A64" s="138" t="s">
        <v>492</v>
      </c>
      <c r="B64" s="138"/>
      <c r="C64" s="138"/>
      <c r="D64" s="100">
        <v>650000</v>
      </c>
      <c r="E64" s="98"/>
      <c r="F64" s="98"/>
      <c r="G64" s="98"/>
      <c r="H64" s="98"/>
      <c r="I64" s="98"/>
      <c r="J64" s="98"/>
    </row>
    <row r="65" spans="1:10" ht="15.75" x14ac:dyDescent="0.25">
      <c r="A65" s="139" t="s">
        <v>529</v>
      </c>
      <c r="B65" s="140"/>
      <c r="C65" s="141"/>
      <c r="D65" s="100">
        <v>1200000</v>
      </c>
      <c r="E65" s="98"/>
      <c r="F65" s="98"/>
      <c r="G65" s="98"/>
      <c r="H65" s="98"/>
      <c r="I65" s="98"/>
      <c r="J65" s="98"/>
    </row>
    <row r="66" spans="1:10" ht="15.75" x14ac:dyDescent="0.25">
      <c r="A66" s="139" t="s">
        <v>528</v>
      </c>
      <c r="B66" s="140"/>
      <c r="C66" s="141"/>
      <c r="D66" s="100">
        <v>850000</v>
      </c>
      <c r="E66" s="98"/>
      <c r="F66" s="98"/>
      <c r="G66" s="98"/>
      <c r="H66" s="98"/>
      <c r="I66" s="98"/>
      <c r="J66" s="98"/>
    </row>
    <row r="67" spans="1:10" ht="15.75" x14ac:dyDescent="0.25">
      <c r="A67" s="138" t="s">
        <v>20</v>
      </c>
      <c r="B67" s="138"/>
      <c r="C67" s="138"/>
      <c r="D67" s="100">
        <v>1000000</v>
      </c>
      <c r="E67" s="98"/>
      <c r="F67" s="98"/>
      <c r="G67" s="98"/>
      <c r="H67" s="98"/>
      <c r="I67" s="98"/>
      <c r="J67" s="98"/>
    </row>
    <row r="68" spans="1:10" ht="15.75" x14ac:dyDescent="0.25">
      <c r="A68" s="138" t="s">
        <v>21</v>
      </c>
      <c r="B68" s="138"/>
      <c r="C68" s="138"/>
      <c r="D68" s="100">
        <v>1350000</v>
      </c>
      <c r="E68" s="98"/>
      <c r="F68" s="98"/>
      <c r="G68" s="98"/>
      <c r="H68" s="98"/>
      <c r="I68" s="98"/>
      <c r="J68" s="98"/>
    </row>
    <row r="69" spans="1:10" ht="15.75" x14ac:dyDescent="0.25">
      <c r="A69" s="142" t="s">
        <v>22</v>
      </c>
      <c r="B69" s="142"/>
      <c r="C69" s="142"/>
      <c r="D69" s="100">
        <v>1500000</v>
      </c>
      <c r="E69" s="98"/>
      <c r="F69" s="98"/>
      <c r="G69" s="98"/>
      <c r="H69" s="98"/>
      <c r="I69" s="98"/>
      <c r="J69" s="98"/>
    </row>
    <row r="70" spans="1:10" ht="15.75" x14ac:dyDescent="0.25">
      <c r="A70" s="142" t="s">
        <v>23</v>
      </c>
      <c r="B70" s="142"/>
      <c r="C70" s="142"/>
      <c r="D70" s="100">
        <v>1200000</v>
      </c>
      <c r="E70" s="98"/>
      <c r="F70" s="98"/>
      <c r="G70" s="98"/>
      <c r="H70" s="98"/>
      <c r="I70" s="98"/>
      <c r="J70" s="98"/>
    </row>
    <row r="71" spans="1:10" ht="15.75" x14ac:dyDescent="0.25">
      <c r="A71" s="142" t="s">
        <v>24</v>
      </c>
      <c r="B71" s="142"/>
      <c r="C71" s="142"/>
      <c r="D71" s="100">
        <v>1400000</v>
      </c>
      <c r="E71" s="98"/>
      <c r="F71" s="98"/>
      <c r="G71" s="98"/>
      <c r="H71" s="98"/>
      <c r="I71" s="98"/>
      <c r="J71" s="98"/>
    </row>
    <row r="72" spans="1:10" ht="15.75" x14ac:dyDescent="0.25">
      <c r="A72" s="31" t="s">
        <v>25</v>
      </c>
      <c r="B72" s="31"/>
      <c r="C72" s="31"/>
      <c r="D72" s="143">
        <f>SUM(D63:D71)</f>
        <v>9750000</v>
      </c>
      <c r="E72" s="98"/>
      <c r="F72" s="98"/>
      <c r="G72" s="98"/>
      <c r="H72" s="98"/>
      <c r="I72" s="98"/>
      <c r="J72" s="98"/>
    </row>
    <row r="73" spans="1:10" ht="15.75" x14ac:dyDescent="0.25">
      <c r="A73" s="98"/>
      <c r="B73" s="98"/>
      <c r="C73" s="98"/>
      <c r="D73" s="98"/>
      <c r="E73" s="98"/>
      <c r="F73" s="98"/>
      <c r="G73" s="98"/>
      <c r="H73" s="98"/>
      <c r="I73" s="98"/>
      <c r="J73" s="98"/>
    </row>
    <row r="74" spans="1:10" ht="15.75" x14ac:dyDescent="0.25">
      <c r="A74" s="98"/>
      <c r="B74" s="98"/>
      <c r="C74" s="98"/>
      <c r="D74" s="98"/>
      <c r="E74" s="98"/>
      <c r="F74" s="98"/>
      <c r="G74" s="98"/>
      <c r="H74" s="98"/>
      <c r="I74" s="98"/>
      <c r="J74" s="98"/>
    </row>
    <row r="75" spans="1:10" ht="15.75" x14ac:dyDescent="0.25">
      <c r="A75" s="144" t="s">
        <v>367</v>
      </c>
      <c r="B75" s="144"/>
      <c r="C75" s="144"/>
      <c r="D75" s="144"/>
      <c r="E75" s="144"/>
      <c r="F75" s="98"/>
      <c r="G75" s="98"/>
      <c r="H75" s="98"/>
      <c r="I75" s="98"/>
      <c r="J75" s="98"/>
    </row>
    <row r="76" spans="1:10" ht="38.25" customHeight="1" x14ac:dyDescent="0.25">
      <c r="A76" s="145" t="s">
        <v>26</v>
      </c>
      <c r="B76" s="146" t="s">
        <v>27</v>
      </c>
      <c r="C76" s="146" t="s">
        <v>28</v>
      </c>
      <c r="D76" s="146" t="s">
        <v>29</v>
      </c>
      <c r="E76" s="146" t="s">
        <v>30</v>
      </c>
      <c r="F76" s="98"/>
      <c r="G76" s="98"/>
      <c r="H76" s="98"/>
      <c r="I76" s="98"/>
      <c r="J76" s="98"/>
    </row>
    <row r="77" spans="1:10" ht="31.5" x14ac:dyDescent="0.25">
      <c r="A77" s="132" t="s">
        <v>530</v>
      </c>
      <c r="B77" s="100">
        <v>781242</v>
      </c>
      <c r="C77" s="100">
        <f t="shared" ref="C77:C80" si="3">B77*12</f>
        <v>9374904</v>
      </c>
      <c r="D77" s="100">
        <f>C77*(A98/100)</f>
        <v>5050729.5299999993</v>
      </c>
      <c r="E77" s="147">
        <f t="shared" ref="E77:E80" si="4">SUM(C77:D77)</f>
        <v>14425633.529999999</v>
      </c>
      <c r="F77" s="98"/>
      <c r="G77" s="98"/>
      <c r="H77" s="98"/>
      <c r="I77" s="98"/>
      <c r="J77" s="98"/>
    </row>
    <row r="78" spans="1:10" ht="31.5" x14ac:dyDescent="0.25">
      <c r="A78" s="132" t="s">
        <v>531</v>
      </c>
      <c r="B78" s="100">
        <v>781242</v>
      </c>
      <c r="C78" s="100">
        <f t="shared" si="3"/>
        <v>9374904</v>
      </c>
      <c r="D78" s="100">
        <f>C78*(A98/100)</f>
        <v>5050729.5299999993</v>
      </c>
      <c r="E78" s="147">
        <f t="shared" si="4"/>
        <v>14425633.529999999</v>
      </c>
      <c r="F78" s="98"/>
      <c r="G78" s="98"/>
      <c r="H78" s="98"/>
      <c r="I78" s="98"/>
      <c r="J78" s="98"/>
    </row>
    <row r="79" spans="1:10" ht="15.75" x14ac:dyDescent="0.25">
      <c r="A79" s="132" t="s">
        <v>532</v>
      </c>
      <c r="B79" s="100">
        <v>781242</v>
      </c>
      <c r="C79" s="148">
        <f t="shared" si="3"/>
        <v>9374904</v>
      </c>
      <c r="D79" s="148">
        <f>C79*(A98/100)</f>
        <v>5050729.5299999993</v>
      </c>
      <c r="E79" s="149">
        <f t="shared" si="4"/>
        <v>14425633.529999999</v>
      </c>
      <c r="F79" s="98"/>
      <c r="G79" s="98"/>
      <c r="H79" s="98"/>
      <c r="I79" s="98"/>
      <c r="J79" s="98"/>
    </row>
    <row r="80" spans="1:10" ht="15.75" x14ac:dyDescent="0.25">
      <c r="A80" s="132" t="s">
        <v>542</v>
      </c>
      <c r="B80" s="100">
        <v>781242</v>
      </c>
      <c r="C80" s="148">
        <f t="shared" si="3"/>
        <v>9374904</v>
      </c>
      <c r="D80" s="148">
        <f>C80*(A98/100)</f>
        <v>5050729.5299999993</v>
      </c>
      <c r="E80" s="149">
        <f t="shared" si="4"/>
        <v>14425633.529999999</v>
      </c>
      <c r="F80" s="98"/>
      <c r="G80" s="98"/>
      <c r="H80" s="98"/>
      <c r="I80" s="98"/>
      <c r="J80" s="98"/>
    </row>
    <row r="81" spans="1:10" ht="15.75" x14ac:dyDescent="0.25">
      <c r="A81" s="132" t="s">
        <v>524</v>
      </c>
      <c r="B81" s="100">
        <v>781242</v>
      </c>
      <c r="C81" s="100">
        <f>B81*12</f>
        <v>9374904</v>
      </c>
      <c r="D81" s="100">
        <f>C81*(A98/100)</f>
        <v>5050729.5299999993</v>
      </c>
      <c r="E81" s="100">
        <f>SUM(C81:D81)</f>
        <v>14425633.529999999</v>
      </c>
      <c r="F81" s="98"/>
      <c r="G81" s="98"/>
      <c r="H81" s="98"/>
      <c r="I81" s="98"/>
      <c r="J81" s="98"/>
    </row>
    <row r="82" spans="1:10" ht="47.25" x14ac:dyDescent="0.25">
      <c r="A82" s="132" t="s">
        <v>533</v>
      </c>
      <c r="B82" s="150">
        <v>1562484</v>
      </c>
      <c r="C82" s="151">
        <f>B82*12</f>
        <v>18749808</v>
      </c>
      <c r="D82" s="150">
        <f>C82*(A98/100)</f>
        <v>10101459.059999999</v>
      </c>
      <c r="E82" s="150">
        <f>SUM(C82:D82)</f>
        <v>28851267.059999999</v>
      </c>
      <c r="F82" s="98"/>
      <c r="G82" s="98"/>
      <c r="H82" s="98"/>
      <c r="I82" s="98"/>
      <c r="J82" s="98"/>
    </row>
    <row r="83" spans="1:10" ht="15.75" x14ac:dyDescent="0.25">
      <c r="A83" s="109" t="s">
        <v>6</v>
      </c>
      <c r="B83" s="125"/>
      <c r="C83" s="143">
        <f>SUM(C77:C82)</f>
        <v>65624328</v>
      </c>
      <c r="D83" s="143">
        <f>SUM(D77:D82)</f>
        <v>35355106.709999993</v>
      </c>
      <c r="E83" s="143">
        <f>SUM(E77:E82)</f>
        <v>100979434.70999999</v>
      </c>
      <c r="F83" s="98"/>
      <c r="G83" s="98"/>
      <c r="H83" s="98"/>
      <c r="I83" s="98"/>
      <c r="J83" s="98"/>
    </row>
    <row r="84" spans="1:10" ht="15.75" x14ac:dyDescent="0.25">
      <c r="A84" s="98"/>
      <c r="B84" s="98"/>
      <c r="C84" s="98"/>
      <c r="D84" s="98"/>
      <c r="E84" s="98"/>
      <c r="F84" s="98"/>
      <c r="G84" s="98"/>
      <c r="H84" s="98"/>
      <c r="I84" s="98"/>
      <c r="J84" s="98"/>
    </row>
    <row r="85" spans="1:10" ht="15.75" x14ac:dyDescent="0.25">
      <c r="A85" s="98"/>
      <c r="B85" s="98"/>
      <c r="C85" s="98"/>
      <c r="D85" s="98"/>
      <c r="E85" s="98"/>
      <c r="F85" s="98"/>
      <c r="G85" s="98"/>
      <c r="H85" s="98"/>
      <c r="I85" s="98"/>
      <c r="J85" s="98"/>
    </row>
    <row r="86" spans="1:10" ht="15.75" x14ac:dyDescent="0.25">
      <c r="A86" s="30" t="s">
        <v>368</v>
      </c>
      <c r="B86" s="31"/>
      <c r="C86" s="31"/>
      <c r="D86" s="31"/>
      <c r="E86" s="32"/>
      <c r="F86" s="98"/>
      <c r="G86" s="98"/>
      <c r="H86" s="98"/>
      <c r="I86" s="98"/>
      <c r="J86" s="98"/>
    </row>
    <row r="87" spans="1:10" ht="15.75" x14ac:dyDescent="0.25">
      <c r="A87" s="152" t="s">
        <v>32</v>
      </c>
      <c r="B87" s="153"/>
      <c r="C87" s="154" t="s">
        <v>33</v>
      </c>
      <c r="D87" s="153"/>
      <c r="E87" s="155"/>
      <c r="F87" s="98"/>
      <c r="G87" s="98"/>
      <c r="H87" s="98"/>
      <c r="I87" s="98"/>
      <c r="J87" s="98"/>
    </row>
    <row r="88" spans="1:10" ht="15.75" x14ac:dyDescent="0.25">
      <c r="A88" s="96">
        <v>9</v>
      </c>
      <c r="B88" s="138" t="s">
        <v>525</v>
      </c>
      <c r="C88" s="138"/>
      <c r="D88" s="138"/>
      <c r="E88" s="138"/>
      <c r="F88" s="98"/>
      <c r="G88" s="98"/>
      <c r="H88" s="98"/>
      <c r="I88" s="98"/>
      <c r="J88" s="98"/>
    </row>
    <row r="89" spans="1:10" ht="15.75" x14ac:dyDescent="0.25">
      <c r="A89" s="96">
        <v>8.33</v>
      </c>
      <c r="B89" s="138" t="s">
        <v>34</v>
      </c>
      <c r="C89" s="138"/>
      <c r="D89" s="138"/>
      <c r="E89" s="138"/>
      <c r="F89" s="98"/>
      <c r="G89" s="98"/>
      <c r="H89" s="98"/>
      <c r="I89" s="98"/>
      <c r="J89" s="98"/>
    </row>
    <row r="90" spans="1:10" ht="15.75" x14ac:dyDescent="0.25">
      <c r="A90" s="96">
        <v>8.33</v>
      </c>
      <c r="B90" s="138" t="s">
        <v>35</v>
      </c>
      <c r="C90" s="138"/>
      <c r="D90" s="138"/>
      <c r="E90" s="138"/>
      <c r="F90" s="98"/>
      <c r="G90" s="98"/>
      <c r="H90" s="98"/>
      <c r="I90" s="98"/>
      <c r="J90" s="98"/>
    </row>
    <row r="91" spans="1:10" ht="15.75" x14ac:dyDescent="0.25">
      <c r="A91" s="96">
        <v>4.17</v>
      </c>
      <c r="B91" s="138" t="s">
        <v>36</v>
      </c>
      <c r="C91" s="138"/>
      <c r="D91" s="138"/>
      <c r="E91" s="138"/>
      <c r="F91" s="98"/>
      <c r="G91" s="98"/>
      <c r="H91" s="98"/>
      <c r="I91" s="98"/>
      <c r="J91" s="98"/>
    </row>
    <row r="92" spans="1:10" ht="15.75" x14ac:dyDescent="0.25">
      <c r="A92" s="96">
        <v>8.5</v>
      </c>
      <c r="B92" s="138" t="s">
        <v>37</v>
      </c>
      <c r="C92" s="138"/>
      <c r="D92" s="138"/>
      <c r="E92" s="138"/>
      <c r="F92" s="98"/>
      <c r="G92" s="98"/>
      <c r="H92" s="98"/>
      <c r="I92" s="98"/>
      <c r="J92" s="98"/>
    </row>
    <row r="93" spans="1:10" ht="15.75" x14ac:dyDescent="0.25">
      <c r="A93" s="96">
        <v>12</v>
      </c>
      <c r="B93" s="138" t="s">
        <v>38</v>
      </c>
      <c r="C93" s="138"/>
      <c r="D93" s="138"/>
      <c r="E93" s="138"/>
      <c r="F93" s="98"/>
      <c r="G93" s="98"/>
      <c r="H93" s="98"/>
      <c r="I93" s="98"/>
      <c r="J93" s="98"/>
    </row>
    <row r="94" spans="1:10" ht="15.75" x14ac:dyDescent="0.25">
      <c r="A94" s="96">
        <v>1.0449999999999999</v>
      </c>
      <c r="B94" s="138" t="s">
        <v>39</v>
      </c>
      <c r="C94" s="138"/>
      <c r="D94" s="138"/>
      <c r="E94" s="138"/>
      <c r="F94" s="98"/>
      <c r="G94" s="98"/>
      <c r="H94" s="98"/>
      <c r="I94" s="98"/>
      <c r="J94" s="98"/>
    </row>
    <row r="95" spans="1:10" ht="15.75" x14ac:dyDescent="0.25">
      <c r="A95" s="96">
        <v>0.5</v>
      </c>
      <c r="B95" s="138" t="s">
        <v>491</v>
      </c>
      <c r="C95" s="138"/>
      <c r="D95" s="138"/>
      <c r="E95" s="138"/>
      <c r="F95" s="98"/>
      <c r="G95" s="98"/>
      <c r="H95" s="98"/>
      <c r="I95" s="98"/>
      <c r="J95" s="98"/>
    </row>
    <row r="96" spans="1:10" ht="15.75" x14ac:dyDescent="0.25">
      <c r="A96" s="96">
        <v>1</v>
      </c>
      <c r="B96" s="138" t="s">
        <v>40</v>
      </c>
      <c r="C96" s="138"/>
      <c r="D96" s="138"/>
      <c r="E96" s="138"/>
      <c r="F96" s="98"/>
      <c r="G96" s="98"/>
      <c r="H96" s="98"/>
      <c r="I96" s="98"/>
      <c r="J96" s="98"/>
    </row>
    <row r="97" spans="1:10" ht="15.75" x14ac:dyDescent="0.25">
      <c r="A97" s="96">
        <v>1</v>
      </c>
      <c r="B97" s="138" t="s">
        <v>41</v>
      </c>
      <c r="C97" s="138"/>
      <c r="D97" s="138"/>
      <c r="E97" s="138"/>
      <c r="F97" s="98"/>
      <c r="G97" s="98"/>
      <c r="H97" s="98"/>
      <c r="I97" s="98"/>
      <c r="J97" s="98"/>
    </row>
    <row r="98" spans="1:10" ht="15.75" x14ac:dyDescent="0.25">
      <c r="A98" s="156">
        <f>SUM(A88:A97)</f>
        <v>53.875</v>
      </c>
      <c r="B98" s="156" t="s">
        <v>42</v>
      </c>
      <c r="C98" s="157"/>
      <c r="D98" s="157"/>
      <c r="E98" s="157"/>
      <c r="F98" s="98"/>
      <c r="G98" s="98"/>
      <c r="H98" s="98"/>
      <c r="I98" s="98"/>
      <c r="J98" s="98"/>
    </row>
    <row r="99" spans="1:10" ht="15.75" x14ac:dyDescent="0.25">
      <c r="A99" s="98"/>
      <c r="B99" s="98"/>
      <c r="C99" s="98"/>
      <c r="D99" s="98"/>
      <c r="E99" s="98"/>
      <c r="F99" s="98"/>
      <c r="G99" s="98"/>
      <c r="H99" s="98"/>
      <c r="I99" s="98"/>
      <c r="J99" s="98"/>
    </row>
    <row r="100" spans="1:10" ht="15.75" x14ac:dyDescent="0.25">
      <c r="A100" s="98"/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1:10" ht="15.75" x14ac:dyDescent="0.25">
      <c r="A101" s="30" t="s">
        <v>369</v>
      </c>
      <c r="B101" s="31"/>
      <c r="C101" s="31"/>
      <c r="D101" s="31"/>
      <c r="E101" s="32"/>
      <c r="F101" s="98"/>
      <c r="G101" s="98"/>
      <c r="H101" s="98"/>
      <c r="I101" s="98"/>
      <c r="J101" s="98"/>
    </row>
    <row r="102" spans="1:10" ht="31.5" x14ac:dyDescent="0.25">
      <c r="A102" s="158" t="s">
        <v>43</v>
      </c>
      <c r="B102" s="159" t="s">
        <v>44</v>
      </c>
      <c r="C102" s="160" t="s">
        <v>0</v>
      </c>
      <c r="D102" s="159" t="s">
        <v>1</v>
      </c>
      <c r="E102" s="161" t="s">
        <v>45</v>
      </c>
      <c r="F102" s="98"/>
      <c r="G102" s="98"/>
      <c r="H102" s="98"/>
      <c r="I102" s="98"/>
      <c r="J102" s="98"/>
    </row>
    <row r="103" spans="1:10" ht="15.75" x14ac:dyDescent="0.25">
      <c r="A103" s="105" t="s">
        <v>46</v>
      </c>
      <c r="B103" s="162"/>
      <c r="C103" s="162"/>
      <c r="D103" s="162"/>
      <c r="E103" s="163"/>
      <c r="F103" s="98"/>
      <c r="G103" s="98"/>
      <c r="H103" s="98"/>
      <c r="I103" s="98"/>
      <c r="J103" s="98"/>
    </row>
    <row r="104" spans="1:10" ht="15.75" x14ac:dyDescent="0.25">
      <c r="A104" s="112" t="s">
        <v>526</v>
      </c>
      <c r="B104" s="113" t="s">
        <v>539</v>
      </c>
      <c r="C104" s="115">
        <v>192</v>
      </c>
      <c r="D104" s="164">
        <v>18000</v>
      </c>
      <c r="E104" s="164">
        <f>C104*D104</f>
        <v>3456000</v>
      </c>
      <c r="F104" s="98"/>
      <c r="G104" s="98"/>
      <c r="H104" s="98"/>
      <c r="I104" s="98"/>
      <c r="J104" s="98"/>
    </row>
    <row r="105" spans="1:10" ht="15.75" x14ac:dyDescent="0.25">
      <c r="A105" s="120" t="s">
        <v>540</v>
      </c>
      <c r="B105" s="121" t="s">
        <v>539</v>
      </c>
      <c r="C105" s="121">
        <v>1860</v>
      </c>
      <c r="D105" s="165">
        <v>666000</v>
      </c>
      <c r="E105" s="164">
        <f>C105*D105</f>
        <v>1238760000</v>
      </c>
      <c r="F105" s="98"/>
      <c r="G105" s="98"/>
      <c r="H105" s="98"/>
      <c r="I105" s="98"/>
      <c r="J105" s="98"/>
    </row>
    <row r="106" spans="1:10" ht="15.75" x14ac:dyDescent="0.25">
      <c r="A106" s="96"/>
      <c r="B106" s="108"/>
      <c r="C106" s="108"/>
      <c r="D106" s="166"/>
      <c r="E106" s="164"/>
      <c r="F106" s="98"/>
      <c r="G106" s="98"/>
      <c r="H106" s="98"/>
      <c r="I106" s="98"/>
      <c r="J106" s="98"/>
    </row>
    <row r="107" spans="1:10" ht="15.75" x14ac:dyDescent="0.25">
      <c r="A107" s="120"/>
      <c r="B107" s="121"/>
      <c r="C107" s="121"/>
      <c r="D107" s="165"/>
      <c r="E107" s="164"/>
      <c r="F107" s="98"/>
      <c r="G107" s="98"/>
      <c r="H107" s="98"/>
      <c r="I107" s="98"/>
      <c r="J107" s="98"/>
    </row>
    <row r="108" spans="1:10" ht="15.75" x14ac:dyDescent="0.25">
      <c r="A108" s="96"/>
      <c r="B108" s="108"/>
      <c r="C108" s="108"/>
      <c r="D108" s="166"/>
      <c r="E108" s="164"/>
      <c r="F108" s="98"/>
      <c r="G108" s="98"/>
      <c r="H108" s="98"/>
      <c r="I108" s="98"/>
      <c r="J108" s="98"/>
    </row>
    <row r="109" spans="1:10" ht="15.75" x14ac:dyDescent="0.25">
      <c r="A109" s="112"/>
      <c r="B109" s="113"/>
      <c r="C109" s="113"/>
      <c r="D109" s="164"/>
      <c r="E109" s="164"/>
      <c r="F109" s="98"/>
      <c r="G109" s="98"/>
      <c r="H109" s="98"/>
      <c r="I109" s="98"/>
      <c r="J109" s="98"/>
    </row>
    <row r="110" spans="1:10" ht="15.75" x14ac:dyDescent="0.25">
      <c r="A110" s="120"/>
      <c r="B110" s="121"/>
      <c r="C110" s="121"/>
      <c r="D110" s="165"/>
      <c r="E110" s="164"/>
      <c r="F110" s="98"/>
      <c r="G110" s="98"/>
      <c r="H110" s="98"/>
      <c r="I110" s="98"/>
      <c r="J110" s="98"/>
    </row>
    <row r="111" spans="1:10" ht="15.75" x14ac:dyDescent="0.25">
      <c r="A111" s="96"/>
      <c r="B111" s="108"/>
      <c r="C111" s="108"/>
      <c r="D111" s="166"/>
      <c r="E111" s="164"/>
      <c r="F111" s="98"/>
      <c r="G111" s="98"/>
      <c r="H111" s="98"/>
      <c r="I111" s="98"/>
      <c r="J111" s="98"/>
    </row>
    <row r="112" spans="1:10" ht="15.75" x14ac:dyDescent="0.25">
      <c r="A112" s="120"/>
      <c r="B112" s="121"/>
      <c r="C112" s="121"/>
      <c r="D112" s="165"/>
      <c r="E112" s="164"/>
      <c r="F112" s="98"/>
      <c r="G112" s="98"/>
      <c r="H112" s="98"/>
      <c r="I112" s="98"/>
      <c r="J112" s="98"/>
    </row>
    <row r="113" spans="1:10" ht="15.75" x14ac:dyDescent="0.25">
      <c r="A113" s="96"/>
      <c r="B113" s="108"/>
      <c r="C113" s="108"/>
      <c r="D113" s="166"/>
      <c r="E113" s="164"/>
      <c r="F113" s="98"/>
      <c r="G113" s="98"/>
      <c r="H113" s="98"/>
      <c r="I113" s="98"/>
      <c r="J113" s="98"/>
    </row>
    <row r="114" spans="1:10" ht="15.75" x14ac:dyDescent="0.25">
      <c r="A114" s="120"/>
      <c r="B114" s="167"/>
      <c r="C114" s="167"/>
      <c r="D114" s="165"/>
      <c r="E114" s="168"/>
      <c r="F114" s="98"/>
      <c r="G114" s="98"/>
      <c r="H114" s="98"/>
      <c r="I114" s="98"/>
      <c r="J114" s="98"/>
    </row>
    <row r="115" spans="1:10" ht="15.75" x14ac:dyDescent="0.25">
      <c r="A115" s="169" t="s">
        <v>356</v>
      </c>
      <c r="B115" s="170"/>
      <c r="C115" s="170"/>
      <c r="D115" s="171"/>
      <c r="E115" s="172">
        <f>SUM(E104:E114)</f>
        <v>1242216000</v>
      </c>
      <c r="F115" s="98"/>
      <c r="G115" s="98"/>
      <c r="H115" s="98"/>
      <c r="I115" s="98"/>
      <c r="J115" s="98"/>
    </row>
    <row r="116" spans="1:10" ht="31.5" x14ac:dyDescent="0.25">
      <c r="A116" s="105" t="s">
        <v>47</v>
      </c>
      <c r="B116" s="153"/>
      <c r="C116" s="153"/>
      <c r="D116" s="173"/>
      <c r="E116" s="155"/>
      <c r="F116" s="98"/>
      <c r="G116" s="98"/>
      <c r="H116" s="98"/>
      <c r="I116" s="98"/>
      <c r="J116" s="98"/>
    </row>
    <row r="117" spans="1:10" ht="15.75" x14ac:dyDescent="0.25">
      <c r="A117" s="131"/>
      <c r="B117" s="108"/>
      <c r="C117" s="108"/>
      <c r="D117" s="119"/>
      <c r="E117" s="147">
        <f>C117*D117</f>
        <v>0</v>
      </c>
      <c r="F117" s="98"/>
      <c r="G117" s="98"/>
      <c r="H117" s="98"/>
      <c r="I117" s="98"/>
      <c r="J117" s="98"/>
    </row>
    <row r="118" spans="1:10" ht="15.75" x14ac:dyDescent="0.25">
      <c r="A118" s="120"/>
      <c r="B118" s="121"/>
      <c r="C118" s="121"/>
      <c r="D118" s="174"/>
      <c r="E118" s="147">
        <f>C118*D118</f>
        <v>0</v>
      </c>
      <c r="F118" s="98"/>
      <c r="G118" s="98"/>
      <c r="H118" s="98"/>
      <c r="I118" s="98"/>
      <c r="J118" s="98"/>
    </row>
    <row r="119" spans="1:10" ht="15.75" x14ac:dyDescent="0.25">
      <c r="A119" s="96"/>
      <c r="B119" s="108"/>
      <c r="C119" s="108"/>
      <c r="D119" s="119"/>
      <c r="E119" s="147">
        <f>C119*D119</f>
        <v>0</v>
      </c>
      <c r="F119" s="98"/>
      <c r="G119" s="98"/>
      <c r="H119" s="98"/>
      <c r="I119" s="98"/>
      <c r="J119" s="98"/>
    </row>
    <row r="120" spans="1:10" ht="15.75" x14ac:dyDescent="0.25">
      <c r="A120" s="120"/>
      <c r="B120" s="121"/>
      <c r="C120" s="121"/>
      <c r="D120" s="174"/>
      <c r="E120" s="147">
        <f>C120*D120</f>
        <v>0</v>
      </c>
      <c r="F120" s="98"/>
      <c r="G120" s="98"/>
      <c r="H120" s="98"/>
      <c r="I120" s="98"/>
      <c r="J120" s="98"/>
    </row>
    <row r="121" spans="1:10" ht="15.75" x14ac:dyDescent="0.25">
      <c r="A121" s="175" t="s">
        <v>357</v>
      </c>
      <c r="B121" s="157"/>
      <c r="C121" s="157"/>
      <c r="D121" s="157"/>
      <c r="E121" s="176">
        <f>SUM(E117:E120)</f>
        <v>0</v>
      </c>
      <c r="F121" s="98"/>
      <c r="G121" s="98"/>
      <c r="H121" s="98"/>
      <c r="I121" s="98"/>
      <c r="J121" s="98"/>
    </row>
    <row r="122" spans="1:10" ht="15.75" x14ac:dyDescent="0.25">
      <c r="A122" s="157"/>
      <c r="B122" s="157"/>
      <c r="C122" s="157"/>
      <c r="D122" s="157"/>
      <c r="E122" s="157"/>
      <c r="F122" s="98"/>
      <c r="G122" s="98"/>
      <c r="H122" s="98"/>
      <c r="I122" s="98"/>
      <c r="J122" s="98"/>
    </row>
    <row r="123" spans="1:10" ht="15.75" x14ac:dyDescent="0.25">
      <c r="A123" s="156" t="s">
        <v>42</v>
      </c>
      <c r="B123" s="157"/>
      <c r="C123" s="157"/>
      <c r="D123" s="157"/>
      <c r="E123" s="176">
        <f>E115+E121</f>
        <v>1242216000</v>
      </c>
      <c r="F123" s="98"/>
      <c r="G123" s="98"/>
      <c r="H123" s="98"/>
      <c r="I123" s="98"/>
      <c r="J123" s="98"/>
    </row>
    <row r="124" spans="1:10" ht="15.75" x14ac:dyDescent="0.25">
      <c r="A124" s="98"/>
      <c r="B124" s="98"/>
      <c r="C124" s="98"/>
      <c r="D124" s="98"/>
      <c r="E124" s="98"/>
      <c r="F124" s="98"/>
      <c r="G124" s="98"/>
      <c r="H124" s="98"/>
      <c r="I124" s="98"/>
      <c r="J124" s="98"/>
    </row>
    <row r="125" spans="1:10" ht="15.75" x14ac:dyDescent="0.25">
      <c r="A125" s="98"/>
      <c r="B125" s="98"/>
      <c r="C125" s="98"/>
      <c r="D125" s="98"/>
      <c r="E125" s="98"/>
      <c r="F125" s="98"/>
      <c r="G125" s="98"/>
      <c r="H125" s="98"/>
      <c r="I125" s="98"/>
      <c r="J125" s="98"/>
    </row>
    <row r="126" spans="1:10" ht="15.75" x14ac:dyDescent="0.25">
      <c r="A126" s="30" t="s">
        <v>370</v>
      </c>
      <c r="B126" s="31"/>
      <c r="C126" s="31"/>
      <c r="D126" s="31"/>
      <c r="E126" s="32"/>
      <c r="F126" s="98"/>
      <c r="G126" s="98"/>
      <c r="H126" s="98"/>
      <c r="I126" s="98"/>
      <c r="J126" s="98"/>
    </row>
    <row r="127" spans="1:10" ht="31.5" x14ac:dyDescent="0.25">
      <c r="A127" s="152" t="s">
        <v>49</v>
      </c>
      <c r="B127" s="106" t="s">
        <v>358</v>
      </c>
      <c r="C127" s="177" t="s">
        <v>0</v>
      </c>
      <c r="D127" s="106" t="s">
        <v>1</v>
      </c>
      <c r="E127" s="178" t="s">
        <v>45</v>
      </c>
      <c r="F127" s="98"/>
      <c r="G127" s="98"/>
      <c r="H127" s="98"/>
      <c r="I127" s="98"/>
      <c r="J127" s="98"/>
    </row>
    <row r="128" spans="1:10" ht="15.75" x14ac:dyDescent="0.25">
      <c r="A128" s="120" t="s">
        <v>154</v>
      </c>
      <c r="B128" s="167" t="s">
        <v>54</v>
      </c>
      <c r="C128" s="179">
        <v>7200</v>
      </c>
      <c r="D128" s="121">
        <v>485</v>
      </c>
      <c r="E128" s="100">
        <f t="shared" ref="E128:E134" si="5">C128*D128</f>
        <v>3492000</v>
      </c>
      <c r="F128" s="98"/>
      <c r="G128" s="98"/>
      <c r="H128" s="98"/>
      <c r="I128" s="98"/>
      <c r="J128" s="98"/>
    </row>
    <row r="129" spans="1:10" ht="15.75" x14ac:dyDescent="0.25">
      <c r="A129" s="96" t="s">
        <v>50</v>
      </c>
      <c r="B129" s="96" t="s">
        <v>55</v>
      </c>
      <c r="C129" s="108">
        <v>12</v>
      </c>
      <c r="D129" s="100">
        <v>9500</v>
      </c>
      <c r="E129" s="100">
        <f t="shared" si="5"/>
        <v>114000</v>
      </c>
      <c r="F129" s="98"/>
      <c r="G129" s="98"/>
      <c r="H129" s="98"/>
      <c r="I129" s="98"/>
      <c r="J129" s="98"/>
    </row>
    <row r="130" spans="1:10" ht="15.75" x14ac:dyDescent="0.25">
      <c r="A130" s="120" t="s">
        <v>51</v>
      </c>
      <c r="B130" s="167" t="s">
        <v>55</v>
      </c>
      <c r="C130" s="121">
        <v>12</v>
      </c>
      <c r="D130" s="179">
        <v>34500</v>
      </c>
      <c r="E130" s="100">
        <f t="shared" si="5"/>
        <v>414000</v>
      </c>
      <c r="F130" s="98"/>
      <c r="G130" s="98"/>
      <c r="H130" s="98"/>
      <c r="I130" s="98"/>
      <c r="J130" s="98"/>
    </row>
    <row r="131" spans="1:10" ht="15.75" x14ac:dyDescent="0.25">
      <c r="A131" s="96" t="s">
        <v>52</v>
      </c>
      <c r="B131" s="96" t="s">
        <v>56</v>
      </c>
      <c r="C131" s="108">
        <v>12400</v>
      </c>
      <c r="D131" s="100">
        <v>2700</v>
      </c>
      <c r="E131" s="100">
        <f t="shared" si="5"/>
        <v>33480000</v>
      </c>
      <c r="F131" s="98"/>
      <c r="G131" s="98"/>
      <c r="H131" s="98"/>
      <c r="I131" s="98"/>
      <c r="J131" s="98"/>
    </row>
    <row r="132" spans="1:10" ht="15.75" x14ac:dyDescent="0.25">
      <c r="A132" s="120" t="s">
        <v>534</v>
      </c>
      <c r="B132" s="167" t="s">
        <v>57</v>
      </c>
      <c r="C132" s="121">
        <v>12</v>
      </c>
      <c r="D132" s="179">
        <v>160000</v>
      </c>
      <c r="E132" s="100">
        <f t="shared" si="5"/>
        <v>1920000</v>
      </c>
      <c r="F132" s="98"/>
      <c r="G132" s="98"/>
      <c r="H132" s="98"/>
      <c r="I132" s="98"/>
      <c r="J132" s="98"/>
    </row>
    <row r="133" spans="1:10" ht="15.75" x14ac:dyDescent="0.25">
      <c r="A133" s="132" t="s">
        <v>53</v>
      </c>
      <c r="B133" s="96" t="s">
        <v>58</v>
      </c>
      <c r="C133" s="108">
        <v>6</v>
      </c>
      <c r="D133" s="100">
        <v>40000</v>
      </c>
      <c r="E133" s="100">
        <f t="shared" si="5"/>
        <v>240000</v>
      </c>
      <c r="F133" s="98"/>
      <c r="G133" s="98"/>
      <c r="H133" s="98"/>
      <c r="I133" s="98"/>
      <c r="J133" s="98"/>
    </row>
    <row r="134" spans="1:10" ht="15.75" x14ac:dyDescent="0.25">
      <c r="A134" s="131" t="s">
        <v>359</v>
      </c>
      <c r="B134" s="96" t="s">
        <v>59</v>
      </c>
      <c r="C134" s="108">
        <v>12</v>
      </c>
      <c r="D134" s="100">
        <v>1200000</v>
      </c>
      <c r="E134" s="100">
        <f t="shared" si="5"/>
        <v>14400000</v>
      </c>
      <c r="F134" s="98"/>
      <c r="G134" s="98"/>
      <c r="H134" s="98"/>
      <c r="I134" s="98"/>
      <c r="J134" s="98"/>
    </row>
    <row r="135" spans="1:10" ht="15.75" x14ac:dyDescent="0.25">
      <c r="A135" s="33" t="s">
        <v>42</v>
      </c>
      <c r="B135" s="33"/>
      <c r="C135" s="33"/>
      <c r="D135" s="33"/>
      <c r="E135" s="143">
        <f>SUM(E128:E134)</f>
        <v>54060000</v>
      </c>
      <c r="F135" s="98"/>
      <c r="G135" s="98"/>
      <c r="H135" s="98"/>
      <c r="I135" s="98"/>
      <c r="J135" s="98"/>
    </row>
    <row r="136" spans="1:10" ht="15.75" x14ac:dyDescent="0.25">
      <c r="A136" s="98"/>
      <c r="B136" s="98"/>
      <c r="C136" s="98"/>
      <c r="D136" s="98"/>
      <c r="E136" s="98"/>
      <c r="F136" s="98"/>
      <c r="G136" s="98"/>
      <c r="H136" s="98"/>
      <c r="I136" s="98"/>
      <c r="J136" s="98"/>
    </row>
    <row r="137" spans="1:10" ht="15.75" x14ac:dyDescent="0.25">
      <c r="A137" s="98"/>
      <c r="B137" s="98"/>
      <c r="C137" s="98"/>
      <c r="D137" s="98"/>
      <c r="E137" s="98"/>
      <c r="F137" s="98"/>
      <c r="G137" s="98"/>
      <c r="H137" s="98"/>
      <c r="I137" s="98"/>
      <c r="J137" s="98"/>
    </row>
    <row r="138" spans="1:10" ht="15.75" x14ac:dyDescent="0.25">
      <c r="A138" s="30" t="s">
        <v>371</v>
      </c>
      <c r="B138" s="31"/>
      <c r="C138" s="31"/>
      <c r="D138" s="31"/>
      <c r="E138" s="31"/>
      <c r="F138" s="31"/>
      <c r="G138" s="31"/>
      <c r="H138" s="31"/>
      <c r="I138" s="32"/>
      <c r="J138" s="98"/>
    </row>
    <row r="139" spans="1:10" ht="47.25" x14ac:dyDescent="0.25">
      <c r="A139" s="158" t="s">
        <v>60</v>
      </c>
      <c r="B139" s="160" t="s">
        <v>61</v>
      </c>
      <c r="C139" s="159" t="s">
        <v>62</v>
      </c>
      <c r="D139" s="180"/>
      <c r="E139" s="180"/>
      <c r="F139" s="180" t="s">
        <v>63</v>
      </c>
      <c r="G139" s="180"/>
      <c r="H139" s="180"/>
      <c r="I139" s="181" t="s">
        <v>64</v>
      </c>
      <c r="J139" s="98"/>
    </row>
    <row r="140" spans="1:10" ht="15.75" x14ac:dyDescent="0.25">
      <c r="A140" s="182"/>
      <c r="B140" s="162"/>
      <c r="C140" s="162"/>
      <c r="D140" s="162">
        <v>1</v>
      </c>
      <c r="E140" s="162">
        <v>2</v>
      </c>
      <c r="F140" s="162">
        <v>3</v>
      </c>
      <c r="G140" s="162">
        <v>4</v>
      </c>
      <c r="H140" s="162">
        <v>5</v>
      </c>
      <c r="I140" s="163"/>
      <c r="J140" s="98"/>
    </row>
    <row r="141" spans="1:10" ht="15.75" x14ac:dyDescent="0.25">
      <c r="A141" s="112" t="s">
        <v>9</v>
      </c>
      <c r="B141" s="113">
        <v>10</v>
      </c>
      <c r="C141" s="114">
        <f>C29</f>
        <v>400000</v>
      </c>
      <c r="D141" s="115">
        <f t="shared" ref="D141:D148" si="6">C141/B141</f>
        <v>40000</v>
      </c>
      <c r="E141" s="114">
        <f t="shared" ref="E141:E149" si="7">D141</f>
        <v>40000</v>
      </c>
      <c r="F141" s="114">
        <f t="shared" ref="F141:F149" si="8">D141</f>
        <v>40000</v>
      </c>
      <c r="G141" s="183">
        <f t="shared" ref="G141:G149" si="9">D141</f>
        <v>40000</v>
      </c>
      <c r="H141" s="183">
        <f t="shared" ref="H141:H149" si="10">D141</f>
        <v>40000</v>
      </c>
      <c r="I141" s="183">
        <f>C141-D141-E141-F141-G141-H141</f>
        <v>200000</v>
      </c>
      <c r="J141" s="98"/>
    </row>
    <row r="142" spans="1:10" ht="15.75" x14ac:dyDescent="0.25">
      <c r="A142" s="112" t="s">
        <v>515</v>
      </c>
      <c r="B142" s="121">
        <v>10</v>
      </c>
      <c r="C142" s="114">
        <f t="shared" ref="C142:C148" si="11">C29</f>
        <v>400000</v>
      </c>
      <c r="D142" s="115">
        <f t="shared" si="6"/>
        <v>40000</v>
      </c>
      <c r="E142" s="114">
        <f t="shared" si="7"/>
        <v>40000</v>
      </c>
      <c r="F142" s="114">
        <f t="shared" si="8"/>
        <v>40000</v>
      </c>
      <c r="G142" s="183">
        <f t="shared" ref="G142" si="12">D142</f>
        <v>40000</v>
      </c>
      <c r="H142" s="183">
        <f t="shared" ref="H142" si="13">D142</f>
        <v>40000</v>
      </c>
      <c r="I142" s="183">
        <f>C142-D142-E142-F142-G142-H142</f>
        <v>200000</v>
      </c>
      <c r="J142" s="98"/>
    </row>
    <row r="143" spans="1:10" ht="15.75" x14ac:dyDescent="0.25">
      <c r="A143" s="117" t="s">
        <v>516</v>
      </c>
      <c r="B143" s="121">
        <v>10</v>
      </c>
      <c r="C143" s="114">
        <f t="shared" si="11"/>
        <v>280000</v>
      </c>
      <c r="D143" s="100">
        <f t="shared" si="6"/>
        <v>28000</v>
      </c>
      <c r="E143" s="114">
        <f t="shared" si="7"/>
        <v>28000</v>
      </c>
      <c r="F143" s="114">
        <f t="shared" si="8"/>
        <v>28000</v>
      </c>
      <c r="G143" s="183">
        <f t="shared" si="9"/>
        <v>28000</v>
      </c>
      <c r="H143" s="183">
        <f t="shared" si="10"/>
        <v>28000</v>
      </c>
      <c r="I143" s="183">
        <f t="shared" ref="I143:I148" si="14">C143-D143-E143-F143-G143-H143</f>
        <v>140000</v>
      </c>
      <c r="J143" s="98"/>
    </row>
    <row r="144" spans="1:10" ht="15.75" x14ac:dyDescent="0.25">
      <c r="A144" s="120" t="s">
        <v>517</v>
      </c>
      <c r="B144" s="108">
        <v>10</v>
      </c>
      <c r="C144" s="114">
        <f t="shared" si="11"/>
        <v>180000</v>
      </c>
      <c r="D144" s="100">
        <f t="shared" si="6"/>
        <v>18000</v>
      </c>
      <c r="E144" s="114">
        <f t="shared" si="7"/>
        <v>18000</v>
      </c>
      <c r="F144" s="114">
        <f t="shared" si="8"/>
        <v>18000</v>
      </c>
      <c r="G144" s="183">
        <f t="shared" si="9"/>
        <v>18000</v>
      </c>
      <c r="H144" s="183">
        <f t="shared" si="10"/>
        <v>18000</v>
      </c>
      <c r="I144" s="183">
        <f t="shared" si="14"/>
        <v>90000</v>
      </c>
      <c r="J144" s="98"/>
    </row>
    <row r="145" spans="1:10" ht="15.75" x14ac:dyDescent="0.25">
      <c r="A145" s="96" t="s">
        <v>518</v>
      </c>
      <c r="B145" s="108">
        <v>5</v>
      </c>
      <c r="C145" s="114">
        <f t="shared" si="11"/>
        <v>160000</v>
      </c>
      <c r="D145" s="100">
        <f t="shared" si="6"/>
        <v>32000</v>
      </c>
      <c r="E145" s="114">
        <f t="shared" si="7"/>
        <v>32000</v>
      </c>
      <c r="F145" s="114">
        <f t="shared" si="8"/>
        <v>32000</v>
      </c>
      <c r="G145" s="183">
        <f t="shared" si="9"/>
        <v>32000</v>
      </c>
      <c r="H145" s="183">
        <f t="shared" si="10"/>
        <v>32000</v>
      </c>
      <c r="I145" s="183">
        <f t="shared" si="14"/>
        <v>0</v>
      </c>
      <c r="J145" s="98"/>
    </row>
    <row r="146" spans="1:10" ht="15.75" x14ac:dyDescent="0.25">
      <c r="A146" s="124" t="s">
        <v>519</v>
      </c>
      <c r="B146" s="108">
        <v>5</v>
      </c>
      <c r="C146" s="114">
        <f t="shared" si="11"/>
        <v>220000</v>
      </c>
      <c r="D146" s="100">
        <f t="shared" si="6"/>
        <v>44000</v>
      </c>
      <c r="E146" s="114">
        <f t="shared" si="7"/>
        <v>44000</v>
      </c>
      <c r="F146" s="114">
        <f t="shared" si="8"/>
        <v>44000</v>
      </c>
      <c r="G146" s="183">
        <f t="shared" si="9"/>
        <v>44000</v>
      </c>
      <c r="H146" s="183">
        <f t="shared" si="10"/>
        <v>44000</v>
      </c>
      <c r="I146" s="183">
        <f t="shared" si="14"/>
        <v>0</v>
      </c>
      <c r="J146" s="98"/>
    </row>
    <row r="147" spans="1:10" ht="15.75" x14ac:dyDescent="0.25">
      <c r="A147" s="120" t="s">
        <v>520</v>
      </c>
      <c r="B147" s="108">
        <v>5</v>
      </c>
      <c r="C147" s="114">
        <f t="shared" si="11"/>
        <v>2200000</v>
      </c>
      <c r="D147" s="100">
        <f t="shared" si="6"/>
        <v>440000</v>
      </c>
      <c r="E147" s="114">
        <f t="shared" si="7"/>
        <v>440000</v>
      </c>
      <c r="F147" s="114">
        <f t="shared" si="8"/>
        <v>440000</v>
      </c>
      <c r="G147" s="183">
        <f t="shared" si="9"/>
        <v>440000</v>
      </c>
      <c r="H147" s="183">
        <f t="shared" si="10"/>
        <v>440000</v>
      </c>
      <c r="I147" s="183">
        <f t="shared" si="14"/>
        <v>0</v>
      </c>
      <c r="J147" s="98"/>
    </row>
    <row r="148" spans="1:10" ht="15.75" x14ac:dyDescent="0.25">
      <c r="A148" s="124" t="s">
        <v>514</v>
      </c>
      <c r="B148" s="108">
        <v>10</v>
      </c>
      <c r="C148" s="114">
        <f t="shared" si="11"/>
        <v>900000</v>
      </c>
      <c r="D148" s="100">
        <f t="shared" si="6"/>
        <v>90000</v>
      </c>
      <c r="E148" s="114">
        <f t="shared" si="7"/>
        <v>90000</v>
      </c>
      <c r="F148" s="114">
        <f t="shared" si="8"/>
        <v>90000</v>
      </c>
      <c r="G148" s="183">
        <f t="shared" si="9"/>
        <v>90000</v>
      </c>
      <c r="H148" s="183">
        <f t="shared" si="10"/>
        <v>90000</v>
      </c>
      <c r="I148" s="183">
        <f t="shared" si="14"/>
        <v>450000</v>
      </c>
      <c r="J148" s="98"/>
    </row>
    <row r="149" spans="1:10" ht="15.75" x14ac:dyDescent="0.25">
      <c r="A149" s="109" t="s">
        <v>65</v>
      </c>
      <c r="B149" s="110"/>
      <c r="C149" s="125"/>
      <c r="D149" s="143">
        <f>SUM(D140:D148)</f>
        <v>732001</v>
      </c>
      <c r="E149" s="143">
        <f t="shared" si="7"/>
        <v>732001</v>
      </c>
      <c r="F149" s="143">
        <f t="shared" si="8"/>
        <v>732001</v>
      </c>
      <c r="G149" s="143">
        <f t="shared" si="9"/>
        <v>732001</v>
      </c>
      <c r="H149" s="143">
        <f t="shared" si="10"/>
        <v>732001</v>
      </c>
      <c r="I149" s="143">
        <f>SUM(I141:I148)</f>
        <v>1080000</v>
      </c>
      <c r="J149" s="98"/>
    </row>
    <row r="150" spans="1:10" ht="15.75" x14ac:dyDescent="0.25">
      <c r="A150" s="98"/>
      <c r="B150" s="98"/>
      <c r="C150" s="98"/>
      <c r="D150" s="98"/>
      <c r="E150" s="184"/>
      <c r="F150" s="98"/>
      <c r="G150" s="98"/>
      <c r="H150" s="98"/>
      <c r="I150" s="98"/>
      <c r="J150" s="98"/>
    </row>
    <row r="151" spans="1:10" ht="15.75" x14ac:dyDescent="0.25">
      <c r="A151" s="98"/>
      <c r="B151" s="98"/>
      <c r="C151" s="98"/>
      <c r="D151" s="98"/>
      <c r="E151" s="98"/>
      <c r="F151" s="98"/>
      <c r="G151" s="98"/>
      <c r="H151" s="98"/>
      <c r="I151" s="98"/>
      <c r="J151" s="98"/>
    </row>
    <row r="152" spans="1:10" ht="15.75" x14ac:dyDescent="0.25">
      <c r="A152" s="144" t="s">
        <v>372</v>
      </c>
      <c r="B152" s="144"/>
      <c r="C152" s="144"/>
      <c r="D152" s="144"/>
      <c r="E152" s="144"/>
      <c r="F152" s="144"/>
      <c r="G152" s="144"/>
      <c r="H152" s="144"/>
      <c r="I152" s="144"/>
      <c r="J152" s="98"/>
    </row>
    <row r="153" spans="1:10" ht="47.25" x14ac:dyDescent="0.25">
      <c r="A153" s="145" t="s">
        <v>60</v>
      </c>
      <c r="B153" s="145" t="s">
        <v>61</v>
      </c>
      <c r="C153" s="146" t="s">
        <v>62</v>
      </c>
      <c r="D153" s="156"/>
      <c r="E153" s="156"/>
      <c r="F153" s="156" t="s">
        <v>63</v>
      </c>
      <c r="G153" s="156"/>
      <c r="H153" s="156"/>
      <c r="I153" s="146" t="s">
        <v>64</v>
      </c>
      <c r="J153" s="98"/>
    </row>
    <row r="154" spans="1:10" ht="15.75" x14ac:dyDescent="0.25">
      <c r="A154" s="156"/>
      <c r="B154" s="156"/>
      <c r="C154" s="156"/>
      <c r="D154" s="156">
        <v>1</v>
      </c>
      <c r="E154" s="156">
        <v>2</v>
      </c>
      <c r="F154" s="156">
        <v>3</v>
      </c>
      <c r="G154" s="156">
        <v>4</v>
      </c>
      <c r="H154" s="156">
        <v>5</v>
      </c>
      <c r="I154" s="156"/>
      <c r="J154" s="98"/>
    </row>
    <row r="155" spans="1:10" ht="15.75" x14ac:dyDescent="0.25">
      <c r="A155" s="132" t="s">
        <v>12</v>
      </c>
      <c r="B155" s="108">
        <f t="shared" ref="B155:B163" si="15">E49</f>
        <v>10</v>
      </c>
      <c r="C155" s="100">
        <f t="shared" ref="C155:C163" si="16">D49</f>
        <v>500000</v>
      </c>
      <c r="D155" s="100">
        <f t="shared" ref="D155:D163" si="17">C155/B155</f>
        <v>50000</v>
      </c>
      <c r="E155" s="100">
        <f t="shared" ref="E155:E163" si="18">C155/B155</f>
        <v>50000</v>
      </c>
      <c r="F155" s="100">
        <f t="shared" ref="F155:F163" si="19">C155/B155</f>
        <v>50000</v>
      </c>
      <c r="G155" s="100">
        <f t="shared" ref="G155:G163" si="20">C155/B155</f>
        <v>50000</v>
      </c>
      <c r="H155" s="100">
        <f t="shared" ref="H155:H163" si="21">C155/B155</f>
        <v>50000</v>
      </c>
      <c r="I155" s="100">
        <f t="shared" ref="I155:I163" si="22">C155-D155-E155-F155-G155-H155</f>
        <v>250000</v>
      </c>
      <c r="J155" s="98"/>
    </row>
    <row r="156" spans="1:10" ht="15.75" x14ac:dyDescent="0.25">
      <c r="A156" s="132" t="s">
        <v>13</v>
      </c>
      <c r="B156" s="108">
        <f t="shared" si="15"/>
        <v>10</v>
      </c>
      <c r="C156" s="100">
        <f t="shared" si="16"/>
        <v>410000</v>
      </c>
      <c r="D156" s="100">
        <f t="shared" si="17"/>
        <v>41000</v>
      </c>
      <c r="E156" s="100">
        <f t="shared" si="18"/>
        <v>41000</v>
      </c>
      <c r="F156" s="100">
        <f t="shared" si="19"/>
        <v>41000</v>
      </c>
      <c r="G156" s="100">
        <f t="shared" si="20"/>
        <v>41000</v>
      </c>
      <c r="H156" s="100">
        <f t="shared" si="21"/>
        <v>41000</v>
      </c>
      <c r="I156" s="100">
        <f t="shared" si="22"/>
        <v>205000</v>
      </c>
      <c r="J156" s="98"/>
    </row>
    <row r="157" spans="1:10" ht="15.75" x14ac:dyDescent="0.25">
      <c r="A157" s="96" t="s">
        <v>14</v>
      </c>
      <c r="B157" s="108">
        <f t="shared" si="15"/>
        <v>10</v>
      </c>
      <c r="C157" s="100">
        <f t="shared" si="16"/>
        <v>200000</v>
      </c>
      <c r="D157" s="100">
        <f t="shared" si="17"/>
        <v>20000</v>
      </c>
      <c r="E157" s="100">
        <f t="shared" si="18"/>
        <v>20000</v>
      </c>
      <c r="F157" s="100">
        <f t="shared" si="19"/>
        <v>20000</v>
      </c>
      <c r="G157" s="100">
        <f t="shared" si="20"/>
        <v>20000</v>
      </c>
      <c r="H157" s="100">
        <f t="shared" si="21"/>
        <v>20000</v>
      </c>
      <c r="I157" s="100">
        <f t="shared" si="22"/>
        <v>100000</v>
      </c>
      <c r="J157" s="98"/>
    </row>
    <row r="158" spans="1:10" ht="15.75" x14ac:dyDescent="0.25">
      <c r="A158" s="96" t="s">
        <v>15</v>
      </c>
      <c r="B158" s="108">
        <f t="shared" si="15"/>
        <v>10</v>
      </c>
      <c r="C158" s="100">
        <f t="shared" si="16"/>
        <v>120000</v>
      </c>
      <c r="D158" s="100">
        <f t="shared" si="17"/>
        <v>12000</v>
      </c>
      <c r="E158" s="100">
        <f t="shared" si="18"/>
        <v>12000</v>
      </c>
      <c r="F158" s="100">
        <f t="shared" si="19"/>
        <v>12000</v>
      </c>
      <c r="G158" s="100">
        <f t="shared" si="20"/>
        <v>12000</v>
      </c>
      <c r="H158" s="100">
        <f t="shared" si="21"/>
        <v>12000</v>
      </c>
      <c r="I158" s="100">
        <f t="shared" si="22"/>
        <v>60000</v>
      </c>
      <c r="J158" s="98"/>
    </row>
    <row r="159" spans="1:10" ht="15.75" x14ac:dyDescent="0.25">
      <c r="A159" s="96" t="s">
        <v>16</v>
      </c>
      <c r="B159" s="108">
        <f t="shared" si="15"/>
        <v>10</v>
      </c>
      <c r="C159" s="100">
        <f t="shared" si="16"/>
        <v>140000</v>
      </c>
      <c r="D159" s="100">
        <f t="shared" si="17"/>
        <v>14000</v>
      </c>
      <c r="E159" s="100">
        <f t="shared" si="18"/>
        <v>14000</v>
      </c>
      <c r="F159" s="100">
        <f t="shared" si="19"/>
        <v>14000</v>
      </c>
      <c r="G159" s="100">
        <f t="shared" si="20"/>
        <v>14000</v>
      </c>
      <c r="H159" s="100">
        <f t="shared" si="21"/>
        <v>14000</v>
      </c>
      <c r="I159" s="100">
        <f t="shared" si="22"/>
        <v>70000</v>
      </c>
      <c r="J159" s="98"/>
    </row>
    <row r="160" spans="1:10" ht="15.75" x14ac:dyDescent="0.25">
      <c r="A160" s="96" t="s">
        <v>17</v>
      </c>
      <c r="B160" s="108">
        <f t="shared" si="15"/>
        <v>10</v>
      </c>
      <c r="C160" s="100">
        <f t="shared" si="16"/>
        <v>110000</v>
      </c>
      <c r="D160" s="100">
        <f t="shared" si="17"/>
        <v>11000</v>
      </c>
      <c r="E160" s="100">
        <f t="shared" si="18"/>
        <v>11000</v>
      </c>
      <c r="F160" s="100">
        <f t="shared" si="19"/>
        <v>11000</v>
      </c>
      <c r="G160" s="100">
        <f t="shared" si="20"/>
        <v>11000</v>
      </c>
      <c r="H160" s="100">
        <f t="shared" si="21"/>
        <v>11000</v>
      </c>
      <c r="I160" s="100">
        <f t="shared" si="22"/>
        <v>55000</v>
      </c>
      <c r="J160" s="98"/>
    </row>
    <row r="161" spans="1:10" ht="15.75" x14ac:dyDescent="0.25">
      <c r="A161" s="96" t="s">
        <v>10</v>
      </c>
      <c r="B161" s="108">
        <f t="shared" si="15"/>
        <v>5</v>
      </c>
      <c r="C161" s="100">
        <f t="shared" si="16"/>
        <v>350000</v>
      </c>
      <c r="D161" s="100">
        <f t="shared" si="17"/>
        <v>70000</v>
      </c>
      <c r="E161" s="100">
        <f t="shared" si="18"/>
        <v>70000</v>
      </c>
      <c r="F161" s="100">
        <f t="shared" si="19"/>
        <v>70000</v>
      </c>
      <c r="G161" s="100">
        <f t="shared" si="20"/>
        <v>70000</v>
      </c>
      <c r="H161" s="100">
        <f t="shared" si="21"/>
        <v>70000</v>
      </c>
      <c r="I161" s="100">
        <f t="shared" si="22"/>
        <v>0</v>
      </c>
      <c r="J161" s="98"/>
    </row>
    <row r="162" spans="1:10" ht="15.75" x14ac:dyDescent="0.25">
      <c r="A162" s="96" t="s">
        <v>527</v>
      </c>
      <c r="B162" s="108">
        <f t="shared" si="15"/>
        <v>5</v>
      </c>
      <c r="C162" s="100">
        <f t="shared" si="16"/>
        <v>650000</v>
      </c>
      <c r="D162" s="100">
        <f t="shared" si="17"/>
        <v>130000</v>
      </c>
      <c r="E162" s="100">
        <f t="shared" si="18"/>
        <v>130000</v>
      </c>
      <c r="F162" s="100">
        <f t="shared" si="19"/>
        <v>130000</v>
      </c>
      <c r="G162" s="100">
        <f t="shared" si="20"/>
        <v>130000</v>
      </c>
      <c r="H162" s="100">
        <f t="shared" si="21"/>
        <v>130000</v>
      </c>
      <c r="I162" s="100">
        <f t="shared" si="22"/>
        <v>0</v>
      </c>
      <c r="J162" s="98"/>
    </row>
    <row r="163" spans="1:10" ht="15.75" x14ac:dyDescent="0.25">
      <c r="A163" s="96" t="s">
        <v>18</v>
      </c>
      <c r="B163" s="108">
        <f t="shared" si="15"/>
        <v>10</v>
      </c>
      <c r="C163" s="100">
        <f t="shared" si="16"/>
        <v>300000</v>
      </c>
      <c r="D163" s="100">
        <f t="shared" si="17"/>
        <v>30000</v>
      </c>
      <c r="E163" s="100">
        <f t="shared" si="18"/>
        <v>30000</v>
      </c>
      <c r="F163" s="100">
        <f t="shared" si="19"/>
        <v>30000</v>
      </c>
      <c r="G163" s="100">
        <f t="shared" si="20"/>
        <v>30000</v>
      </c>
      <c r="H163" s="100">
        <f t="shared" si="21"/>
        <v>30000</v>
      </c>
      <c r="I163" s="100">
        <f t="shared" si="22"/>
        <v>150000</v>
      </c>
      <c r="J163" s="98"/>
    </row>
    <row r="164" spans="1:10" ht="15.75" x14ac:dyDescent="0.25">
      <c r="A164" s="109" t="s">
        <v>66</v>
      </c>
      <c r="B164" s="125"/>
      <c r="C164" s="143">
        <f t="shared" ref="C164:I164" si="23">SUM(C155:C163)</f>
        <v>2780000</v>
      </c>
      <c r="D164" s="143">
        <f t="shared" si="23"/>
        <v>378000</v>
      </c>
      <c r="E164" s="143">
        <f t="shared" si="23"/>
        <v>378000</v>
      </c>
      <c r="F164" s="143">
        <f t="shared" si="23"/>
        <v>378000</v>
      </c>
      <c r="G164" s="143">
        <f t="shared" si="23"/>
        <v>378000</v>
      </c>
      <c r="H164" s="143">
        <f t="shared" si="23"/>
        <v>378000</v>
      </c>
      <c r="I164" s="143">
        <f t="shared" si="23"/>
        <v>890000</v>
      </c>
      <c r="J164" s="98"/>
    </row>
    <row r="165" spans="1:10" ht="15.75" x14ac:dyDescent="0.25">
      <c r="A165" s="98"/>
      <c r="B165" s="98"/>
      <c r="C165" s="98"/>
      <c r="D165" s="98"/>
      <c r="E165" s="98"/>
      <c r="F165" s="98"/>
      <c r="G165" s="98"/>
      <c r="H165" s="98"/>
      <c r="I165" s="98"/>
      <c r="J165" s="98"/>
    </row>
    <row r="166" spans="1:10" ht="15.75" x14ac:dyDescent="0.25">
      <c r="A166" s="98"/>
      <c r="B166" s="98"/>
      <c r="C166" s="98"/>
      <c r="D166" s="98"/>
      <c r="E166" s="98"/>
      <c r="F166" s="98"/>
      <c r="G166" s="98"/>
      <c r="H166" s="98"/>
      <c r="I166" s="98"/>
      <c r="J166" s="98"/>
    </row>
    <row r="167" spans="1:10" ht="15.75" x14ac:dyDescent="0.25">
      <c r="A167" s="30" t="s">
        <v>373</v>
      </c>
      <c r="B167" s="31"/>
      <c r="C167" s="31"/>
      <c r="D167" s="31"/>
      <c r="E167" s="32"/>
      <c r="F167" s="98"/>
      <c r="G167" s="98"/>
      <c r="H167" s="98"/>
      <c r="I167" s="98"/>
      <c r="J167" s="98"/>
    </row>
    <row r="168" spans="1:10" ht="31.5" x14ac:dyDescent="0.25">
      <c r="A168" s="158" t="s">
        <v>26</v>
      </c>
      <c r="B168" s="159" t="s">
        <v>27</v>
      </c>
      <c r="C168" s="159" t="s">
        <v>28</v>
      </c>
      <c r="D168" s="159" t="s">
        <v>29</v>
      </c>
      <c r="E168" s="181" t="s">
        <v>490</v>
      </c>
      <c r="F168" s="98"/>
      <c r="G168" s="98"/>
      <c r="H168" s="98"/>
      <c r="I168" s="98"/>
      <c r="J168" s="98"/>
    </row>
    <row r="169" spans="1:10" ht="15.75" x14ac:dyDescent="0.25">
      <c r="A169" s="152" t="s">
        <v>489</v>
      </c>
      <c r="B169" s="162"/>
      <c r="C169" s="162"/>
      <c r="D169" s="162"/>
      <c r="E169" s="163"/>
      <c r="F169" s="98"/>
      <c r="G169" s="98"/>
      <c r="H169" s="98"/>
      <c r="I169" s="98"/>
      <c r="J169" s="98"/>
    </row>
    <row r="170" spans="1:10" ht="15.75" x14ac:dyDescent="0.25">
      <c r="A170" s="185" t="s">
        <v>360</v>
      </c>
      <c r="B170" s="122">
        <v>2100000</v>
      </c>
      <c r="C170" s="186">
        <f>B170*12</f>
        <v>25200000</v>
      </c>
      <c r="D170" s="186">
        <f>C170*0.53875</f>
        <v>13576499.999999998</v>
      </c>
      <c r="E170" s="186">
        <f>C170+D170</f>
        <v>38776500</v>
      </c>
      <c r="F170" s="98"/>
      <c r="G170" s="98"/>
      <c r="H170" s="98"/>
      <c r="I170" s="98"/>
      <c r="J170" s="98"/>
    </row>
    <row r="171" spans="1:10" ht="15.75" x14ac:dyDescent="0.25">
      <c r="A171" s="132" t="s">
        <v>67</v>
      </c>
      <c r="B171" s="118">
        <v>800000</v>
      </c>
      <c r="C171" s="187">
        <f>B171*12</f>
        <v>9600000</v>
      </c>
      <c r="D171" s="187">
        <f>C171*0.53875</f>
        <v>5171999.9999999991</v>
      </c>
      <c r="E171" s="187">
        <f>C171+D171</f>
        <v>14772000</v>
      </c>
      <c r="F171" s="98"/>
      <c r="G171" s="98"/>
      <c r="H171" s="98"/>
      <c r="I171" s="98"/>
      <c r="J171" s="98"/>
    </row>
    <row r="172" spans="1:10" ht="15.75" x14ac:dyDescent="0.25">
      <c r="A172" s="185" t="s">
        <v>68</v>
      </c>
      <c r="B172" s="122">
        <v>1200000</v>
      </c>
      <c r="C172" s="187">
        <f>B172*12</f>
        <v>14400000</v>
      </c>
      <c r="D172" s="187">
        <v>0</v>
      </c>
      <c r="E172" s="187">
        <f>C172+D172</f>
        <v>14400000</v>
      </c>
      <c r="F172" s="98"/>
      <c r="G172" s="98"/>
      <c r="H172" s="98"/>
      <c r="I172" s="98"/>
      <c r="J172" s="98"/>
    </row>
    <row r="173" spans="1:10" ht="15.75" x14ac:dyDescent="0.25">
      <c r="A173" s="132" t="s">
        <v>488</v>
      </c>
      <c r="B173" s="118">
        <v>781242</v>
      </c>
      <c r="C173" s="187">
        <f>B173*12</f>
        <v>9374904</v>
      </c>
      <c r="D173" s="187">
        <f>C173*0.53875</f>
        <v>5050729.5299999993</v>
      </c>
      <c r="E173" s="187">
        <f>C173+D173</f>
        <v>14425633.529999999</v>
      </c>
      <c r="F173" s="98"/>
      <c r="G173" s="98"/>
      <c r="H173" s="98"/>
      <c r="I173" s="98"/>
      <c r="J173" s="98"/>
    </row>
    <row r="174" spans="1:10" ht="15.75" x14ac:dyDescent="0.25">
      <c r="A174" s="188" t="s">
        <v>69</v>
      </c>
      <c r="B174" s="143">
        <f>SUM(B170:B173)</f>
        <v>4881242</v>
      </c>
      <c r="C174" s="143">
        <f>SUM(C170:C173)</f>
        <v>58574904</v>
      </c>
      <c r="D174" s="143">
        <f>SUM(D170:D173)</f>
        <v>23799229.529999994</v>
      </c>
      <c r="E174" s="143">
        <f>SUM(E170:E173)</f>
        <v>82374133.530000001</v>
      </c>
      <c r="F174" s="98"/>
      <c r="G174" s="98"/>
      <c r="H174" s="98"/>
      <c r="I174" s="98"/>
      <c r="J174" s="98"/>
    </row>
    <row r="175" spans="1:10" ht="15.75" x14ac:dyDescent="0.25">
      <c r="A175" s="98"/>
      <c r="B175" s="98"/>
      <c r="C175" s="98"/>
      <c r="D175" s="98"/>
      <c r="E175" s="98"/>
      <c r="F175" s="98"/>
      <c r="G175" s="98"/>
      <c r="H175" s="98"/>
      <c r="I175" s="98"/>
      <c r="J175" s="98"/>
    </row>
    <row r="176" spans="1:10" ht="15.75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</row>
    <row r="177" spans="1:10" ht="15.75" x14ac:dyDescent="0.25">
      <c r="A177" s="30" t="s">
        <v>374</v>
      </c>
      <c r="B177" s="31"/>
      <c r="C177" s="31"/>
      <c r="D177" s="31"/>
      <c r="E177" s="32"/>
      <c r="F177" s="98"/>
      <c r="G177" s="98"/>
      <c r="H177" s="98"/>
      <c r="I177" s="98"/>
      <c r="J177" s="98"/>
    </row>
    <row r="178" spans="1:10" ht="31.5" x14ac:dyDescent="0.25">
      <c r="A178" s="152" t="s">
        <v>49</v>
      </c>
      <c r="B178" s="106" t="s">
        <v>44</v>
      </c>
      <c r="C178" s="177" t="s">
        <v>0</v>
      </c>
      <c r="D178" s="106" t="s">
        <v>1</v>
      </c>
      <c r="E178" s="107" t="s">
        <v>487</v>
      </c>
      <c r="F178" s="98"/>
      <c r="G178" s="98"/>
      <c r="H178" s="98"/>
      <c r="I178" s="98"/>
      <c r="J178" s="98"/>
    </row>
    <row r="179" spans="1:10" ht="15.75" x14ac:dyDescent="0.25">
      <c r="A179" s="120" t="s">
        <v>155</v>
      </c>
      <c r="B179" s="121" t="s">
        <v>72</v>
      </c>
      <c r="C179" s="121">
        <v>1</v>
      </c>
      <c r="D179" s="179">
        <v>280000</v>
      </c>
      <c r="E179" s="115">
        <f>C179*D179</f>
        <v>280000</v>
      </c>
      <c r="F179" s="98"/>
      <c r="G179" s="98"/>
      <c r="H179" s="98"/>
      <c r="I179" s="98"/>
      <c r="J179" s="98"/>
    </row>
    <row r="180" spans="1:10" ht="15.75" x14ac:dyDescent="0.25">
      <c r="A180" s="96" t="s">
        <v>70</v>
      </c>
      <c r="B180" s="108" t="s">
        <v>72</v>
      </c>
      <c r="C180" s="108">
        <v>1</v>
      </c>
      <c r="D180" s="100">
        <v>650000</v>
      </c>
      <c r="E180" s="100">
        <f>C180*D180</f>
        <v>650000</v>
      </c>
      <c r="F180" s="98"/>
      <c r="G180" s="98"/>
      <c r="H180" s="98"/>
      <c r="I180" s="98"/>
      <c r="J180" s="98"/>
    </row>
    <row r="181" spans="1:10" ht="15.75" x14ac:dyDescent="0.25">
      <c r="A181" s="96" t="s">
        <v>535</v>
      </c>
      <c r="B181" s="108" t="s">
        <v>72</v>
      </c>
      <c r="C181" s="108">
        <v>1</v>
      </c>
      <c r="D181" s="100">
        <v>800000</v>
      </c>
      <c r="E181" s="100">
        <f>C181*D181</f>
        <v>800000</v>
      </c>
      <c r="F181" s="98"/>
      <c r="G181" s="98"/>
      <c r="H181" s="98"/>
      <c r="I181" s="98"/>
      <c r="J181" s="98"/>
    </row>
    <row r="182" spans="1:10" ht="15.75" x14ac:dyDescent="0.25">
      <c r="A182" s="96" t="s">
        <v>536</v>
      </c>
      <c r="B182" s="108" t="s">
        <v>72</v>
      </c>
      <c r="C182" s="108">
        <v>1</v>
      </c>
      <c r="D182" s="100">
        <v>350000</v>
      </c>
      <c r="E182" s="100">
        <f>C182*D182</f>
        <v>350000</v>
      </c>
      <c r="F182" s="98"/>
      <c r="G182" s="98"/>
      <c r="H182" s="98"/>
      <c r="I182" s="98"/>
      <c r="J182" s="98"/>
    </row>
    <row r="183" spans="1:10" ht="15.75" x14ac:dyDescent="0.25">
      <c r="A183" s="96" t="s">
        <v>71</v>
      </c>
      <c r="B183" s="108" t="s">
        <v>72</v>
      </c>
      <c r="C183" s="108">
        <v>1</v>
      </c>
      <c r="D183" s="100">
        <v>325000</v>
      </c>
      <c r="E183" s="100">
        <f>C183*D183</f>
        <v>325000</v>
      </c>
      <c r="F183" s="98"/>
      <c r="G183" s="98"/>
      <c r="H183" s="98"/>
      <c r="I183" s="98"/>
      <c r="J183" s="98"/>
    </row>
    <row r="184" spans="1:10" ht="15.75" x14ac:dyDescent="0.25">
      <c r="A184" s="144" t="s">
        <v>42</v>
      </c>
      <c r="B184" s="144"/>
      <c r="C184" s="144"/>
      <c r="D184" s="144"/>
      <c r="E184" s="189">
        <f>SUM(E179:E183)</f>
        <v>2405000</v>
      </c>
      <c r="F184" s="98"/>
      <c r="G184" s="98"/>
      <c r="H184" s="98"/>
      <c r="I184" s="98"/>
      <c r="J184" s="98"/>
    </row>
    <row r="185" spans="1:10" ht="15.75" x14ac:dyDescent="0.25">
      <c r="A185" s="98"/>
      <c r="B185" s="98"/>
      <c r="C185" s="98"/>
      <c r="D185" s="98"/>
      <c r="E185" s="98"/>
      <c r="F185" s="98"/>
      <c r="G185" s="98"/>
      <c r="H185" s="98"/>
      <c r="I185" s="98"/>
      <c r="J185" s="98"/>
    </row>
    <row r="186" spans="1:10" ht="15.75" x14ac:dyDescent="0.25">
      <c r="A186" s="98"/>
      <c r="B186" s="98"/>
      <c r="C186" s="98"/>
      <c r="D186" s="98"/>
      <c r="E186" s="98"/>
      <c r="F186" s="98"/>
      <c r="G186" s="98"/>
      <c r="H186" s="98"/>
      <c r="I186" s="98"/>
      <c r="J186" s="98"/>
    </row>
    <row r="187" spans="1:10" ht="16.5" customHeight="1" x14ac:dyDescent="0.25">
      <c r="A187" s="33" t="s">
        <v>361</v>
      </c>
      <c r="B187" s="33"/>
      <c r="C187" s="33"/>
      <c r="D187" s="33"/>
      <c r="E187" s="33"/>
      <c r="F187" s="33"/>
      <c r="G187" s="33"/>
      <c r="H187" s="33"/>
      <c r="I187" s="98"/>
      <c r="J187" s="98"/>
    </row>
    <row r="188" spans="1:10" ht="31.5" customHeight="1" x14ac:dyDescent="0.25">
      <c r="A188" s="190" t="s">
        <v>73</v>
      </c>
      <c r="B188" s="191" t="s">
        <v>178</v>
      </c>
      <c r="C188" s="191" t="s">
        <v>74</v>
      </c>
      <c r="D188" s="192"/>
      <c r="E188" s="162" t="s">
        <v>75</v>
      </c>
      <c r="F188" s="162"/>
      <c r="G188" s="162"/>
      <c r="H188" s="193"/>
      <c r="I188" s="98"/>
      <c r="J188" s="98"/>
    </row>
    <row r="189" spans="1:10" ht="15.75" x14ac:dyDescent="0.25">
      <c r="A189" s="193"/>
      <c r="B189" s="193"/>
      <c r="C189" s="194"/>
      <c r="D189" s="195">
        <v>1</v>
      </c>
      <c r="E189" s="196">
        <v>2</v>
      </c>
      <c r="F189" s="196">
        <v>3</v>
      </c>
      <c r="G189" s="196">
        <v>4</v>
      </c>
      <c r="H189" s="193">
        <v>5</v>
      </c>
      <c r="I189" s="98"/>
      <c r="J189" s="98"/>
    </row>
    <row r="190" spans="1:10" ht="15.75" x14ac:dyDescent="0.25">
      <c r="A190" s="197" t="s">
        <v>179</v>
      </c>
      <c r="B190" s="198">
        <v>5</v>
      </c>
      <c r="C190" s="199">
        <f>D72</f>
        <v>9750000</v>
      </c>
      <c r="D190" s="199">
        <f>C190/5</f>
        <v>1950000</v>
      </c>
      <c r="E190" s="199">
        <f>C190/B190</f>
        <v>1950000</v>
      </c>
      <c r="F190" s="199">
        <f>C190/B190</f>
        <v>1950000</v>
      </c>
      <c r="G190" s="199">
        <f>C190/B190</f>
        <v>1950000</v>
      </c>
      <c r="H190" s="199">
        <f>C190/B190</f>
        <v>1950000</v>
      </c>
      <c r="I190" s="98"/>
      <c r="J190" s="98"/>
    </row>
    <row r="191" spans="1:10" ht="15.75" x14ac:dyDescent="0.25">
      <c r="A191" s="200" t="s">
        <v>180</v>
      </c>
      <c r="B191" s="201"/>
      <c r="C191" s="202"/>
      <c r="D191" s="199">
        <f>SUM(D190:D190)</f>
        <v>1950000</v>
      </c>
      <c r="E191" s="199">
        <f>SUM(E190:E190)</f>
        <v>1950000</v>
      </c>
      <c r="F191" s="199">
        <f>SUM(F190:F190)</f>
        <v>1950000</v>
      </c>
      <c r="G191" s="199">
        <f>SUM(G190:G190)</f>
        <v>1950000</v>
      </c>
      <c r="H191" s="199">
        <f>SUM(H190:H190)</f>
        <v>1950000</v>
      </c>
      <c r="I191" s="98"/>
      <c r="J191" s="98"/>
    </row>
    <row r="192" spans="1:10" ht="15.75" x14ac:dyDescent="0.25">
      <c r="A192" s="203"/>
      <c r="B192" s="203"/>
      <c r="C192" s="203"/>
      <c r="D192" s="204"/>
      <c r="E192" s="203"/>
      <c r="F192" s="203"/>
      <c r="G192" s="203"/>
      <c r="H192" s="205"/>
      <c r="I192" s="98"/>
      <c r="J192" s="98"/>
    </row>
    <row r="193" spans="1:10" ht="63" x14ac:dyDescent="0.25">
      <c r="A193" s="206" t="s">
        <v>73</v>
      </c>
      <c r="B193" s="207" t="s">
        <v>178</v>
      </c>
      <c r="C193" s="207" t="s">
        <v>74</v>
      </c>
      <c r="D193" s="208"/>
      <c r="E193" s="209" t="s">
        <v>75</v>
      </c>
      <c r="F193" s="209"/>
      <c r="G193" s="209"/>
      <c r="H193" s="193"/>
      <c r="I193" s="98"/>
      <c r="J193" s="98"/>
    </row>
    <row r="194" spans="1:10" ht="15.75" x14ac:dyDescent="0.25">
      <c r="A194" s="193"/>
      <c r="B194" s="193"/>
      <c r="C194" s="194"/>
      <c r="D194" s="195">
        <v>1</v>
      </c>
      <c r="E194" s="196">
        <v>2</v>
      </c>
      <c r="F194" s="196">
        <v>3</v>
      </c>
      <c r="G194" s="196">
        <v>4</v>
      </c>
      <c r="H194" s="193">
        <v>5</v>
      </c>
      <c r="I194" s="98"/>
      <c r="J194" s="98"/>
    </row>
    <row r="195" spans="1:10" ht="15.75" x14ac:dyDescent="0.25">
      <c r="A195" s="197" t="s">
        <v>181</v>
      </c>
      <c r="B195" s="198">
        <v>5</v>
      </c>
      <c r="C195" s="199">
        <f>D24</f>
        <v>930000</v>
      </c>
      <c r="D195" s="199">
        <f>C195/B195</f>
        <v>186000</v>
      </c>
      <c r="E195" s="199">
        <f>C195/B195</f>
        <v>186000</v>
      </c>
      <c r="F195" s="199">
        <f>C195/B195</f>
        <v>186000</v>
      </c>
      <c r="G195" s="199">
        <f>C195/B195</f>
        <v>186000</v>
      </c>
      <c r="H195" s="199">
        <f>C195/B195</f>
        <v>186000</v>
      </c>
      <c r="I195" s="98"/>
      <c r="J195" s="98"/>
    </row>
    <row r="196" spans="1:10" ht="15.75" x14ac:dyDescent="0.25">
      <c r="A196" s="197" t="s">
        <v>182</v>
      </c>
      <c r="B196" s="197"/>
      <c r="C196" s="210"/>
      <c r="D196" s="211">
        <f>SUM(D195:D195)</f>
        <v>186000</v>
      </c>
      <c r="E196" s="211">
        <f>SUM(E195:E195)</f>
        <v>186000</v>
      </c>
      <c r="F196" s="211">
        <f>SUM(F195:F195)</f>
        <v>186000</v>
      </c>
      <c r="G196" s="211">
        <f>SUM(G195:G195)</f>
        <v>186000</v>
      </c>
      <c r="H196" s="211">
        <f>SUM(H195:H195)</f>
        <v>186000</v>
      </c>
      <c r="I196" s="98"/>
      <c r="J196" s="98"/>
    </row>
    <row r="197" spans="1:10" ht="15.75" x14ac:dyDescent="0.25">
      <c r="A197" s="212" t="s">
        <v>183</v>
      </c>
      <c r="B197" s="213"/>
      <c r="C197" s="214">
        <f>C195+C190</f>
        <v>10680000</v>
      </c>
      <c r="D197" s="214">
        <f>D196+D191</f>
        <v>2136000</v>
      </c>
      <c r="E197" s="214">
        <f>E196+E191</f>
        <v>2136000</v>
      </c>
      <c r="F197" s="214">
        <f>F196+F191</f>
        <v>2136000</v>
      </c>
      <c r="G197" s="214">
        <f>G196+G191</f>
        <v>2136000</v>
      </c>
      <c r="H197" s="214">
        <f>H196+H191</f>
        <v>2136000</v>
      </c>
      <c r="I197" s="98"/>
      <c r="J197" s="98"/>
    </row>
    <row r="198" spans="1:10" ht="15.75" x14ac:dyDescent="0.25">
      <c r="A198" s="98"/>
      <c r="B198" s="98"/>
      <c r="C198" s="98"/>
      <c r="D198" s="98"/>
      <c r="E198" s="98"/>
      <c r="F198" s="98"/>
      <c r="G198" s="98"/>
      <c r="H198" s="98"/>
      <c r="I198" s="98"/>
      <c r="J198" s="98"/>
    </row>
    <row r="199" spans="1:10" ht="15.75" x14ac:dyDescent="0.25">
      <c r="A199" s="98"/>
      <c r="B199" s="98"/>
      <c r="C199" s="98"/>
      <c r="D199" s="98"/>
      <c r="E199" s="98"/>
      <c r="F199" s="203"/>
      <c r="G199" s="98"/>
      <c r="H199" s="98"/>
      <c r="I199" s="98"/>
      <c r="J199" s="98"/>
    </row>
    <row r="200" spans="1:10" ht="15.75" x14ac:dyDescent="0.25">
      <c r="A200" s="215" t="s">
        <v>375</v>
      </c>
      <c r="B200" s="215"/>
      <c r="C200" s="215"/>
      <c r="D200" s="215"/>
      <c r="E200" s="215"/>
      <c r="F200" s="203"/>
      <c r="G200" s="98"/>
      <c r="H200" s="98"/>
      <c r="I200" s="98"/>
      <c r="J200" s="98"/>
    </row>
    <row r="201" spans="1:10" ht="31.5" x14ac:dyDescent="0.25">
      <c r="A201" s="216" t="s">
        <v>76</v>
      </c>
      <c r="B201" s="217" t="s">
        <v>44</v>
      </c>
      <c r="C201" s="216" t="s">
        <v>77</v>
      </c>
      <c r="D201" s="218" t="s">
        <v>78</v>
      </c>
      <c r="E201" s="219" t="s">
        <v>79</v>
      </c>
      <c r="F201" s="34"/>
      <c r="G201" s="203"/>
      <c r="H201" s="203"/>
      <c r="I201" s="203"/>
      <c r="J201" s="98"/>
    </row>
    <row r="202" spans="1:10" ht="12" customHeight="1" x14ac:dyDescent="0.25">
      <c r="A202" s="220"/>
      <c r="B202" s="220"/>
      <c r="C202" s="220"/>
      <c r="D202" s="158"/>
      <c r="E202" s="161"/>
      <c r="F202" s="34"/>
      <c r="G202" s="203"/>
      <c r="H202" s="203"/>
      <c r="I202" s="98"/>
      <c r="J202" s="98"/>
    </row>
    <row r="203" spans="1:10" ht="15.75" x14ac:dyDescent="0.25">
      <c r="A203" s="35" t="s">
        <v>80</v>
      </c>
      <c r="B203" s="36" t="s">
        <v>538</v>
      </c>
      <c r="C203" s="36">
        <v>1</v>
      </c>
      <c r="D203" s="37">
        <v>750000</v>
      </c>
      <c r="E203" s="37">
        <f>C203*D203</f>
        <v>750000</v>
      </c>
      <c r="F203" s="221"/>
      <c r="G203" s="203"/>
      <c r="H203" s="203"/>
      <c r="I203" s="98"/>
      <c r="J203" s="98"/>
    </row>
    <row r="204" spans="1:10" ht="15.75" x14ac:dyDescent="0.25">
      <c r="A204" s="38" t="s">
        <v>537</v>
      </c>
      <c r="B204" s="39" t="s">
        <v>538</v>
      </c>
      <c r="C204" s="39">
        <v>1</v>
      </c>
      <c r="D204" s="37">
        <v>200000</v>
      </c>
      <c r="E204" s="37">
        <f>C204*D204</f>
        <v>200000</v>
      </c>
      <c r="F204" s="221"/>
      <c r="G204" s="203"/>
      <c r="H204" s="203"/>
      <c r="I204" s="98"/>
      <c r="J204" s="98"/>
    </row>
    <row r="205" spans="1:10" ht="15.75" x14ac:dyDescent="0.25">
      <c r="A205" s="38" t="s">
        <v>81</v>
      </c>
      <c r="B205" s="39" t="s">
        <v>82</v>
      </c>
      <c r="C205" s="39">
        <v>12</v>
      </c>
      <c r="D205" s="40">
        <v>3200000</v>
      </c>
      <c r="E205" s="40">
        <f>C205*D205</f>
        <v>38400000</v>
      </c>
      <c r="F205" s="221"/>
      <c r="G205" s="203"/>
      <c r="H205" s="222"/>
      <c r="I205" s="98"/>
      <c r="J205" s="98"/>
    </row>
    <row r="206" spans="1:10" ht="24" customHeight="1" x14ac:dyDescent="0.25">
      <c r="A206" s="33" t="s">
        <v>42</v>
      </c>
      <c r="B206" s="33"/>
      <c r="C206" s="33"/>
      <c r="D206" s="33"/>
      <c r="E206" s="41">
        <f>SUM(E203:E205)</f>
        <v>39350000</v>
      </c>
      <c r="F206" s="221"/>
      <c r="G206" s="203"/>
      <c r="H206" s="223"/>
      <c r="I206" s="98"/>
      <c r="J206" s="98"/>
    </row>
    <row r="207" spans="1:10" ht="15.75" x14ac:dyDescent="0.25">
      <c r="A207" s="224"/>
      <c r="B207" s="221"/>
      <c r="C207" s="221"/>
      <c r="D207" s="221"/>
      <c r="E207" s="221"/>
      <c r="F207" s="221"/>
      <c r="G207" s="203"/>
      <c r="H207" s="225"/>
      <c r="I207" s="98"/>
      <c r="J207" s="98"/>
    </row>
    <row r="208" spans="1:10" ht="10.5" customHeight="1" x14ac:dyDescent="0.25">
      <c r="A208" s="226"/>
      <c r="B208" s="98"/>
      <c r="C208" s="98"/>
      <c r="D208" s="98"/>
      <c r="E208" s="98"/>
      <c r="F208" s="227"/>
      <c r="G208" s="223"/>
      <c r="H208" s="223"/>
      <c r="I208" s="98"/>
      <c r="J208" s="98"/>
    </row>
    <row r="209" spans="1:10" ht="21" customHeight="1" x14ac:dyDescent="0.25">
      <c r="A209" s="33" t="s">
        <v>376</v>
      </c>
      <c r="B209" s="33"/>
      <c r="C209" s="33"/>
      <c r="D209" s="98"/>
      <c r="E209" s="98"/>
      <c r="F209" s="223"/>
      <c r="G209" s="223"/>
      <c r="H209" s="223"/>
      <c r="I209" s="98"/>
      <c r="J209" s="98"/>
    </row>
    <row r="210" spans="1:10" ht="31.5" x14ac:dyDescent="0.25">
      <c r="A210" s="42" t="s">
        <v>84</v>
      </c>
      <c r="B210" s="42" t="s">
        <v>85</v>
      </c>
      <c r="C210" s="43" t="s">
        <v>86</v>
      </c>
      <c r="D210" s="228"/>
      <c r="E210" s="227"/>
      <c r="F210" s="223"/>
      <c r="G210" s="223"/>
      <c r="H210" s="223"/>
      <c r="I210" s="98"/>
      <c r="J210" s="98"/>
    </row>
    <row r="211" spans="1:10" ht="15.75" x14ac:dyDescent="0.25">
      <c r="A211" s="229" t="s">
        <v>156</v>
      </c>
      <c r="B211" s="230"/>
      <c r="C211" s="231"/>
      <c r="D211" s="232"/>
      <c r="E211" s="223"/>
      <c r="F211" s="223"/>
      <c r="G211" s="223"/>
      <c r="H211" s="223"/>
      <c r="I211" s="98"/>
      <c r="J211" s="98"/>
    </row>
    <row r="212" spans="1:10" ht="15.75" x14ac:dyDescent="0.25">
      <c r="A212" s="233" t="s">
        <v>87</v>
      </c>
      <c r="B212" s="234"/>
      <c r="C212" s="235">
        <f>E83</f>
        <v>100979434.70999999</v>
      </c>
      <c r="D212" s="232"/>
      <c r="E212" s="223"/>
      <c r="F212" s="98"/>
      <c r="G212" s="98"/>
      <c r="H212" s="98"/>
      <c r="I212" s="98"/>
      <c r="J212" s="98"/>
    </row>
    <row r="213" spans="1:10" ht="15.75" x14ac:dyDescent="0.25">
      <c r="A213" s="233" t="s">
        <v>88</v>
      </c>
      <c r="B213" s="236" t="s">
        <v>96</v>
      </c>
      <c r="C213" s="237"/>
      <c r="D213" s="98"/>
      <c r="E213" s="98"/>
      <c r="F213" s="98"/>
      <c r="G213" s="98"/>
      <c r="H213" s="98"/>
      <c r="I213" s="98"/>
      <c r="J213" s="98"/>
    </row>
    <row r="214" spans="1:10" ht="15.75" x14ac:dyDescent="0.25">
      <c r="A214" s="233" t="s">
        <v>89</v>
      </c>
      <c r="B214" s="237"/>
      <c r="C214" s="238">
        <f>E115</f>
        <v>1242216000</v>
      </c>
      <c r="D214" s="98"/>
      <c r="E214" s="98"/>
      <c r="F214" s="98"/>
      <c r="G214" s="98"/>
      <c r="H214" s="98"/>
      <c r="I214" s="98"/>
      <c r="J214" s="98"/>
    </row>
    <row r="215" spans="1:10" ht="15.75" x14ac:dyDescent="0.25">
      <c r="A215" s="233" t="s">
        <v>90</v>
      </c>
      <c r="B215" s="237"/>
      <c r="C215" s="238">
        <f>E121</f>
        <v>0</v>
      </c>
      <c r="D215" s="98"/>
      <c r="E215" s="98"/>
      <c r="F215" s="98"/>
      <c r="G215" s="98"/>
      <c r="H215" s="98"/>
      <c r="I215" s="98"/>
      <c r="J215" s="98"/>
    </row>
    <row r="216" spans="1:10" ht="15.75" x14ac:dyDescent="0.25">
      <c r="A216" s="233" t="s">
        <v>157</v>
      </c>
      <c r="B216" s="238">
        <f>D149</f>
        <v>732001</v>
      </c>
      <c r="C216" s="237"/>
      <c r="D216" s="98"/>
      <c r="E216" s="98"/>
      <c r="F216" s="98"/>
      <c r="G216" s="98"/>
      <c r="H216" s="98"/>
      <c r="I216" s="98"/>
      <c r="J216" s="98"/>
    </row>
    <row r="217" spans="1:10" ht="15.75" x14ac:dyDescent="0.25">
      <c r="A217" s="233" t="s">
        <v>91</v>
      </c>
      <c r="B217" s="237"/>
      <c r="C217" s="238">
        <f>E135</f>
        <v>54060000</v>
      </c>
      <c r="D217" s="98"/>
      <c r="E217" s="98"/>
      <c r="F217" s="98"/>
      <c r="G217" s="98"/>
      <c r="H217" s="98"/>
      <c r="I217" s="98"/>
      <c r="J217" s="98"/>
    </row>
    <row r="218" spans="1:10" ht="16.5" thickBot="1" x14ac:dyDescent="0.3">
      <c r="A218" s="233" t="s">
        <v>158</v>
      </c>
      <c r="B218" s="239" t="s">
        <v>95</v>
      </c>
      <c r="C218" s="239" t="s">
        <v>99</v>
      </c>
      <c r="D218" s="98"/>
      <c r="E218" s="98"/>
      <c r="F218" s="98"/>
      <c r="G218" s="98"/>
      <c r="H218" s="98"/>
      <c r="I218" s="98"/>
      <c r="J218" s="98"/>
    </row>
    <row r="219" spans="1:10" ht="16.5" thickTop="1" x14ac:dyDescent="0.25">
      <c r="A219" s="44" t="s">
        <v>92</v>
      </c>
      <c r="B219" s="238">
        <f>SUM(B216:B218)</f>
        <v>732001</v>
      </c>
      <c r="C219" s="238">
        <f>SUM(C212:C218)</f>
        <v>1397255434.71</v>
      </c>
      <c r="D219" s="98"/>
      <c r="E219" s="98"/>
      <c r="F219" s="98"/>
      <c r="G219" s="98"/>
      <c r="H219" s="98"/>
      <c r="I219" s="98"/>
      <c r="J219" s="98"/>
    </row>
    <row r="220" spans="1:10" ht="15.75" x14ac:dyDescent="0.25">
      <c r="A220" s="233"/>
      <c r="B220" s="238"/>
      <c r="C220" s="238"/>
      <c r="D220" s="98"/>
      <c r="E220" s="98"/>
      <c r="F220" s="98"/>
      <c r="G220" s="98"/>
      <c r="H220" s="98"/>
      <c r="I220" s="98"/>
      <c r="J220" s="98"/>
    </row>
    <row r="221" spans="1:10" ht="15.75" x14ac:dyDescent="0.25">
      <c r="A221" s="44" t="s">
        <v>159</v>
      </c>
      <c r="B221" s="237"/>
      <c r="C221" s="237"/>
      <c r="D221" s="98"/>
      <c r="E221" s="98"/>
      <c r="F221" s="98"/>
      <c r="G221" s="98"/>
      <c r="H221" s="98"/>
      <c r="I221" s="98"/>
      <c r="J221" s="98"/>
    </row>
    <row r="222" spans="1:10" ht="15.75" x14ac:dyDescent="0.25">
      <c r="A222" s="233" t="s">
        <v>93</v>
      </c>
      <c r="B222" s="238">
        <f>E174</f>
        <v>82374133.530000001</v>
      </c>
      <c r="C222" s="237"/>
      <c r="D222" s="98"/>
      <c r="E222" s="98"/>
      <c r="F222" s="98"/>
      <c r="G222" s="98"/>
      <c r="H222" s="98"/>
      <c r="I222" s="98"/>
      <c r="J222" s="98"/>
    </row>
    <row r="223" spans="1:10" ht="15.75" x14ac:dyDescent="0.25">
      <c r="A223" s="233" t="s">
        <v>94</v>
      </c>
      <c r="B223" s="238">
        <f>E184</f>
        <v>2405000</v>
      </c>
      <c r="C223" s="237"/>
      <c r="D223" s="98"/>
      <c r="E223" s="98"/>
      <c r="F223" s="98"/>
      <c r="G223" s="98"/>
      <c r="H223" s="98"/>
      <c r="I223" s="98"/>
      <c r="J223" s="98"/>
    </row>
    <row r="224" spans="1:10" ht="15.75" x14ac:dyDescent="0.25">
      <c r="A224" s="233" t="s">
        <v>160</v>
      </c>
      <c r="B224" s="238">
        <f>D197</f>
        <v>2136000</v>
      </c>
      <c r="C224" s="237"/>
      <c r="D224" s="240"/>
      <c r="E224" s="98"/>
      <c r="F224" s="98"/>
      <c r="G224" s="98"/>
      <c r="H224" s="98"/>
      <c r="I224" s="98"/>
      <c r="J224" s="98"/>
    </row>
    <row r="225" spans="1:10" ht="16.5" thickBot="1" x14ac:dyDescent="0.3">
      <c r="A225" s="233" t="s">
        <v>161</v>
      </c>
      <c r="B225" s="241">
        <f>D164</f>
        <v>378000</v>
      </c>
      <c r="C225" s="237"/>
      <c r="D225" s="98"/>
      <c r="E225" s="98"/>
      <c r="F225" s="98"/>
      <c r="G225" s="98"/>
      <c r="H225" s="98"/>
      <c r="I225" s="98"/>
      <c r="J225" s="98"/>
    </row>
    <row r="226" spans="1:10" ht="14.25" customHeight="1" thickTop="1" x14ac:dyDescent="0.25">
      <c r="A226" s="44" t="s">
        <v>92</v>
      </c>
      <c r="B226" s="238">
        <f>SUM(B222:B225)</f>
        <v>87293133.530000001</v>
      </c>
      <c r="C226" s="237"/>
      <c r="D226" s="98"/>
      <c r="E226" s="98"/>
      <c r="F226" s="98"/>
      <c r="G226" s="98"/>
      <c r="H226" s="98"/>
      <c r="I226" s="98"/>
      <c r="J226" s="98"/>
    </row>
    <row r="227" spans="1:10" ht="14.25" customHeight="1" x14ac:dyDescent="0.25">
      <c r="A227" s="233"/>
      <c r="B227" s="238"/>
      <c r="C227" s="237"/>
      <c r="D227" s="98"/>
      <c r="E227" s="98"/>
      <c r="F227" s="98"/>
      <c r="G227" s="98"/>
      <c r="H227" s="98"/>
      <c r="I227" s="98"/>
      <c r="J227" s="98"/>
    </row>
    <row r="228" spans="1:10" ht="15.75" x14ac:dyDescent="0.25">
      <c r="A228" s="233" t="s">
        <v>83</v>
      </c>
      <c r="B228" s="237"/>
      <c r="C228" s="237"/>
      <c r="D228" s="98"/>
      <c r="E228" s="98"/>
      <c r="F228" s="98"/>
      <c r="G228" s="98"/>
      <c r="H228" s="98"/>
      <c r="I228" s="98"/>
      <c r="J228" s="98"/>
    </row>
    <row r="229" spans="1:10" ht="15.75" x14ac:dyDescent="0.25">
      <c r="A229" s="242" t="s">
        <v>162</v>
      </c>
      <c r="B229" s="238">
        <f>E206</f>
        <v>39350000</v>
      </c>
      <c r="C229" s="237"/>
      <c r="D229" s="98"/>
      <c r="E229" s="98"/>
      <c r="F229" s="98"/>
      <c r="G229" s="98"/>
      <c r="H229" s="98"/>
      <c r="I229" s="98"/>
      <c r="J229" s="98"/>
    </row>
    <row r="230" spans="1:10" ht="15.75" x14ac:dyDescent="0.25">
      <c r="A230" s="233" t="s">
        <v>93</v>
      </c>
      <c r="B230" s="237" t="s">
        <v>95</v>
      </c>
      <c r="C230" s="237"/>
      <c r="D230" s="98"/>
      <c r="E230" s="98"/>
      <c r="F230" s="98"/>
      <c r="G230" s="98"/>
      <c r="H230" s="98"/>
      <c r="I230" s="98"/>
      <c r="J230" s="98"/>
    </row>
    <row r="231" spans="1:10" ht="15.75" x14ac:dyDescent="0.25">
      <c r="A231" s="233" t="s">
        <v>161</v>
      </c>
      <c r="B231" s="243" t="s">
        <v>95</v>
      </c>
      <c r="C231" s="237"/>
      <c r="D231" s="98"/>
      <c r="E231" s="98"/>
      <c r="F231" s="98"/>
      <c r="G231" s="98"/>
      <c r="H231" s="98"/>
      <c r="I231" s="98"/>
      <c r="J231" s="98"/>
    </row>
    <row r="232" spans="1:10" ht="16.5" thickBot="1" x14ac:dyDescent="0.3">
      <c r="A232" s="44" t="s">
        <v>92</v>
      </c>
      <c r="B232" s="241">
        <f>SUM(B229:B231)</f>
        <v>39350000</v>
      </c>
      <c r="C232" s="237"/>
      <c r="D232" s="203"/>
      <c r="E232" s="98"/>
      <c r="F232" s="98"/>
      <c r="G232" s="98"/>
      <c r="H232" s="98"/>
      <c r="I232" s="98"/>
      <c r="J232" s="98"/>
    </row>
    <row r="233" spans="1:10" ht="17.25" thickTop="1" thickBot="1" x14ac:dyDescent="0.3">
      <c r="A233" s="233"/>
      <c r="B233" s="239"/>
      <c r="C233" s="239"/>
      <c r="D233" s="98"/>
      <c r="E233" s="98"/>
      <c r="F233" s="98"/>
      <c r="G233" s="98"/>
      <c r="H233" s="98"/>
      <c r="I233" s="98"/>
      <c r="J233" s="98"/>
    </row>
    <row r="234" spans="1:10" ht="16.5" thickTop="1" x14ac:dyDescent="0.25">
      <c r="A234" s="44" t="s">
        <v>97</v>
      </c>
      <c r="B234" s="238">
        <f>B226+B232+B219</f>
        <v>127375134.53</v>
      </c>
      <c r="C234" s="238">
        <f>SUM(C219:C233)</f>
        <v>1397255434.71</v>
      </c>
      <c r="D234" s="98"/>
      <c r="E234" s="98"/>
      <c r="F234" s="98"/>
      <c r="G234" s="98"/>
      <c r="H234" s="98"/>
      <c r="I234" s="98"/>
      <c r="J234" s="98"/>
    </row>
    <row r="235" spans="1:10" ht="15.75" x14ac:dyDescent="0.25">
      <c r="A235" s="44" t="s">
        <v>98</v>
      </c>
      <c r="B235" s="237"/>
      <c r="C235" s="238">
        <f>C234+B234</f>
        <v>1524630569.24</v>
      </c>
      <c r="D235" s="240"/>
      <c r="E235" s="98"/>
      <c r="F235" s="98"/>
      <c r="G235" s="98"/>
      <c r="H235" s="98"/>
      <c r="I235" s="98"/>
      <c r="J235" s="98"/>
    </row>
    <row r="236" spans="1:10" ht="15.75" x14ac:dyDescent="0.25">
      <c r="A236" s="244"/>
      <c r="B236" s="77"/>
      <c r="C236" s="77"/>
      <c r="D236" s="98"/>
      <c r="E236" s="98"/>
      <c r="F236" s="98"/>
      <c r="G236" s="98"/>
      <c r="H236" s="98"/>
      <c r="I236" s="98"/>
      <c r="J236" s="98"/>
    </row>
    <row r="237" spans="1:10" ht="15.75" x14ac:dyDescent="0.25">
      <c r="A237" s="203"/>
      <c r="B237" s="203"/>
      <c r="C237" s="203"/>
      <c r="D237" s="98"/>
      <c r="E237" s="98"/>
      <c r="F237" s="98"/>
      <c r="G237" s="98"/>
      <c r="H237" s="98"/>
      <c r="I237" s="98"/>
      <c r="J237" s="98"/>
    </row>
    <row r="238" spans="1:10" ht="15.75" x14ac:dyDescent="0.25">
      <c r="A238" s="245" t="str">
        <f>A11</f>
        <v>PRECIO DE VENTA</v>
      </c>
      <c r="B238" s="246">
        <f>B11</f>
        <v>90000</v>
      </c>
      <c r="C238" s="203"/>
      <c r="D238" s="247" t="s">
        <v>486</v>
      </c>
      <c r="E238" s="98"/>
      <c r="F238" s="98"/>
      <c r="G238" s="98"/>
      <c r="H238" s="98"/>
      <c r="I238" s="98"/>
      <c r="J238" s="98"/>
    </row>
    <row r="239" spans="1:10" ht="15.75" x14ac:dyDescent="0.25">
      <c r="A239" s="245" t="s">
        <v>297</v>
      </c>
      <c r="B239" s="248">
        <f>B10</f>
        <v>38400</v>
      </c>
      <c r="C239" s="203"/>
      <c r="D239" s="98"/>
      <c r="E239" s="98"/>
      <c r="F239" s="98"/>
      <c r="G239" s="98"/>
      <c r="H239" s="98"/>
      <c r="I239" s="98"/>
      <c r="J239" s="98"/>
    </row>
    <row r="240" spans="1:10" ht="15.75" x14ac:dyDescent="0.25">
      <c r="A240" s="245" t="s">
        <v>298</v>
      </c>
      <c r="B240" s="248">
        <f>B234</f>
        <v>127375134.53</v>
      </c>
      <c r="C240" s="203"/>
      <c r="D240" s="98" t="s">
        <v>485</v>
      </c>
      <c r="E240" s="98"/>
      <c r="F240" s="98"/>
      <c r="G240" s="98"/>
      <c r="H240" s="98"/>
      <c r="I240" s="98"/>
      <c r="J240" s="98"/>
    </row>
    <row r="241" spans="1:10" ht="15.75" x14ac:dyDescent="0.25">
      <c r="A241" s="245" t="s">
        <v>300</v>
      </c>
      <c r="B241" s="248">
        <f>C234</f>
        <v>1397255434.71</v>
      </c>
      <c r="C241" s="203"/>
      <c r="D241" s="98" t="s">
        <v>484</v>
      </c>
      <c r="E241" s="98"/>
      <c r="F241" s="98"/>
      <c r="G241" s="98"/>
      <c r="H241" s="98"/>
      <c r="I241" s="98"/>
      <c r="J241" s="98"/>
    </row>
    <row r="242" spans="1:10" ht="15.75" x14ac:dyDescent="0.25">
      <c r="A242" s="245" t="s">
        <v>299</v>
      </c>
      <c r="B242" s="249">
        <f>C234/B239</f>
        <v>36386.86027890625</v>
      </c>
      <c r="C242" s="203"/>
      <c r="D242" s="98" t="s">
        <v>483</v>
      </c>
      <c r="E242" s="98"/>
      <c r="F242" s="98"/>
      <c r="G242" s="98"/>
      <c r="H242" s="98"/>
      <c r="I242" s="98"/>
      <c r="J242" s="98"/>
    </row>
    <row r="243" spans="1:10" ht="15.75" x14ac:dyDescent="0.25">
      <c r="A243" s="245" t="s">
        <v>301</v>
      </c>
      <c r="B243" s="250">
        <f>B240/(B238-B242)</f>
        <v>2375.8193456423346</v>
      </c>
      <c r="C243" s="203"/>
      <c r="D243" s="98"/>
      <c r="E243" s="98"/>
      <c r="F243" s="98"/>
      <c r="G243" s="98"/>
      <c r="H243" s="98"/>
      <c r="I243" s="98"/>
      <c r="J243" s="98"/>
    </row>
    <row r="244" spans="1:10" ht="15.75" x14ac:dyDescent="0.25">
      <c r="A244" s="98"/>
      <c r="B244" s="98"/>
      <c r="C244" s="98"/>
      <c r="D244" s="98"/>
      <c r="E244" s="98"/>
      <c r="F244" s="98"/>
      <c r="G244" s="98"/>
      <c r="H244" s="98"/>
      <c r="I244" s="98"/>
      <c r="J244" s="98"/>
    </row>
    <row r="245" spans="1:10" ht="15.75" x14ac:dyDescent="0.25">
      <c r="A245" s="33" t="s">
        <v>140</v>
      </c>
      <c r="B245" s="33"/>
      <c r="C245" s="33"/>
      <c r="D245" s="33"/>
      <c r="E245" s="33"/>
      <c r="F245" s="98"/>
      <c r="G245" s="98"/>
      <c r="H245" s="98"/>
      <c r="I245" s="98"/>
      <c r="J245" s="98"/>
    </row>
    <row r="246" spans="1:10" ht="20.25" customHeight="1" x14ac:dyDescent="0.25">
      <c r="A246" s="251" t="s">
        <v>100</v>
      </c>
      <c r="B246" s="251" t="s">
        <v>101</v>
      </c>
      <c r="C246" s="251" t="s">
        <v>86</v>
      </c>
      <c r="D246" s="251" t="s">
        <v>2</v>
      </c>
      <c r="E246" s="251" t="s">
        <v>102</v>
      </c>
      <c r="F246" s="98"/>
      <c r="G246" s="98"/>
      <c r="H246" s="98"/>
      <c r="I246" s="98"/>
      <c r="J246" s="98"/>
    </row>
    <row r="247" spans="1:10" ht="15.75" x14ac:dyDescent="0.25">
      <c r="A247" s="252">
        <v>0</v>
      </c>
      <c r="B247" s="253">
        <f t="shared" ref="B247:B254" si="24">$B$234</f>
        <v>127375134.53</v>
      </c>
      <c r="C247" s="254">
        <f>B242*A247</f>
        <v>0</v>
      </c>
      <c r="D247" s="253">
        <f t="shared" ref="D247:D254" si="25">B247+C247</f>
        <v>127375134.53</v>
      </c>
      <c r="E247" s="255">
        <f t="shared" ref="E247:E254" si="26">$B$238*A247</f>
        <v>0</v>
      </c>
      <c r="F247" s="98"/>
      <c r="G247" s="98"/>
      <c r="H247" s="98"/>
      <c r="I247" s="98"/>
      <c r="J247" s="98"/>
    </row>
    <row r="248" spans="1:10" ht="15.75" x14ac:dyDescent="0.25">
      <c r="A248" s="256">
        <f>B243/4</f>
        <v>593.95483641058365</v>
      </c>
      <c r="B248" s="257">
        <f t="shared" si="24"/>
        <v>127375134.53</v>
      </c>
      <c r="C248" s="257">
        <f t="shared" ref="C248:C254" si="27">$B$242*A248</f>
        <v>21612151.644452527</v>
      </c>
      <c r="D248" s="257">
        <f t="shared" si="25"/>
        <v>148987286.17445254</v>
      </c>
      <c r="E248" s="257">
        <f t="shared" si="26"/>
        <v>53455935.276952527</v>
      </c>
      <c r="F248" s="98"/>
      <c r="G248" s="98"/>
      <c r="H248" s="98"/>
      <c r="I248" s="98"/>
      <c r="J248" s="98"/>
    </row>
    <row r="249" spans="1:10" ht="15.75" x14ac:dyDescent="0.25">
      <c r="A249" s="258">
        <f>A248*2</f>
        <v>1187.9096728211673</v>
      </c>
      <c r="B249" s="259">
        <f t="shared" si="24"/>
        <v>127375134.53</v>
      </c>
      <c r="C249" s="259">
        <f t="shared" si="27"/>
        <v>43224303.288905054</v>
      </c>
      <c r="D249" s="259">
        <f t="shared" si="25"/>
        <v>170599437.81890506</v>
      </c>
      <c r="E249" s="259">
        <f t="shared" si="26"/>
        <v>106911870.55390505</v>
      </c>
      <c r="F249" s="98"/>
      <c r="G249" s="98"/>
      <c r="H249" s="98"/>
      <c r="I249" s="98"/>
      <c r="J249" s="98"/>
    </row>
    <row r="250" spans="1:10" ht="15.75" x14ac:dyDescent="0.25">
      <c r="A250" s="258">
        <f>A248*3</f>
        <v>1781.8645092317511</v>
      </c>
      <c r="B250" s="259">
        <f t="shared" si="24"/>
        <v>127375134.53</v>
      </c>
      <c r="C250" s="259">
        <f t="shared" si="27"/>
        <v>64836454.933357581</v>
      </c>
      <c r="D250" s="259">
        <f t="shared" si="25"/>
        <v>192211589.46335757</v>
      </c>
      <c r="E250" s="259">
        <f t="shared" si="26"/>
        <v>160367805.8308576</v>
      </c>
      <c r="F250" s="98"/>
      <c r="G250" s="98"/>
      <c r="H250" s="98"/>
      <c r="I250" s="98"/>
      <c r="J250" s="98"/>
    </row>
    <row r="251" spans="1:10" ht="15.75" x14ac:dyDescent="0.25">
      <c r="A251" s="260">
        <f>B243</f>
        <v>2375.8193456423346</v>
      </c>
      <c r="B251" s="261">
        <f t="shared" si="24"/>
        <v>127375134.53</v>
      </c>
      <c r="C251" s="261">
        <f t="shared" si="27"/>
        <v>86448606.577810109</v>
      </c>
      <c r="D251" s="261">
        <f t="shared" si="25"/>
        <v>213823741.10781011</v>
      </c>
      <c r="E251" s="261">
        <f t="shared" si="26"/>
        <v>213823741.10781011</v>
      </c>
      <c r="F251" s="262" t="s">
        <v>482</v>
      </c>
      <c r="G251" s="263"/>
      <c r="H251" s="98"/>
      <c r="I251" s="98"/>
      <c r="J251" s="98"/>
    </row>
    <row r="252" spans="1:10" ht="15.75" x14ac:dyDescent="0.25">
      <c r="A252" s="258">
        <f>A251+A248</f>
        <v>2969.7741820529181</v>
      </c>
      <c r="B252" s="259">
        <f t="shared" si="24"/>
        <v>127375134.53</v>
      </c>
      <c r="C252" s="259">
        <f t="shared" si="27"/>
        <v>108060758.22226262</v>
      </c>
      <c r="D252" s="259">
        <f t="shared" si="25"/>
        <v>235435892.75226262</v>
      </c>
      <c r="E252" s="259">
        <f t="shared" si="26"/>
        <v>267279676.38476264</v>
      </c>
      <c r="F252" s="98"/>
      <c r="G252" s="98"/>
      <c r="H252" s="98"/>
      <c r="I252" s="98"/>
      <c r="J252" s="98"/>
    </row>
    <row r="253" spans="1:10" ht="15.75" x14ac:dyDescent="0.25">
      <c r="A253" s="264">
        <f>A251+A249</f>
        <v>3563.7290184635021</v>
      </c>
      <c r="B253" s="265">
        <f t="shared" si="24"/>
        <v>127375134.53</v>
      </c>
      <c r="C253" s="265">
        <f t="shared" si="27"/>
        <v>129672909.86671516</v>
      </c>
      <c r="D253" s="265">
        <f t="shared" si="25"/>
        <v>257048044.39671516</v>
      </c>
      <c r="E253" s="265">
        <f t="shared" si="26"/>
        <v>320735611.66171521</v>
      </c>
      <c r="F253" s="98"/>
      <c r="G253" s="98"/>
      <c r="H253" s="98"/>
      <c r="I253" s="98"/>
      <c r="J253" s="98"/>
    </row>
    <row r="254" spans="1:10" ht="15.75" x14ac:dyDescent="0.25">
      <c r="A254" s="266">
        <f>A251+A250</f>
        <v>4157.6838548740852</v>
      </c>
      <c r="B254" s="267">
        <f t="shared" si="24"/>
        <v>127375134.53</v>
      </c>
      <c r="C254" s="267">
        <f t="shared" si="27"/>
        <v>151285061.51116768</v>
      </c>
      <c r="D254" s="267">
        <f t="shared" si="25"/>
        <v>278660196.04116768</v>
      </c>
      <c r="E254" s="267">
        <f t="shared" si="26"/>
        <v>374191546.93866765</v>
      </c>
      <c r="F254" s="98"/>
      <c r="G254" s="98"/>
      <c r="H254" s="98"/>
      <c r="I254" s="98"/>
      <c r="J254" s="98"/>
    </row>
    <row r="255" spans="1:10" ht="15.75" x14ac:dyDescent="0.25">
      <c r="A255" s="203"/>
      <c r="B255" s="80"/>
      <c r="C255" s="80"/>
      <c r="D255" s="80"/>
      <c r="E255" s="80"/>
      <c r="F255" s="98"/>
      <c r="G255" s="98"/>
      <c r="H255" s="98"/>
      <c r="I255" s="98"/>
      <c r="J255" s="98"/>
    </row>
    <row r="256" spans="1:10" ht="15.75" x14ac:dyDescent="0.25">
      <c r="A256" s="203"/>
      <c r="B256" s="80"/>
      <c r="C256" s="80"/>
      <c r="D256" s="80"/>
      <c r="E256" s="80"/>
      <c r="F256" s="98"/>
      <c r="G256" s="98"/>
      <c r="H256" s="98"/>
      <c r="I256" s="98"/>
      <c r="J256" s="98"/>
    </row>
    <row r="257" spans="1:10" ht="15.75" x14ac:dyDescent="0.25">
      <c r="A257" s="203"/>
      <c r="B257" s="80"/>
      <c r="C257" s="80"/>
      <c r="D257" s="80"/>
      <c r="E257" s="80"/>
      <c r="F257" s="98"/>
      <c r="G257" s="98"/>
      <c r="H257" s="98"/>
      <c r="I257" s="98"/>
      <c r="J257" s="98"/>
    </row>
    <row r="258" spans="1:10" ht="15.75" x14ac:dyDescent="0.25">
      <c r="A258" s="91" t="s">
        <v>481</v>
      </c>
      <c r="B258" s="91"/>
      <c r="C258" s="91"/>
      <c r="D258" s="91"/>
      <c r="E258" s="91"/>
      <c r="F258" s="98"/>
      <c r="G258" s="98"/>
      <c r="H258" s="98"/>
      <c r="I258" s="98"/>
      <c r="J258" s="98"/>
    </row>
    <row r="259" spans="1:10" s="7" customFormat="1" ht="15.75" x14ac:dyDescent="0.25">
      <c r="A259" s="268" t="s">
        <v>480</v>
      </c>
      <c r="B259" s="269"/>
      <c r="C259" s="269"/>
      <c r="D259" s="269"/>
      <c r="E259" s="269"/>
      <c r="F259" s="270"/>
      <c r="G259" s="270"/>
      <c r="H259" s="270"/>
      <c r="I259" s="270"/>
      <c r="J259" s="270"/>
    </row>
    <row r="260" spans="1:10" s="7" customFormat="1" ht="15.75" x14ac:dyDescent="0.25">
      <c r="A260" s="271" t="s">
        <v>479</v>
      </c>
      <c r="B260" s="269"/>
      <c r="C260" s="269"/>
      <c r="D260" s="269"/>
      <c r="E260" s="269"/>
      <c r="F260" s="270"/>
      <c r="G260" s="270"/>
      <c r="H260" s="270"/>
      <c r="I260" s="270"/>
      <c r="J260" s="270"/>
    </row>
    <row r="261" spans="1:10" s="7" customFormat="1" ht="15.75" x14ac:dyDescent="0.25">
      <c r="A261" s="269"/>
      <c r="B261" s="269"/>
      <c r="C261" s="269"/>
      <c r="D261" s="269"/>
      <c r="E261" s="269"/>
      <c r="F261" s="270"/>
      <c r="G261" s="270"/>
      <c r="H261" s="270"/>
      <c r="I261" s="270"/>
      <c r="J261" s="270"/>
    </row>
    <row r="262" spans="1:10" ht="15.75" x14ac:dyDescent="0.25">
      <c r="A262" s="81" t="s">
        <v>141</v>
      </c>
      <c r="B262" s="81"/>
      <c r="C262" s="81"/>
      <c r="D262" s="81"/>
      <c r="E262" s="98"/>
      <c r="F262" s="98"/>
      <c r="G262" s="98"/>
      <c r="H262" s="98"/>
      <c r="I262" s="98"/>
      <c r="J262" s="98"/>
    </row>
    <row r="263" spans="1:10" ht="15.75" x14ac:dyDescent="0.25">
      <c r="A263" s="45" t="s">
        <v>103</v>
      </c>
      <c r="B263" s="46" t="s">
        <v>104</v>
      </c>
      <c r="C263" s="47" t="s">
        <v>105</v>
      </c>
      <c r="D263" s="47" t="s">
        <v>106</v>
      </c>
      <c r="E263" s="98"/>
      <c r="F263" s="98"/>
      <c r="G263" s="98"/>
      <c r="H263" s="98"/>
      <c r="I263" s="98"/>
      <c r="J263" s="98"/>
    </row>
    <row r="264" spans="1:10" ht="15.75" x14ac:dyDescent="0.25">
      <c r="A264" s="272" t="s">
        <v>107</v>
      </c>
      <c r="B264" s="273">
        <v>0.4</v>
      </c>
      <c r="C264" s="273">
        <v>0.35</v>
      </c>
      <c r="D264" s="273">
        <v>0.25</v>
      </c>
      <c r="E264" s="98"/>
      <c r="F264" s="98"/>
      <c r="G264" s="98"/>
      <c r="H264" s="98"/>
      <c r="I264" s="98"/>
      <c r="J264" s="98"/>
    </row>
    <row r="265" spans="1:10" ht="15.75" x14ac:dyDescent="0.25">
      <c r="A265" s="274" t="s">
        <v>108</v>
      </c>
      <c r="B265" s="55">
        <v>4000</v>
      </c>
      <c r="C265" s="55">
        <v>3000</v>
      </c>
      <c r="D265" s="55">
        <v>5000</v>
      </c>
      <c r="E265" s="135"/>
      <c r="F265" s="98"/>
      <c r="G265" s="98"/>
      <c r="H265" s="98"/>
      <c r="I265" s="98"/>
      <c r="J265" s="98"/>
    </row>
    <row r="266" spans="1:10" ht="15.75" x14ac:dyDescent="0.25">
      <c r="A266" s="274" t="s">
        <v>109</v>
      </c>
      <c r="B266" s="55">
        <v>1600</v>
      </c>
      <c r="C266" s="55">
        <v>1300</v>
      </c>
      <c r="D266" s="55">
        <v>3000</v>
      </c>
      <c r="E266" s="98"/>
      <c r="F266" s="98"/>
      <c r="G266" s="98"/>
      <c r="H266" s="98"/>
      <c r="I266" s="98"/>
      <c r="J266" s="98"/>
    </row>
    <row r="267" spans="1:10" ht="15.75" x14ac:dyDescent="0.25">
      <c r="A267" s="274" t="s">
        <v>110</v>
      </c>
      <c r="B267" s="55">
        <f>B265-B266</f>
        <v>2400</v>
      </c>
      <c r="C267" s="55">
        <f>C265-C266</f>
        <v>1700</v>
      </c>
      <c r="D267" s="55">
        <f>D265-D266</f>
        <v>2000</v>
      </c>
      <c r="E267" s="98"/>
      <c r="F267" s="98"/>
      <c r="G267" s="98"/>
      <c r="H267" s="98"/>
      <c r="I267" s="98"/>
      <c r="J267" s="98"/>
    </row>
    <row r="268" spans="1:10" ht="15.75" x14ac:dyDescent="0.25">
      <c r="A268" s="48" t="s">
        <v>111</v>
      </c>
      <c r="B268" s="275"/>
      <c r="C268" s="276"/>
      <c r="D268" s="78"/>
      <c r="E268" s="98"/>
      <c r="F268" s="98"/>
      <c r="G268" s="98"/>
      <c r="H268" s="98"/>
      <c r="I268" s="98"/>
      <c r="J268" s="98"/>
    </row>
    <row r="269" spans="1:10" ht="15.75" x14ac:dyDescent="0.25">
      <c r="A269" s="49">
        <v>160000600</v>
      </c>
      <c r="B269" s="244"/>
      <c r="C269" s="277"/>
      <c r="D269" s="278"/>
      <c r="E269" s="98"/>
      <c r="F269" s="98"/>
      <c r="G269" s="98"/>
      <c r="H269" s="98"/>
      <c r="I269" s="98"/>
      <c r="J269" s="98"/>
    </row>
    <row r="270" spans="1:10" ht="15.75" x14ac:dyDescent="0.25">
      <c r="A270" s="50" t="s">
        <v>377</v>
      </c>
      <c r="B270" s="50"/>
      <c r="C270" s="50"/>
      <c r="D270" s="50"/>
      <c r="E270" s="98"/>
      <c r="F270" s="98"/>
      <c r="G270" s="98"/>
      <c r="H270" s="98"/>
      <c r="I270" s="98"/>
      <c r="J270" s="98"/>
    </row>
    <row r="271" spans="1:10" ht="15.75" x14ac:dyDescent="0.25">
      <c r="A271" s="51"/>
      <c r="B271" s="203"/>
      <c r="C271" s="203"/>
      <c r="D271" s="203"/>
      <c r="E271" s="98"/>
      <c r="F271" s="98"/>
      <c r="G271" s="98"/>
      <c r="H271" s="98"/>
      <c r="I271" s="98"/>
      <c r="J271" s="98"/>
    </row>
    <row r="272" spans="1:10" s="8" customFormat="1" ht="15.75" x14ac:dyDescent="0.25">
      <c r="A272" s="52" t="s">
        <v>378</v>
      </c>
      <c r="B272" s="279"/>
      <c r="C272" s="279"/>
      <c r="D272" s="279"/>
      <c r="E272" s="280"/>
      <c r="F272" s="280"/>
      <c r="G272" s="280"/>
      <c r="H272" s="280"/>
      <c r="I272" s="280"/>
      <c r="J272" s="280"/>
    </row>
    <row r="273" spans="1:10" s="8" customFormat="1" ht="15.75" x14ac:dyDescent="0.25">
      <c r="A273" s="52" t="s">
        <v>377</v>
      </c>
      <c r="B273" s="279"/>
      <c r="C273" s="55">
        <v>2055</v>
      </c>
      <c r="D273" s="279"/>
      <c r="E273" s="280"/>
      <c r="F273" s="280"/>
      <c r="G273" s="280"/>
      <c r="H273" s="280"/>
      <c r="I273" s="280"/>
      <c r="J273" s="280"/>
    </row>
    <row r="274" spans="1:10" s="8" customFormat="1" ht="15.75" x14ac:dyDescent="0.25">
      <c r="A274" s="52"/>
      <c r="B274" s="279"/>
      <c r="C274" s="281"/>
      <c r="D274" s="279"/>
      <c r="E274" s="280"/>
      <c r="F274" s="280"/>
      <c r="G274" s="280"/>
      <c r="H274" s="280"/>
      <c r="I274" s="280"/>
      <c r="J274" s="280"/>
    </row>
    <row r="275" spans="1:10" s="8" customFormat="1" ht="15.75" x14ac:dyDescent="0.25">
      <c r="A275" s="52" t="s">
        <v>379</v>
      </c>
      <c r="B275" s="279"/>
      <c r="C275" s="281"/>
      <c r="D275" s="279"/>
      <c r="E275" s="280"/>
      <c r="F275" s="280"/>
      <c r="G275" s="280"/>
      <c r="H275" s="280"/>
      <c r="I275" s="280"/>
      <c r="J275" s="280"/>
    </row>
    <row r="276" spans="1:10" s="8" customFormat="1" ht="15.75" x14ac:dyDescent="0.25">
      <c r="A276" s="52" t="s">
        <v>380</v>
      </c>
      <c r="B276" s="279"/>
      <c r="C276" s="281"/>
      <c r="D276" s="279"/>
      <c r="E276" s="280"/>
      <c r="F276" s="280"/>
      <c r="G276" s="280"/>
      <c r="H276" s="280"/>
      <c r="I276" s="280"/>
      <c r="J276" s="280"/>
    </row>
    <row r="277" spans="1:10" s="8" customFormat="1" ht="15.75" x14ac:dyDescent="0.25">
      <c r="A277" s="52" t="s">
        <v>452</v>
      </c>
      <c r="B277" s="282">
        <f>A269/C273</f>
        <v>77859.172749391728</v>
      </c>
      <c r="C277" s="283" t="s">
        <v>381</v>
      </c>
      <c r="D277" s="279"/>
      <c r="E277" s="280"/>
      <c r="F277" s="280"/>
      <c r="G277" s="280"/>
      <c r="H277" s="280"/>
      <c r="I277" s="280"/>
      <c r="J277" s="280"/>
    </row>
    <row r="278" spans="1:10" s="8" customFormat="1" ht="15.75" x14ac:dyDescent="0.25">
      <c r="A278" s="52"/>
      <c r="B278" s="279"/>
      <c r="C278" s="281"/>
      <c r="D278" s="279"/>
      <c r="E278" s="280"/>
      <c r="F278" s="280"/>
      <c r="G278" s="280"/>
      <c r="H278" s="280"/>
      <c r="I278" s="280"/>
      <c r="J278" s="280"/>
    </row>
    <row r="279" spans="1:10" s="8" customFormat="1" ht="15.75" x14ac:dyDescent="0.25">
      <c r="A279" s="52" t="s">
        <v>382</v>
      </c>
      <c r="B279" s="282">
        <f>B277</f>
        <v>77859.172749391728</v>
      </c>
      <c r="C279" s="284">
        <v>0.4</v>
      </c>
      <c r="D279" s="282">
        <f>B279*C279</f>
        <v>31143.669099756691</v>
      </c>
      <c r="E279" s="280"/>
      <c r="F279" s="280"/>
      <c r="G279" s="280"/>
      <c r="H279" s="280"/>
      <c r="I279" s="280"/>
      <c r="J279" s="280"/>
    </row>
    <row r="280" spans="1:10" s="8" customFormat="1" ht="15.75" x14ac:dyDescent="0.25">
      <c r="A280" s="52" t="s">
        <v>383</v>
      </c>
      <c r="B280" s="282">
        <f>B277</f>
        <v>77859.172749391728</v>
      </c>
      <c r="C280" s="285">
        <v>0.35</v>
      </c>
      <c r="D280" s="282">
        <f>B280*C280</f>
        <v>27250.710462287105</v>
      </c>
      <c r="E280" s="280"/>
      <c r="F280" s="280"/>
      <c r="G280" s="280"/>
      <c r="H280" s="280"/>
      <c r="I280" s="280"/>
      <c r="J280" s="280"/>
    </row>
    <row r="281" spans="1:10" s="8" customFormat="1" ht="15.75" x14ac:dyDescent="0.25">
      <c r="A281" s="52" t="s">
        <v>384</v>
      </c>
      <c r="B281" s="282">
        <f>B277</f>
        <v>77859.172749391728</v>
      </c>
      <c r="C281" s="285">
        <v>0.25</v>
      </c>
      <c r="D281" s="286">
        <f>B281*C281</f>
        <v>19464.793187347932</v>
      </c>
      <c r="E281" s="280"/>
      <c r="F281" s="280"/>
      <c r="G281" s="280"/>
      <c r="H281" s="280"/>
      <c r="I281" s="280"/>
      <c r="J281" s="280"/>
    </row>
    <row r="282" spans="1:10" s="8" customFormat="1" ht="15.75" x14ac:dyDescent="0.25">
      <c r="A282" s="52" t="s">
        <v>42</v>
      </c>
      <c r="B282" s="279"/>
      <c r="C282" s="281"/>
      <c r="D282" s="287">
        <f>SUM(D279:D281)</f>
        <v>77859.172749391728</v>
      </c>
      <c r="E282" s="280"/>
      <c r="F282" s="280"/>
      <c r="G282" s="280"/>
      <c r="H282" s="280"/>
      <c r="I282" s="280"/>
      <c r="J282" s="280"/>
    </row>
    <row r="283" spans="1:10" s="8" customFormat="1" ht="15.75" x14ac:dyDescent="0.25">
      <c r="A283" s="52"/>
      <c r="B283" s="279"/>
      <c r="C283" s="281"/>
      <c r="D283" s="279"/>
      <c r="E283" s="280"/>
      <c r="F283" s="280"/>
      <c r="G283" s="280"/>
      <c r="H283" s="280"/>
      <c r="I283" s="280"/>
      <c r="J283" s="280"/>
    </row>
    <row r="284" spans="1:10" ht="15.75" x14ac:dyDescent="0.25">
      <c r="A284" s="98"/>
      <c r="B284" s="98"/>
      <c r="C284" s="98"/>
      <c r="D284" s="98"/>
      <c r="E284" s="98"/>
      <c r="F284" s="98"/>
      <c r="G284" s="98"/>
      <c r="H284" s="98"/>
      <c r="I284" s="98"/>
      <c r="J284" s="98"/>
    </row>
    <row r="285" spans="1:10" ht="15.75" x14ac:dyDescent="0.25">
      <c r="A285" s="81" t="s">
        <v>142</v>
      </c>
      <c r="B285" s="81"/>
      <c r="C285" s="81"/>
      <c r="D285" s="81"/>
      <c r="E285" s="81"/>
      <c r="F285" s="98"/>
      <c r="G285" s="98"/>
      <c r="H285" s="98"/>
      <c r="I285" s="98"/>
      <c r="J285" s="98"/>
    </row>
    <row r="286" spans="1:10" ht="15.75" x14ac:dyDescent="0.25">
      <c r="A286" s="47" t="s">
        <v>112</v>
      </c>
      <c r="B286" s="47" t="s">
        <v>104</v>
      </c>
      <c r="C286" s="47" t="s">
        <v>105</v>
      </c>
      <c r="D286" s="47" t="s">
        <v>106</v>
      </c>
      <c r="E286" s="288"/>
      <c r="F286" s="98"/>
      <c r="G286" s="98"/>
      <c r="H286" s="98"/>
      <c r="I286" s="98"/>
      <c r="J286" s="98"/>
    </row>
    <row r="287" spans="1:10" ht="15.75" x14ac:dyDescent="0.25">
      <c r="A287" s="289" t="s">
        <v>113</v>
      </c>
      <c r="B287" s="290">
        <f>D279*B265</f>
        <v>124574676.39902677</v>
      </c>
      <c r="C287" s="290">
        <f>(D280*C265)</f>
        <v>81752131.386861309</v>
      </c>
      <c r="D287" s="290">
        <f>D281*D265</f>
        <v>97323965.936739653</v>
      </c>
      <c r="E287" s="77"/>
      <c r="F287" s="98"/>
      <c r="G287" s="98"/>
      <c r="H287" s="98"/>
      <c r="I287" s="98"/>
      <c r="J287" s="98"/>
    </row>
    <row r="288" spans="1:10" ht="15.75" x14ac:dyDescent="0.25">
      <c r="A288" s="291" t="s">
        <v>109</v>
      </c>
      <c r="B288" s="199">
        <f>D279*B266</f>
        <v>49829870.55961071</v>
      </c>
      <c r="C288" s="199">
        <f>D280*C266</f>
        <v>35425923.600973234</v>
      </c>
      <c r="D288" s="199">
        <f>D281*D266</f>
        <v>58394379.562043793</v>
      </c>
      <c r="E288" s="197"/>
      <c r="F288" s="98"/>
      <c r="G288" s="98"/>
      <c r="H288" s="98"/>
      <c r="I288" s="98"/>
      <c r="J288" s="98"/>
    </row>
    <row r="289" spans="1:10" ht="15.75" x14ac:dyDescent="0.25">
      <c r="A289" s="291" t="s">
        <v>110</v>
      </c>
      <c r="B289" s="199">
        <f>B287-B288</f>
        <v>74744805.839416057</v>
      </c>
      <c r="C289" s="199">
        <f>C287-C288</f>
        <v>46326207.785888076</v>
      </c>
      <c r="D289" s="199">
        <f>D287-D288</f>
        <v>38929586.37469586</v>
      </c>
      <c r="E289" s="197"/>
      <c r="F289" s="98"/>
      <c r="G289" s="98"/>
      <c r="H289" s="98"/>
      <c r="I289" s="98"/>
      <c r="J289" s="98"/>
    </row>
    <row r="290" spans="1:10" ht="15.75" x14ac:dyDescent="0.25">
      <c r="A290" s="291" t="s">
        <v>114</v>
      </c>
      <c r="B290" s="197"/>
      <c r="C290" s="197"/>
      <c r="D290" s="197"/>
      <c r="E290" s="292">
        <f>B287+C287+D287</f>
        <v>303650773.72262776</v>
      </c>
      <c r="F290" s="98"/>
      <c r="G290" s="98"/>
      <c r="H290" s="98"/>
      <c r="I290" s="98"/>
      <c r="J290" s="98"/>
    </row>
    <row r="291" spans="1:10" ht="31.5" x14ac:dyDescent="0.25">
      <c r="A291" s="291" t="s">
        <v>115</v>
      </c>
      <c r="B291" s="197"/>
      <c r="C291" s="197"/>
      <c r="D291" s="197"/>
      <c r="E291" s="292">
        <f>B288+C288+D288</f>
        <v>143650173.72262773</v>
      </c>
      <c r="F291" s="98"/>
      <c r="G291" s="98"/>
      <c r="H291" s="98"/>
      <c r="I291" s="98"/>
      <c r="J291" s="98"/>
    </row>
    <row r="292" spans="1:10" ht="31.5" x14ac:dyDescent="0.25">
      <c r="A292" s="291" t="s">
        <v>116</v>
      </c>
      <c r="B292" s="197"/>
      <c r="C292" s="197"/>
      <c r="D292" s="197"/>
      <c r="E292" s="292">
        <f>E290-E291</f>
        <v>160000600.00000003</v>
      </c>
      <c r="F292" s="98"/>
      <c r="G292" s="98"/>
      <c r="H292" s="98"/>
      <c r="I292" s="98"/>
      <c r="J292" s="98"/>
    </row>
    <row r="293" spans="1:10" ht="15.75" x14ac:dyDescent="0.25">
      <c r="A293" s="291" t="s">
        <v>117</v>
      </c>
      <c r="B293" s="197"/>
      <c r="C293" s="197"/>
      <c r="D293" s="197"/>
      <c r="E293" s="37">
        <f>A269</f>
        <v>160000600</v>
      </c>
      <c r="F293" s="98"/>
      <c r="G293" s="98"/>
      <c r="H293" s="98"/>
      <c r="I293" s="98"/>
      <c r="J293" s="98"/>
    </row>
    <row r="294" spans="1:10" ht="15.75" x14ac:dyDescent="0.25">
      <c r="A294" s="291" t="s">
        <v>118</v>
      </c>
      <c r="B294" s="197"/>
      <c r="C294" s="197"/>
      <c r="D294" s="197"/>
      <c r="E294" s="293">
        <f>E292-E293</f>
        <v>0</v>
      </c>
      <c r="F294" s="98"/>
      <c r="G294" s="98"/>
      <c r="H294" s="98"/>
      <c r="I294" s="98"/>
      <c r="J294" s="98"/>
    </row>
    <row r="295" spans="1:10" ht="15.75" x14ac:dyDescent="0.25">
      <c r="A295" s="98"/>
      <c r="B295" s="98"/>
      <c r="C295" s="98"/>
      <c r="D295" s="98"/>
      <c r="E295" s="98"/>
      <c r="F295" s="98"/>
      <c r="G295" s="98"/>
      <c r="H295" s="98"/>
      <c r="I295" s="98"/>
      <c r="J295" s="98"/>
    </row>
    <row r="296" spans="1:10" ht="15.75" x14ac:dyDescent="0.25">
      <c r="A296" s="98"/>
      <c r="B296" s="98"/>
      <c r="C296" s="98"/>
      <c r="D296" s="98"/>
      <c r="E296" s="98"/>
      <c r="F296" s="98"/>
      <c r="G296" s="98"/>
      <c r="H296" s="98"/>
      <c r="I296" s="98"/>
      <c r="J296" s="98"/>
    </row>
    <row r="297" spans="1:10" ht="19.5" customHeight="1" x14ac:dyDescent="0.25">
      <c r="A297" s="294" t="s">
        <v>143</v>
      </c>
      <c r="B297" s="294"/>
      <c r="C297" s="294"/>
      <c r="D297" s="294"/>
      <c r="E297" s="294"/>
      <c r="F297" s="98"/>
      <c r="G297" s="98"/>
      <c r="H297" s="98"/>
      <c r="I297" s="98"/>
      <c r="J297" s="98"/>
    </row>
    <row r="298" spans="1:10" ht="18.75" customHeight="1" x14ac:dyDescent="0.25">
      <c r="A298" s="53" t="s">
        <v>119</v>
      </c>
      <c r="B298" s="47" t="s">
        <v>104</v>
      </c>
      <c r="C298" s="47" t="s">
        <v>105</v>
      </c>
      <c r="D298" s="47" t="s">
        <v>106</v>
      </c>
      <c r="E298" s="47" t="s">
        <v>120</v>
      </c>
      <c r="F298" s="98"/>
      <c r="G298" s="98"/>
      <c r="H298" s="98"/>
      <c r="I298" s="98"/>
      <c r="J298" s="98"/>
    </row>
    <row r="299" spans="1:10" ht="15.75" x14ac:dyDescent="0.25">
      <c r="A299" s="54" t="s">
        <v>121</v>
      </c>
      <c r="B299" s="55">
        <f>D279</f>
        <v>31143.669099756691</v>
      </c>
      <c r="C299" s="55">
        <f>D280</f>
        <v>27250.710462287105</v>
      </c>
      <c r="D299" s="55">
        <f>D281</f>
        <v>19464.793187347932</v>
      </c>
      <c r="E299" s="55">
        <f>SUM(B299:D299)</f>
        <v>77859.172749391728</v>
      </c>
      <c r="F299" s="98"/>
      <c r="G299" s="98"/>
      <c r="H299" s="98"/>
      <c r="I299" s="98"/>
      <c r="J299" s="98"/>
    </row>
    <row r="300" spans="1:10" ht="15.75" x14ac:dyDescent="0.25">
      <c r="A300" s="54" t="s">
        <v>122</v>
      </c>
      <c r="B300" s="55">
        <f>B287</f>
        <v>124574676.39902677</v>
      </c>
      <c r="C300" s="55">
        <f>C287</f>
        <v>81752131.386861309</v>
      </c>
      <c r="D300" s="55">
        <f>D287</f>
        <v>97323965.936739653</v>
      </c>
      <c r="E300" s="55">
        <f>SUM(B300:D300)</f>
        <v>303650773.72262776</v>
      </c>
      <c r="F300" s="98"/>
      <c r="G300" s="98"/>
      <c r="H300" s="98"/>
      <c r="I300" s="98"/>
      <c r="J300" s="98"/>
    </row>
    <row r="301" spans="1:10" ht="15.75" x14ac:dyDescent="0.25">
      <c r="A301" s="54" t="s">
        <v>123</v>
      </c>
      <c r="B301" s="55">
        <f>B266</f>
        <v>1600</v>
      </c>
      <c r="C301" s="55">
        <f>C266</f>
        <v>1300</v>
      </c>
      <c r="D301" s="55">
        <f>D266</f>
        <v>3000</v>
      </c>
      <c r="E301" s="55">
        <f>SUM(B301:D301)</f>
        <v>5900</v>
      </c>
      <c r="F301" s="98"/>
      <c r="G301" s="98"/>
      <c r="H301" s="98"/>
      <c r="I301" s="98"/>
      <c r="J301" s="98"/>
    </row>
    <row r="302" spans="1:10" ht="15.75" x14ac:dyDescent="0.25">
      <c r="A302" s="54" t="s">
        <v>124</v>
      </c>
      <c r="B302" s="56">
        <f>B300/$E$300</f>
        <v>0.41025641025641024</v>
      </c>
      <c r="C302" s="56">
        <f>C300/$E$300</f>
        <v>0.26923076923076922</v>
      </c>
      <c r="D302" s="56">
        <f>D300/$E$300</f>
        <v>0.32051282051282048</v>
      </c>
      <c r="E302" s="56">
        <f>SUM(B302:D302)</f>
        <v>1</v>
      </c>
      <c r="F302" s="98"/>
      <c r="G302" s="98"/>
      <c r="H302" s="98"/>
      <c r="I302" s="98"/>
      <c r="J302" s="98"/>
    </row>
    <row r="303" spans="1:10" ht="15.75" x14ac:dyDescent="0.25">
      <c r="A303" s="98"/>
      <c r="B303" s="98"/>
      <c r="C303" s="98"/>
      <c r="D303" s="98"/>
      <c r="E303" s="98"/>
      <c r="F303" s="98"/>
      <c r="G303" s="98"/>
      <c r="H303" s="98"/>
      <c r="I303" s="98"/>
      <c r="J303" s="98"/>
    </row>
    <row r="304" spans="1:10" ht="15.75" x14ac:dyDescent="0.25">
      <c r="A304" s="57" t="s">
        <v>385</v>
      </c>
      <c r="B304" s="98"/>
      <c r="C304" s="98"/>
      <c r="D304" s="98"/>
      <c r="E304" s="98"/>
      <c r="F304" s="98"/>
      <c r="G304" s="98"/>
      <c r="H304" s="98"/>
      <c r="I304" s="98"/>
      <c r="J304" s="98"/>
    </row>
    <row r="305" spans="1:10" ht="15.75" x14ac:dyDescent="0.25">
      <c r="A305" s="57" t="s">
        <v>386</v>
      </c>
      <c r="B305" s="98"/>
      <c r="C305" s="98"/>
      <c r="D305" s="98"/>
      <c r="E305" s="98"/>
      <c r="F305" s="98"/>
      <c r="G305" s="98"/>
      <c r="H305" s="98"/>
      <c r="I305" s="98"/>
      <c r="J305" s="98"/>
    </row>
    <row r="306" spans="1:10" ht="15.75" x14ac:dyDescent="0.25">
      <c r="A306" s="57" t="s">
        <v>478</v>
      </c>
      <c r="B306" s="98"/>
      <c r="C306" s="98">
        <f>E291/E290</f>
        <v>0.47307692307692301</v>
      </c>
      <c r="D306" s="295">
        <f>47%</f>
        <v>0.47</v>
      </c>
      <c r="E306" s="98"/>
      <c r="F306" s="98"/>
      <c r="G306" s="98"/>
      <c r="H306" s="98"/>
      <c r="I306" s="98"/>
      <c r="J306" s="98"/>
    </row>
    <row r="307" spans="1:10" ht="15.75" x14ac:dyDescent="0.25">
      <c r="A307" s="98"/>
      <c r="B307" s="98"/>
      <c r="C307" s="98"/>
      <c r="D307" s="98"/>
      <c r="E307" s="98"/>
      <c r="F307" s="98"/>
      <c r="G307" s="98"/>
      <c r="H307" s="98"/>
      <c r="I307" s="98"/>
      <c r="J307" s="98"/>
    </row>
    <row r="308" spans="1:10" ht="15.75" x14ac:dyDescent="0.25">
      <c r="A308" s="57" t="s">
        <v>477</v>
      </c>
      <c r="B308" s="98"/>
      <c r="C308" s="240">
        <f>A269/D306</f>
        <v>340426808.5106383</v>
      </c>
      <c r="D308" s="98"/>
      <c r="E308" s="98"/>
      <c r="F308" s="98"/>
      <c r="G308" s="98"/>
      <c r="H308" s="98"/>
      <c r="I308" s="98"/>
      <c r="J308" s="98"/>
    </row>
    <row r="309" spans="1:10" ht="15.75" x14ac:dyDescent="0.25">
      <c r="A309" s="98"/>
      <c r="B309" s="98"/>
      <c r="C309" s="98"/>
      <c r="D309" s="98"/>
      <c r="E309" s="98"/>
      <c r="F309" s="98"/>
      <c r="G309" s="98"/>
      <c r="H309" s="98"/>
      <c r="I309" s="98"/>
      <c r="J309" s="98"/>
    </row>
    <row r="310" spans="1:10" ht="15.75" x14ac:dyDescent="0.25">
      <c r="A310" s="98"/>
      <c r="B310" s="98"/>
      <c r="C310" s="98"/>
      <c r="D310" s="98"/>
      <c r="E310" s="98"/>
      <c r="F310" s="98"/>
      <c r="G310" s="98"/>
      <c r="H310" s="98"/>
      <c r="I310" s="98"/>
      <c r="J310" s="98"/>
    </row>
    <row r="311" spans="1:10" ht="15.75" x14ac:dyDescent="0.25">
      <c r="A311" s="81" t="s">
        <v>144</v>
      </c>
      <c r="B311" s="81"/>
      <c r="C311" s="81"/>
      <c r="D311" s="81"/>
      <c r="E311" s="81"/>
      <c r="F311" s="98"/>
      <c r="G311" s="98"/>
      <c r="H311" s="98"/>
      <c r="I311" s="98"/>
      <c r="J311" s="98"/>
    </row>
    <row r="312" spans="1:10" ht="21" customHeight="1" x14ac:dyDescent="0.25">
      <c r="A312" s="47" t="s">
        <v>125</v>
      </c>
      <c r="B312" s="58" t="s">
        <v>104</v>
      </c>
      <c r="C312" s="58" t="s">
        <v>105</v>
      </c>
      <c r="D312" s="58" t="s">
        <v>106</v>
      </c>
      <c r="E312" s="58" t="s">
        <v>120</v>
      </c>
      <c r="F312" s="98"/>
      <c r="G312" s="98"/>
      <c r="H312" s="98"/>
      <c r="I312" s="98"/>
      <c r="J312" s="98"/>
    </row>
    <row r="313" spans="1:10" ht="15.75" x14ac:dyDescent="0.25">
      <c r="A313" s="59" t="s">
        <v>122</v>
      </c>
      <c r="B313" s="296">
        <f t="shared" ref="B313:D314" si="28">B287</f>
        <v>124574676.39902677</v>
      </c>
      <c r="C313" s="296">
        <f t="shared" si="28"/>
        <v>81752131.386861309</v>
      </c>
      <c r="D313" s="296">
        <f t="shared" si="28"/>
        <v>97323965.936739653</v>
      </c>
      <c r="E313" s="296">
        <f>SUM(B313:D313)</f>
        <v>303650773.72262776</v>
      </c>
      <c r="F313" s="98"/>
      <c r="G313" s="98"/>
      <c r="H313" s="98"/>
      <c r="I313" s="98"/>
      <c r="J313" s="98"/>
    </row>
    <row r="314" spans="1:10" ht="15.75" x14ac:dyDescent="0.25">
      <c r="A314" s="60" t="s">
        <v>126</v>
      </c>
      <c r="B314" s="55">
        <f t="shared" si="28"/>
        <v>49829870.55961071</v>
      </c>
      <c r="C314" s="55">
        <f t="shared" si="28"/>
        <v>35425923.600973234</v>
      </c>
      <c r="D314" s="55">
        <f t="shared" si="28"/>
        <v>58394379.562043793</v>
      </c>
      <c r="E314" s="36"/>
      <c r="F314" s="98"/>
      <c r="G314" s="98"/>
      <c r="H314" s="98"/>
      <c r="I314" s="98"/>
      <c r="J314" s="98"/>
    </row>
    <row r="315" spans="1:10" ht="15.75" x14ac:dyDescent="0.25">
      <c r="A315" s="60" t="s">
        <v>163</v>
      </c>
      <c r="B315" s="55">
        <f>B313-B314</f>
        <v>74744805.839416057</v>
      </c>
      <c r="C315" s="55">
        <f>C313-C314</f>
        <v>46326207.785888076</v>
      </c>
      <c r="D315" s="55">
        <f>D313-D314</f>
        <v>38929586.37469586</v>
      </c>
      <c r="E315" s="36"/>
      <c r="F315" s="98"/>
      <c r="G315" s="98"/>
      <c r="H315" s="98"/>
      <c r="I315" s="98"/>
      <c r="J315" s="98"/>
    </row>
    <row r="316" spans="1:10" ht="21.75" customHeight="1" x14ac:dyDescent="0.25">
      <c r="A316" s="60" t="s">
        <v>164</v>
      </c>
      <c r="B316" s="297">
        <f>B315/B313</f>
        <v>0.6</v>
      </c>
      <c r="C316" s="297">
        <f>C315/C313</f>
        <v>0.56666666666666665</v>
      </c>
      <c r="D316" s="297">
        <f>D315/D313</f>
        <v>0.39999999999999997</v>
      </c>
      <c r="E316" s="36"/>
      <c r="F316" s="98"/>
      <c r="G316" s="98"/>
      <c r="H316" s="98"/>
      <c r="I316" s="98"/>
      <c r="J316" s="98"/>
    </row>
    <row r="317" spans="1:10" ht="15.75" x14ac:dyDescent="0.25">
      <c r="A317" s="60" t="s">
        <v>127</v>
      </c>
      <c r="B317" s="36"/>
      <c r="C317" s="36"/>
      <c r="D317" s="36"/>
      <c r="E317" s="55">
        <f>E313</f>
        <v>303650773.72262776</v>
      </c>
      <c r="F317" s="98"/>
      <c r="G317" s="98"/>
      <c r="H317" s="98"/>
      <c r="I317" s="98"/>
      <c r="J317" s="98"/>
    </row>
    <row r="318" spans="1:10" ht="15.75" x14ac:dyDescent="0.25">
      <c r="A318" s="60" t="s">
        <v>128</v>
      </c>
      <c r="B318" s="36"/>
      <c r="C318" s="36"/>
      <c r="D318" s="36"/>
      <c r="E318" s="55">
        <f>SUM(B314:D314)</f>
        <v>143650173.72262773</v>
      </c>
      <c r="F318" s="98"/>
      <c r="G318" s="98"/>
      <c r="H318" s="98"/>
      <c r="I318" s="98"/>
      <c r="J318" s="98"/>
    </row>
    <row r="319" spans="1:10" ht="15.75" x14ac:dyDescent="0.25">
      <c r="A319" s="60" t="s">
        <v>165</v>
      </c>
      <c r="B319" s="36"/>
      <c r="C319" s="36"/>
      <c r="D319" s="36"/>
      <c r="E319" s="55">
        <f>E317-E318</f>
        <v>160000600.00000003</v>
      </c>
      <c r="F319" s="98"/>
      <c r="G319" s="98"/>
      <c r="H319" s="98"/>
      <c r="I319" s="98"/>
      <c r="J319" s="98"/>
    </row>
    <row r="320" spans="1:10" ht="15.75" x14ac:dyDescent="0.25">
      <c r="A320" s="60" t="s">
        <v>129</v>
      </c>
      <c r="B320" s="36"/>
      <c r="C320" s="36"/>
      <c r="D320" s="36"/>
      <c r="E320" s="56">
        <f>E318/E317</f>
        <v>0.47307692307692301</v>
      </c>
      <c r="F320" s="98"/>
      <c r="G320" s="98"/>
      <c r="H320" s="98"/>
      <c r="I320" s="98"/>
      <c r="J320" s="98"/>
    </row>
    <row r="321" spans="1:10" ht="15.75" x14ac:dyDescent="0.25">
      <c r="A321" s="98"/>
      <c r="B321" s="98"/>
      <c r="C321" s="98"/>
      <c r="D321" s="98"/>
      <c r="E321" s="98"/>
      <c r="F321" s="98"/>
      <c r="G321" s="98"/>
      <c r="H321" s="98"/>
      <c r="I321" s="98"/>
      <c r="J321" s="98"/>
    </row>
    <row r="322" spans="1:10" ht="15.75" x14ac:dyDescent="0.25">
      <c r="A322" s="98"/>
      <c r="B322" s="98"/>
      <c r="C322" s="98"/>
      <c r="D322" s="98"/>
      <c r="E322" s="98"/>
      <c r="F322" s="98"/>
      <c r="G322" s="98"/>
      <c r="H322" s="98"/>
      <c r="I322" s="98"/>
      <c r="J322" s="98"/>
    </row>
    <row r="323" spans="1:10" ht="19.5" customHeight="1" x14ac:dyDescent="0.25">
      <c r="A323" s="81" t="s">
        <v>145</v>
      </c>
      <c r="B323" s="298"/>
      <c r="C323" s="298"/>
      <c r="D323" s="298"/>
      <c r="E323" s="298"/>
      <c r="F323" s="98"/>
      <c r="G323" s="98"/>
      <c r="H323" s="98"/>
      <c r="I323" s="98"/>
      <c r="J323" s="98"/>
    </row>
    <row r="324" spans="1:10" ht="18" customHeight="1" x14ac:dyDescent="0.25">
      <c r="A324" s="47" t="s">
        <v>119</v>
      </c>
      <c r="B324" s="47" t="s">
        <v>104</v>
      </c>
      <c r="C324" s="47" t="s">
        <v>105</v>
      </c>
      <c r="D324" s="47" t="s">
        <v>106</v>
      </c>
      <c r="E324" s="47" t="s">
        <v>120</v>
      </c>
      <c r="F324" s="98"/>
      <c r="G324" s="98"/>
      <c r="H324" s="98"/>
      <c r="I324" s="98"/>
      <c r="J324" s="98"/>
    </row>
    <row r="325" spans="1:10" ht="15.75" x14ac:dyDescent="0.25">
      <c r="A325" s="59" t="s">
        <v>130</v>
      </c>
      <c r="B325" s="299">
        <f>B302</f>
        <v>0.41025641025641024</v>
      </c>
      <c r="C325" s="299">
        <f>C302</f>
        <v>0.26923076923076922</v>
      </c>
      <c r="D325" s="299">
        <f>D302</f>
        <v>0.32051282051282048</v>
      </c>
      <c r="E325" s="299">
        <f>SUM(B325:D325)</f>
        <v>1</v>
      </c>
      <c r="F325" s="98"/>
      <c r="G325" s="98"/>
      <c r="H325" s="98"/>
      <c r="I325" s="98"/>
      <c r="J325" s="98"/>
    </row>
    <row r="326" spans="1:10" ht="15.75" x14ac:dyDescent="0.25">
      <c r="A326" s="60" t="s">
        <v>122</v>
      </c>
      <c r="B326" s="199">
        <f>$E$326*B325</f>
        <v>139662280.41462085</v>
      </c>
      <c r="C326" s="199">
        <f>$E$326*C325</f>
        <v>91653371.52209492</v>
      </c>
      <c r="D326" s="199">
        <f>$E$326*D325</f>
        <v>109111156.57392251</v>
      </c>
      <c r="E326" s="199">
        <f>C308</f>
        <v>340426808.5106383</v>
      </c>
      <c r="F326" s="98"/>
      <c r="G326" s="98"/>
      <c r="H326" s="98"/>
      <c r="I326" s="98"/>
      <c r="J326" s="98"/>
    </row>
    <row r="327" spans="1:10" ht="15.75" x14ac:dyDescent="0.25">
      <c r="A327" s="300" t="s">
        <v>302</v>
      </c>
      <c r="B327" s="300"/>
      <c r="C327" s="300"/>
      <c r="D327" s="300"/>
      <c r="E327" s="300"/>
      <c r="F327" s="98"/>
      <c r="G327" s="98"/>
      <c r="H327" s="98"/>
      <c r="I327" s="98"/>
      <c r="J327" s="98"/>
    </row>
    <row r="328" spans="1:10" ht="15.75" x14ac:dyDescent="0.25">
      <c r="A328" s="98"/>
      <c r="B328" s="98"/>
      <c r="C328" s="98"/>
      <c r="D328" s="98"/>
      <c r="E328" s="98"/>
      <c r="F328" s="98"/>
      <c r="G328" s="98"/>
      <c r="H328" s="98"/>
      <c r="I328" s="98"/>
      <c r="J328" s="98"/>
    </row>
    <row r="329" spans="1:10" ht="15.75" x14ac:dyDescent="0.25">
      <c r="A329" s="81" t="s">
        <v>146</v>
      </c>
      <c r="B329" s="81"/>
      <c r="C329" s="81"/>
      <c r="D329" s="81"/>
      <c r="E329" s="81"/>
      <c r="F329" s="81"/>
      <c r="G329" s="81"/>
      <c r="H329" s="98"/>
      <c r="I329" s="98"/>
      <c r="J329" s="98"/>
    </row>
    <row r="330" spans="1:10" ht="15.75" x14ac:dyDescent="0.25">
      <c r="A330" s="61"/>
      <c r="B330" s="301"/>
      <c r="C330" s="62"/>
      <c r="D330" s="302"/>
      <c r="E330" s="63" t="s">
        <v>132</v>
      </c>
      <c r="F330" s="63"/>
      <c r="G330" s="64"/>
      <c r="H330" s="98"/>
      <c r="I330" s="98"/>
      <c r="J330" s="98"/>
    </row>
    <row r="331" spans="1:10" ht="22.5" customHeight="1" x14ac:dyDescent="0.25">
      <c r="A331" s="63" t="s">
        <v>131</v>
      </c>
      <c r="B331" s="65">
        <v>0</v>
      </c>
      <c r="C331" s="66">
        <v>1</v>
      </c>
      <c r="D331" s="66">
        <v>2</v>
      </c>
      <c r="E331" s="66">
        <v>3</v>
      </c>
      <c r="F331" s="66">
        <v>4</v>
      </c>
      <c r="G331" s="66">
        <v>5</v>
      </c>
      <c r="H331" s="98"/>
      <c r="I331" s="98"/>
      <c r="J331" s="98"/>
    </row>
    <row r="332" spans="1:10" ht="15.75" x14ac:dyDescent="0.25">
      <c r="A332" s="205" t="s">
        <v>133</v>
      </c>
      <c r="B332" s="204"/>
      <c r="C332" s="210"/>
      <c r="D332" s="210"/>
      <c r="E332" s="210"/>
      <c r="F332" s="210"/>
      <c r="G332" s="78"/>
      <c r="H332" s="98"/>
      <c r="I332" s="98"/>
      <c r="J332" s="98"/>
    </row>
    <row r="333" spans="1:10" ht="15.75" x14ac:dyDescent="0.25">
      <c r="A333" s="205" t="s">
        <v>134</v>
      </c>
      <c r="B333" s="76">
        <f>D36</f>
        <v>4340000</v>
      </c>
      <c r="C333" s="204"/>
      <c r="D333" s="233"/>
      <c r="E333" s="233"/>
      <c r="F333" s="204"/>
      <c r="G333" s="205"/>
      <c r="H333" s="98"/>
      <c r="I333" s="98"/>
      <c r="J333" s="98"/>
    </row>
    <row r="334" spans="1:10" ht="15.75" x14ac:dyDescent="0.25">
      <c r="A334" s="205" t="s">
        <v>166</v>
      </c>
      <c r="B334" s="204" t="s">
        <v>136</v>
      </c>
      <c r="C334" s="204"/>
      <c r="D334" s="233"/>
      <c r="E334" s="233"/>
      <c r="F334" s="204"/>
      <c r="G334" s="205"/>
      <c r="H334" s="98"/>
      <c r="I334" s="98"/>
      <c r="J334" s="98"/>
    </row>
    <row r="335" spans="1:10" ht="16.5" thickBot="1" x14ac:dyDescent="0.3">
      <c r="A335" s="278" t="s">
        <v>135</v>
      </c>
      <c r="B335" s="303">
        <f>D58</f>
        <v>2780000</v>
      </c>
      <c r="C335" s="304"/>
      <c r="D335" s="304"/>
      <c r="E335" s="305"/>
      <c r="F335" s="304"/>
      <c r="G335" s="306"/>
      <c r="H335" s="98"/>
      <c r="I335" s="98"/>
      <c r="J335" s="98"/>
    </row>
    <row r="336" spans="1:10" ht="26.25" customHeight="1" x14ac:dyDescent="0.25">
      <c r="A336" s="67" t="s">
        <v>137</v>
      </c>
      <c r="B336" s="307">
        <f>SUM(B333:B335)</f>
        <v>7120000</v>
      </c>
      <c r="C336" s="277"/>
      <c r="D336" s="77"/>
      <c r="E336" s="77"/>
      <c r="F336" s="308"/>
      <c r="G336" s="308"/>
      <c r="H336" s="98"/>
      <c r="I336" s="98"/>
      <c r="J336" s="98"/>
    </row>
    <row r="337" spans="1:10" ht="15.75" x14ac:dyDescent="0.25">
      <c r="A337" s="309" t="s">
        <v>138</v>
      </c>
      <c r="B337" s="204"/>
      <c r="C337" s="98"/>
      <c r="D337" s="204"/>
      <c r="E337" s="204"/>
      <c r="F337" s="204"/>
      <c r="G337" s="204"/>
      <c r="H337" s="98"/>
      <c r="I337" s="98"/>
      <c r="J337" s="98"/>
    </row>
    <row r="338" spans="1:10" ht="15.75" x14ac:dyDescent="0.25">
      <c r="A338" s="310" t="s">
        <v>167</v>
      </c>
      <c r="B338" s="76">
        <f>D24</f>
        <v>930000</v>
      </c>
      <c r="C338" s="98"/>
      <c r="D338" s="204"/>
      <c r="E338" s="204"/>
      <c r="F338" s="204"/>
      <c r="G338" s="204"/>
      <c r="H338" s="98"/>
      <c r="I338" s="98"/>
      <c r="J338" s="98"/>
    </row>
    <row r="339" spans="1:10" ht="16.5" thickBot="1" x14ac:dyDescent="0.3">
      <c r="A339" s="310" t="s">
        <v>179</v>
      </c>
      <c r="B339" s="303">
        <f>D72</f>
        <v>9750000</v>
      </c>
      <c r="C339" s="311"/>
      <c r="D339" s="304"/>
      <c r="E339" s="304"/>
      <c r="F339" s="304"/>
      <c r="G339" s="304"/>
      <c r="H339" s="98"/>
      <c r="I339" s="98"/>
      <c r="J339" s="98"/>
    </row>
    <row r="340" spans="1:10" ht="16.5" thickBot="1" x14ac:dyDescent="0.3">
      <c r="A340" s="60" t="s">
        <v>137</v>
      </c>
      <c r="B340" s="303">
        <f>SUM(B338:B339)</f>
        <v>10680000</v>
      </c>
      <c r="C340" s="311"/>
      <c r="D340" s="304"/>
      <c r="E340" s="304"/>
      <c r="F340" s="304"/>
      <c r="G340" s="304"/>
      <c r="H340" s="98"/>
      <c r="I340" s="98"/>
      <c r="J340" s="98"/>
    </row>
    <row r="341" spans="1:10" ht="15.75" x14ac:dyDescent="0.25">
      <c r="A341" s="68" t="s">
        <v>139</v>
      </c>
      <c r="B341" s="312">
        <f>B336+B340</f>
        <v>17800000</v>
      </c>
      <c r="C341" s="313"/>
      <c r="D341" s="308"/>
      <c r="E341" s="308"/>
      <c r="F341" s="308"/>
      <c r="G341" s="308"/>
      <c r="H341" s="98"/>
      <c r="I341" s="98"/>
      <c r="J341" s="98"/>
    </row>
    <row r="342" spans="1:10" ht="15.75" x14ac:dyDescent="0.25">
      <c r="A342" s="98"/>
      <c r="B342" s="98"/>
      <c r="C342" s="98"/>
      <c r="D342" s="98"/>
      <c r="E342" s="98"/>
      <c r="F342" s="98"/>
      <c r="G342" s="98"/>
      <c r="H342" s="98"/>
      <c r="I342" s="98"/>
      <c r="J342" s="98"/>
    </row>
    <row r="343" spans="1:10" ht="15.75" x14ac:dyDescent="0.25">
      <c r="A343" s="98"/>
      <c r="B343" s="98"/>
      <c r="C343" s="98"/>
      <c r="D343" s="98"/>
      <c r="E343" s="98"/>
      <c r="F343" s="98"/>
      <c r="G343" s="98"/>
      <c r="H343" s="98"/>
      <c r="I343" s="98"/>
      <c r="J343" s="98"/>
    </row>
    <row r="344" spans="1:10" ht="15.75" x14ac:dyDescent="0.25">
      <c r="A344" s="87" t="s">
        <v>387</v>
      </c>
      <c r="B344" s="87"/>
      <c r="C344" s="98"/>
      <c r="D344" s="314" t="s">
        <v>303</v>
      </c>
      <c r="E344" s="314"/>
      <c r="F344" s="314"/>
      <c r="G344" s="98"/>
      <c r="H344" s="314" t="s">
        <v>476</v>
      </c>
      <c r="I344" s="314"/>
      <c r="J344" s="314"/>
    </row>
    <row r="345" spans="1:10" ht="20.25" customHeight="1" x14ac:dyDescent="0.25">
      <c r="A345" s="69" t="s">
        <v>147</v>
      </c>
      <c r="B345" s="70" t="s">
        <v>148</v>
      </c>
      <c r="C345" s="98"/>
      <c r="D345" s="315" t="s">
        <v>304</v>
      </c>
      <c r="E345" s="316"/>
      <c r="F345" s="317">
        <f>E115</f>
        <v>1242216000</v>
      </c>
      <c r="G345" s="98"/>
      <c r="H345" s="318" t="s">
        <v>215</v>
      </c>
      <c r="I345" s="318"/>
      <c r="J345" s="317">
        <f>E174</f>
        <v>82374133.530000001</v>
      </c>
    </row>
    <row r="346" spans="1:10" ht="15.75" x14ac:dyDescent="0.25">
      <c r="A346" s="71"/>
      <c r="B346" s="72">
        <v>1</v>
      </c>
      <c r="C346" s="98"/>
      <c r="D346" s="319" t="s">
        <v>305</v>
      </c>
      <c r="E346" s="319"/>
      <c r="F346" s="317">
        <f>E83</f>
        <v>100979434.70999999</v>
      </c>
      <c r="G346" s="98"/>
      <c r="H346" s="318" t="s">
        <v>307</v>
      </c>
      <c r="I346" s="318"/>
      <c r="J346" s="317">
        <f>E184</f>
        <v>2405000</v>
      </c>
    </row>
    <row r="347" spans="1:10" ht="15.75" x14ac:dyDescent="0.25">
      <c r="A347" s="73"/>
      <c r="B347" s="74"/>
      <c r="C347" s="98"/>
      <c r="D347" s="319" t="s">
        <v>306</v>
      </c>
      <c r="E347" s="319"/>
      <c r="F347" s="317">
        <f>E121+E135+B216</f>
        <v>54792001</v>
      </c>
      <c r="G347" s="98"/>
      <c r="H347" s="318" t="s">
        <v>157</v>
      </c>
      <c r="I347" s="318"/>
      <c r="J347" s="317">
        <f>D164</f>
        <v>378000</v>
      </c>
    </row>
    <row r="348" spans="1:10" ht="15.75" x14ac:dyDescent="0.25">
      <c r="A348" s="275" t="s">
        <v>168</v>
      </c>
      <c r="B348" s="75">
        <f>F348</f>
        <v>1397987435.71</v>
      </c>
      <c r="C348" s="98"/>
      <c r="D348" s="320" t="s">
        <v>6</v>
      </c>
      <c r="E348" s="321"/>
      <c r="F348" s="322">
        <f>SUM(F345:F347)</f>
        <v>1397987435.71</v>
      </c>
      <c r="G348" s="240"/>
      <c r="H348" s="318" t="s">
        <v>308</v>
      </c>
      <c r="I348" s="318"/>
      <c r="J348" s="317">
        <f>D197</f>
        <v>2136000</v>
      </c>
    </row>
    <row r="349" spans="1:10" ht="15.75" x14ac:dyDescent="0.25">
      <c r="A349" s="233" t="s">
        <v>149</v>
      </c>
      <c r="B349" s="76">
        <f>J349</f>
        <v>87293133.530000001</v>
      </c>
      <c r="C349" s="98"/>
      <c r="D349" s="98"/>
      <c r="E349" s="98"/>
      <c r="F349" s="98"/>
      <c r="G349" s="98"/>
      <c r="H349" s="323" t="s">
        <v>6</v>
      </c>
      <c r="I349" s="323"/>
      <c r="J349" s="322">
        <f>SUM(J345:J348)</f>
        <v>87293133.530000001</v>
      </c>
    </row>
    <row r="350" spans="1:10" ht="15.75" x14ac:dyDescent="0.25">
      <c r="A350" s="233" t="s">
        <v>150</v>
      </c>
      <c r="B350" s="76">
        <f>B229</f>
        <v>39350000</v>
      </c>
      <c r="C350" s="98"/>
      <c r="D350" s="98"/>
      <c r="E350" s="98"/>
      <c r="F350" s="98"/>
      <c r="G350" s="98"/>
      <c r="H350" s="98"/>
      <c r="I350" s="98"/>
      <c r="J350" s="98"/>
    </row>
    <row r="351" spans="1:10" ht="15.75" x14ac:dyDescent="0.25">
      <c r="A351" s="244"/>
      <c r="B351" s="77"/>
      <c r="C351" s="98"/>
      <c r="D351" s="98"/>
      <c r="E351" s="98"/>
      <c r="F351" s="98"/>
      <c r="G351" s="98"/>
      <c r="H351" s="98"/>
      <c r="I351" s="98"/>
      <c r="J351" s="98"/>
    </row>
    <row r="352" spans="1:10" ht="15.75" x14ac:dyDescent="0.25">
      <c r="A352" s="324" t="s">
        <v>151</v>
      </c>
      <c r="B352" s="78"/>
      <c r="C352" s="98"/>
      <c r="D352" s="98"/>
      <c r="E352" s="98"/>
      <c r="F352" s="98"/>
      <c r="G352" s="98"/>
      <c r="H352" s="98"/>
      <c r="I352" s="98"/>
      <c r="J352" s="98"/>
    </row>
    <row r="353" spans="1:10" ht="15.75" x14ac:dyDescent="0.25">
      <c r="A353" s="325" t="s">
        <v>152</v>
      </c>
      <c r="B353" s="79">
        <f>SUM(B348:B352)</f>
        <v>1524630569.24</v>
      </c>
      <c r="C353" s="98"/>
      <c r="D353" s="98"/>
      <c r="E353" s="98"/>
      <c r="F353" s="98"/>
      <c r="G353" s="98"/>
      <c r="H353" s="98"/>
      <c r="I353" s="98"/>
      <c r="J353" s="98"/>
    </row>
    <row r="354" spans="1:10" ht="15.75" x14ac:dyDescent="0.25">
      <c r="A354" s="97"/>
      <c r="B354" s="80"/>
      <c r="C354" s="98"/>
      <c r="D354" s="98"/>
      <c r="E354" s="98"/>
      <c r="F354" s="98"/>
      <c r="G354" s="98"/>
      <c r="H354" s="98"/>
      <c r="I354" s="98"/>
      <c r="J354" s="98"/>
    </row>
    <row r="355" spans="1:10" ht="15.75" x14ac:dyDescent="0.25">
      <c r="A355" s="97" t="s">
        <v>309</v>
      </c>
      <c r="B355" s="80"/>
      <c r="C355" s="98"/>
      <c r="D355" s="98"/>
      <c r="E355" s="98"/>
      <c r="F355" s="98"/>
      <c r="G355" s="98"/>
      <c r="H355" s="98"/>
      <c r="I355" s="98"/>
      <c r="J355" s="98"/>
    </row>
    <row r="356" spans="1:10" ht="15.75" x14ac:dyDescent="0.25">
      <c r="A356" s="203" t="s">
        <v>243</v>
      </c>
      <c r="B356" s="80">
        <f>B353</f>
        <v>1524630569.24</v>
      </c>
      <c r="C356" s="98"/>
      <c r="D356" s="98"/>
      <c r="E356" s="98"/>
      <c r="F356" s="98"/>
      <c r="G356" s="98"/>
      <c r="H356" s="98"/>
      <c r="I356" s="98"/>
      <c r="J356" s="98"/>
    </row>
    <row r="357" spans="1:10" ht="15.75" x14ac:dyDescent="0.25">
      <c r="A357" s="203" t="s">
        <v>311</v>
      </c>
      <c r="B357" s="80">
        <f>- (D149+D164)</f>
        <v>-1110001</v>
      </c>
      <c r="C357" s="98" t="s">
        <v>312</v>
      </c>
      <c r="D357" s="98"/>
      <c r="E357" s="98"/>
      <c r="F357" s="98"/>
      <c r="G357" s="98"/>
      <c r="H357" s="98"/>
      <c r="I357" s="98"/>
      <c r="J357" s="98"/>
    </row>
    <row r="358" spans="1:10" ht="15.75" x14ac:dyDescent="0.25">
      <c r="A358" s="203" t="s">
        <v>310</v>
      </c>
      <c r="B358" s="80">
        <f>- D197</f>
        <v>-2136000</v>
      </c>
      <c r="C358" s="98"/>
      <c r="D358" s="98"/>
      <c r="E358" s="98"/>
      <c r="F358" s="98"/>
      <c r="G358" s="98"/>
      <c r="H358" s="98"/>
      <c r="I358" s="98"/>
      <c r="J358" s="98"/>
    </row>
    <row r="359" spans="1:10" ht="15.75" x14ac:dyDescent="0.25">
      <c r="A359" s="97" t="s">
        <v>545</v>
      </c>
      <c r="B359" s="80">
        <f>SUM(B356:B358)</f>
        <v>1521384568.24</v>
      </c>
      <c r="C359" s="98" t="s">
        <v>313</v>
      </c>
      <c r="D359" s="98"/>
      <c r="E359" s="98"/>
      <c r="F359" s="98"/>
      <c r="G359" s="98"/>
      <c r="H359" s="98"/>
      <c r="I359" s="98"/>
      <c r="J359" s="98"/>
    </row>
    <row r="360" spans="1:10" ht="15.75" x14ac:dyDescent="0.25">
      <c r="A360" s="97"/>
      <c r="B360" s="80"/>
      <c r="C360" s="98"/>
      <c r="D360" s="98"/>
      <c r="E360" s="98"/>
      <c r="F360" s="98"/>
      <c r="G360" s="98"/>
      <c r="H360" s="98"/>
      <c r="I360" s="98"/>
      <c r="J360" s="98"/>
    </row>
    <row r="361" spans="1:10" ht="15.75" x14ac:dyDescent="0.25">
      <c r="A361" s="97" t="s">
        <v>314</v>
      </c>
      <c r="B361" s="80"/>
      <c r="C361" s="98"/>
      <c r="D361" s="98"/>
      <c r="E361" s="98"/>
      <c r="F361" s="98"/>
      <c r="G361" s="98"/>
      <c r="H361" s="98"/>
      <c r="I361" s="98"/>
      <c r="J361" s="98"/>
    </row>
    <row r="362" spans="1:10" ht="15.75" x14ac:dyDescent="0.25">
      <c r="A362" s="97" t="s">
        <v>315</v>
      </c>
      <c r="B362" s="80">
        <f>B359/360</f>
        <v>4226068.2451111116</v>
      </c>
      <c r="C362" s="98"/>
      <c r="D362" s="98"/>
      <c r="E362" s="98"/>
      <c r="F362" s="98"/>
      <c r="G362" s="98"/>
      <c r="H362" s="98"/>
      <c r="I362" s="98"/>
      <c r="J362" s="98"/>
    </row>
    <row r="363" spans="1:10" s="5" customFormat="1" ht="15.75" x14ac:dyDescent="0.25">
      <c r="A363" s="326" t="s">
        <v>196</v>
      </c>
      <c r="B363" s="327">
        <f>B362*30</f>
        <v>126782047.35333335</v>
      </c>
      <c r="C363" s="326"/>
      <c r="D363" s="326"/>
      <c r="E363" s="326"/>
      <c r="F363" s="326"/>
      <c r="G363" s="326"/>
      <c r="H363" s="326"/>
      <c r="I363" s="326"/>
      <c r="J363" s="326"/>
    </row>
    <row r="364" spans="1:10" s="5" customFormat="1" ht="15.75" x14ac:dyDescent="0.25">
      <c r="A364" s="326"/>
      <c r="B364" s="327"/>
      <c r="C364" s="326"/>
      <c r="D364" s="326"/>
      <c r="E364" s="326"/>
      <c r="F364" s="326"/>
      <c r="G364" s="326"/>
      <c r="H364" s="326"/>
      <c r="I364" s="326"/>
      <c r="J364" s="326"/>
    </row>
    <row r="365" spans="1:10" s="5" customFormat="1" ht="15.75" x14ac:dyDescent="0.25">
      <c r="A365" s="328" t="s">
        <v>316</v>
      </c>
      <c r="B365" s="327"/>
      <c r="C365" s="326"/>
      <c r="D365" s="326"/>
      <c r="E365" s="326"/>
      <c r="F365" s="326"/>
      <c r="G365" s="326"/>
      <c r="H365" s="326"/>
      <c r="I365" s="326"/>
      <c r="J365" s="326"/>
    </row>
    <row r="366" spans="1:10" s="5" customFormat="1" ht="15.75" x14ac:dyDescent="0.25">
      <c r="A366" s="326" t="s">
        <v>317</v>
      </c>
      <c r="B366" s="327"/>
      <c r="C366" s="326"/>
      <c r="D366" s="326"/>
      <c r="E366" s="326"/>
      <c r="F366" s="326"/>
      <c r="G366" s="326"/>
      <c r="H366" s="326"/>
      <c r="I366" s="326"/>
      <c r="J366" s="326"/>
    </row>
    <row r="367" spans="1:10" s="5" customFormat="1" ht="15.75" x14ac:dyDescent="0.25">
      <c r="A367" s="326" t="s">
        <v>318</v>
      </c>
      <c r="B367" s="327">
        <f>B363</f>
        <v>126782047.35333335</v>
      </c>
      <c r="C367" s="326"/>
      <c r="D367" s="326"/>
      <c r="E367" s="326"/>
      <c r="F367" s="326"/>
      <c r="G367" s="326"/>
      <c r="H367" s="326"/>
      <c r="I367" s="326"/>
      <c r="J367" s="326"/>
    </row>
    <row r="368" spans="1:10" s="5" customFormat="1" ht="15.75" x14ac:dyDescent="0.25">
      <c r="A368" s="326" t="s">
        <v>319</v>
      </c>
      <c r="B368" s="329">
        <f>B12</f>
        <v>6.4500000000000002E-2</v>
      </c>
      <c r="C368" s="326" t="s">
        <v>320</v>
      </c>
      <c r="D368" s="326"/>
      <c r="E368" s="326"/>
      <c r="F368" s="326"/>
      <c r="G368" s="326"/>
      <c r="H368" s="326"/>
      <c r="I368" s="326"/>
      <c r="J368" s="326"/>
    </row>
    <row r="369" spans="1:11" s="5" customFormat="1" ht="15.75" x14ac:dyDescent="0.25">
      <c r="A369" s="326" t="s">
        <v>321</v>
      </c>
      <c r="B369" s="330">
        <v>1</v>
      </c>
      <c r="C369" s="326" t="s">
        <v>322</v>
      </c>
      <c r="D369" s="326"/>
      <c r="E369" s="326"/>
      <c r="F369" s="326"/>
      <c r="G369" s="326"/>
      <c r="H369" s="326"/>
      <c r="I369" s="326"/>
      <c r="J369" s="326"/>
    </row>
    <row r="370" spans="1:11" s="5" customFormat="1" ht="15.75" x14ac:dyDescent="0.25">
      <c r="A370" s="326" t="s">
        <v>323</v>
      </c>
      <c r="B370" s="331">
        <f>B367/(1+B368)^B369</f>
        <v>119100091.45451701</v>
      </c>
      <c r="C370" s="326"/>
      <c r="D370" s="326"/>
      <c r="E370" s="326"/>
      <c r="F370" s="326"/>
      <c r="G370" s="326"/>
      <c r="H370" s="326"/>
      <c r="I370" s="326"/>
      <c r="J370" s="326"/>
    </row>
    <row r="371" spans="1:11" ht="15.75" x14ac:dyDescent="0.25">
      <c r="A371" s="326" t="s">
        <v>324</v>
      </c>
      <c r="B371" s="240">
        <f>B367-B370</f>
        <v>7681955.8988163471</v>
      </c>
      <c r="C371" s="98"/>
      <c r="D371" s="98"/>
      <c r="E371" s="98"/>
      <c r="F371" s="98"/>
      <c r="G371" s="98"/>
      <c r="H371" s="98"/>
      <c r="I371" s="98"/>
      <c r="J371" s="98"/>
    </row>
    <row r="372" spans="1:11" ht="15.75" x14ac:dyDescent="0.25">
      <c r="A372" s="326"/>
      <c r="B372" s="240"/>
      <c r="C372" s="98"/>
      <c r="D372" s="98"/>
      <c r="E372" s="98"/>
      <c r="F372" s="98"/>
      <c r="G372" s="98"/>
      <c r="H372" s="98"/>
      <c r="I372" s="98"/>
      <c r="J372" s="98"/>
    </row>
    <row r="373" spans="1:11" ht="15.75" x14ac:dyDescent="0.25">
      <c r="A373" s="81" t="s">
        <v>153</v>
      </c>
      <c r="B373" s="81"/>
      <c r="C373" s="81"/>
      <c r="D373" s="81"/>
      <c r="E373" s="81"/>
      <c r="F373" s="81"/>
      <c r="G373" s="98"/>
      <c r="H373" s="98"/>
      <c r="I373" s="98"/>
      <c r="J373" s="98"/>
    </row>
    <row r="374" spans="1:11" ht="15.75" hidden="1" x14ac:dyDescent="0.25">
      <c r="A374" s="82"/>
      <c r="B374" s="82"/>
      <c r="C374" s="82"/>
      <c r="D374" s="82"/>
      <c r="E374" s="82"/>
      <c r="F374" s="82"/>
      <c r="G374" s="98"/>
      <c r="H374" s="98"/>
      <c r="I374" s="98"/>
      <c r="J374" s="98"/>
    </row>
    <row r="375" spans="1:11" ht="18.75" customHeight="1" x14ac:dyDescent="0.25">
      <c r="A375" s="83" t="s">
        <v>546</v>
      </c>
      <c r="B375" s="84"/>
      <c r="C375" s="84"/>
      <c r="D375" s="84"/>
      <c r="E375" s="84"/>
      <c r="F375" s="85"/>
      <c r="G375" s="98" t="s">
        <v>475</v>
      </c>
      <c r="H375" s="98"/>
      <c r="I375" s="98"/>
      <c r="J375" s="135">
        <f>B10</f>
        <v>38400</v>
      </c>
      <c r="K375" s="20" t="s">
        <v>474</v>
      </c>
    </row>
    <row r="376" spans="1:11" ht="15.75" x14ac:dyDescent="0.25">
      <c r="A376" s="74" t="s">
        <v>169</v>
      </c>
      <c r="B376" s="86" t="s">
        <v>132</v>
      </c>
      <c r="C376" s="87"/>
      <c r="D376" s="87"/>
      <c r="E376" s="87"/>
      <c r="F376" s="88"/>
      <c r="G376" s="98"/>
      <c r="H376" s="98"/>
      <c r="I376" s="98"/>
      <c r="J376" s="98"/>
    </row>
    <row r="377" spans="1:11" ht="15.75" x14ac:dyDescent="0.25">
      <c r="A377" s="89"/>
      <c r="B377" s="63">
        <v>0</v>
      </c>
      <c r="C377" s="69">
        <v>1</v>
      </c>
      <c r="D377" s="90">
        <v>2</v>
      </c>
      <c r="E377" s="69">
        <v>3</v>
      </c>
      <c r="F377" s="90">
        <v>4</v>
      </c>
      <c r="G377" s="98"/>
      <c r="H377" s="98"/>
      <c r="I377" s="98"/>
      <c r="J377" s="98"/>
    </row>
    <row r="378" spans="1:11" ht="15.75" x14ac:dyDescent="0.25">
      <c r="A378" s="96" t="s">
        <v>170</v>
      </c>
      <c r="B378" s="332">
        <f>B367</f>
        <v>126782047.35333335</v>
      </c>
      <c r="C378" s="332">
        <f>$B$371</f>
        <v>7681955.8988163471</v>
      </c>
      <c r="D378" s="332">
        <f>$B$371</f>
        <v>7681955.8988163471</v>
      </c>
      <c r="E378" s="332">
        <f>$B$371</f>
        <v>7681955.8988163471</v>
      </c>
      <c r="F378" s="332">
        <f>$B$371</f>
        <v>7681955.8988163471</v>
      </c>
      <c r="G378" s="98"/>
      <c r="H378" s="98"/>
      <c r="I378" s="98"/>
      <c r="J378" s="98"/>
    </row>
    <row r="379" spans="1:11" ht="15.75" x14ac:dyDescent="0.25">
      <c r="A379" s="204"/>
      <c r="B379" s="98"/>
      <c r="C379" s="233"/>
      <c r="D379" s="204"/>
      <c r="E379" s="233"/>
      <c r="F379" s="204" t="s">
        <v>171</v>
      </c>
      <c r="G379" s="98"/>
      <c r="H379" s="98"/>
      <c r="I379" s="98"/>
      <c r="J379" s="98"/>
    </row>
    <row r="380" spans="1:11" ht="15.75" x14ac:dyDescent="0.25">
      <c r="A380" s="82" t="s">
        <v>172</v>
      </c>
      <c r="B380" s="333">
        <f>B378</f>
        <v>126782047.35333335</v>
      </c>
      <c r="C380" s="333">
        <f>C378</f>
        <v>7681955.8988163471</v>
      </c>
      <c r="D380" s="333">
        <f>D378</f>
        <v>7681955.8988163471</v>
      </c>
      <c r="E380" s="333">
        <f>E378</f>
        <v>7681955.8988163471</v>
      </c>
      <c r="F380" s="333">
        <f>F378</f>
        <v>7681955.8988163471</v>
      </c>
      <c r="G380" s="98"/>
      <c r="H380" s="98"/>
      <c r="I380" s="98"/>
      <c r="J380" s="98"/>
    </row>
    <row r="381" spans="1:11" ht="15.75" x14ac:dyDescent="0.25">
      <c r="A381" s="98"/>
      <c r="B381" s="98"/>
      <c r="C381" s="98"/>
      <c r="D381" s="98"/>
      <c r="E381" s="98"/>
      <c r="F381" s="98"/>
      <c r="G381" s="98"/>
      <c r="H381" s="98"/>
      <c r="I381" s="98"/>
      <c r="J381" s="98"/>
    </row>
    <row r="382" spans="1:11" ht="15.75" x14ac:dyDescent="0.25">
      <c r="A382" s="98"/>
      <c r="B382" s="98"/>
      <c r="C382" s="98"/>
      <c r="D382" s="98"/>
      <c r="E382" s="98"/>
      <c r="F382" s="98"/>
      <c r="G382" s="98"/>
      <c r="H382" s="98"/>
      <c r="I382" s="98"/>
      <c r="J382" s="98"/>
    </row>
    <row r="383" spans="1:11" ht="15.75" x14ac:dyDescent="0.25">
      <c r="A383" s="98"/>
      <c r="B383" s="98"/>
      <c r="C383" s="98"/>
      <c r="D383" s="98"/>
      <c r="E383" s="98"/>
      <c r="F383" s="98"/>
      <c r="G383" s="98"/>
      <c r="H383" s="98"/>
      <c r="I383" s="98"/>
      <c r="J383" s="98"/>
    </row>
    <row r="384" spans="1:11" ht="15.75" x14ac:dyDescent="0.25">
      <c r="A384" s="91" t="s">
        <v>174</v>
      </c>
      <c r="B384" s="91"/>
      <c r="C384" s="91"/>
      <c r="D384" s="91"/>
      <c r="E384" s="91"/>
      <c r="F384" s="91"/>
      <c r="G384" s="98"/>
      <c r="H384" s="98"/>
      <c r="I384" s="98"/>
      <c r="J384" s="98"/>
    </row>
    <row r="385" spans="1:11" ht="3" customHeight="1" x14ac:dyDescent="0.25">
      <c r="A385" s="92"/>
      <c r="B385" s="92"/>
      <c r="C385" s="92"/>
      <c r="D385" s="92"/>
      <c r="E385" s="92"/>
      <c r="F385" s="92"/>
      <c r="G385" s="98"/>
      <c r="H385" s="98"/>
      <c r="I385" s="98"/>
      <c r="J385" s="98"/>
    </row>
    <row r="386" spans="1:11" ht="15.75" x14ac:dyDescent="0.25">
      <c r="A386" s="92" t="s">
        <v>547</v>
      </c>
      <c r="B386" s="92"/>
      <c r="C386" s="92"/>
      <c r="D386" s="92"/>
      <c r="E386" s="92"/>
      <c r="F386" s="92"/>
      <c r="G386" s="98"/>
      <c r="H386" s="98"/>
      <c r="I386" s="98"/>
      <c r="J386" s="98"/>
    </row>
    <row r="387" spans="1:11" ht="15.75" x14ac:dyDescent="0.25">
      <c r="A387" s="90" t="s">
        <v>169</v>
      </c>
      <c r="B387" s="93" t="s">
        <v>132</v>
      </c>
      <c r="C387" s="94"/>
      <c r="D387" s="94"/>
      <c r="E387" s="94"/>
      <c r="F387" s="95"/>
      <c r="G387" s="98"/>
      <c r="H387" s="98"/>
      <c r="I387" s="98"/>
      <c r="J387" s="98"/>
    </row>
    <row r="388" spans="1:11" ht="15.75" x14ac:dyDescent="0.25">
      <c r="A388" s="89"/>
      <c r="B388" s="63">
        <v>0</v>
      </c>
      <c r="C388" s="69">
        <v>1</v>
      </c>
      <c r="D388" s="90">
        <v>2</v>
      </c>
      <c r="E388" s="69">
        <v>3</v>
      </c>
      <c r="F388" s="90">
        <v>4</v>
      </c>
      <c r="G388" s="98"/>
      <c r="H388" s="98"/>
      <c r="I388" s="98"/>
      <c r="J388" s="98"/>
    </row>
    <row r="389" spans="1:11" ht="15.75" x14ac:dyDescent="0.25">
      <c r="A389" s="96" t="s">
        <v>170</v>
      </c>
      <c r="B389" s="332">
        <f>B367</f>
        <v>126782047.35333335</v>
      </c>
      <c r="C389" s="332">
        <f>$B$371</f>
        <v>7681955.8988163471</v>
      </c>
      <c r="D389" s="332">
        <f>$B$371</f>
        <v>7681955.8988163471</v>
      </c>
      <c r="E389" s="332">
        <f>$B$371</f>
        <v>7681955.8988163471</v>
      </c>
      <c r="F389" s="332">
        <f>$B$371</f>
        <v>7681955.8988163471</v>
      </c>
      <c r="G389" s="98"/>
      <c r="H389" s="98"/>
      <c r="I389" s="98"/>
      <c r="J389" s="98"/>
    </row>
    <row r="390" spans="1:11" ht="15.75" x14ac:dyDescent="0.25">
      <c r="A390" s="96" t="s">
        <v>173</v>
      </c>
      <c r="B390" s="332"/>
      <c r="C390" s="332"/>
      <c r="D390" s="332">
        <f>D389*J390</f>
        <v>3072782.3595265392</v>
      </c>
      <c r="E390" s="332">
        <f>D390</f>
        <v>3072782.3595265392</v>
      </c>
      <c r="F390" s="332">
        <f>D390</f>
        <v>3072782.3595265392</v>
      </c>
      <c r="G390" s="98" t="s">
        <v>473</v>
      </c>
      <c r="H390" s="98"/>
      <c r="I390" s="98"/>
      <c r="J390" s="334">
        <f>B13</f>
        <v>0.4</v>
      </c>
      <c r="K390" s="20" t="s">
        <v>472</v>
      </c>
    </row>
    <row r="391" spans="1:11" ht="15.75" x14ac:dyDescent="0.25">
      <c r="A391" s="82" t="s">
        <v>172</v>
      </c>
      <c r="B391" s="333">
        <f>SUM(B389:B390)</f>
        <v>126782047.35333335</v>
      </c>
      <c r="C391" s="333">
        <f>SUM(C389:C390)</f>
        <v>7681955.8988163471</v>
      </c>
      <c r="D391" s="333">
        <f>SUM(D389:D390)</f>
        <v>10754738.258342886</v>
      </c>
      <c r="E391" s="333">
        <f>SUM(E389:E390)</f>
        <v>10754738.258342886</v>
      </c>
      <c r="F391" s="333">
        <f>SUM(F389:F390)</f>
        <v>10754738.258342886</v>
      </c>
      <c r="G391" s="98"/>
      <c r="H391" s="98"/>
      <c r="I391" s="98"/>
      <c r="J391" s="98"/>
    </row>
    <row r="392" spans="1:11" ht="15.75" x14ac:dyDescent="0.25">
      <c r="A392" s="97"/>
      <c r="B392" s="80"/>
      <c r="C392" s="80"/>
      <c r="D392" s="80"/>
      <c r="E392" s="80"/>
      <c r="F392" s="80"/>
      <c r="G392" s="98"/>
      <c r="H392" s="98"/>
      <c r="I392" s="98"/>
      <c r="J392" s="98"/>
    </row>
    <row r="393" spans="1:11" ht="15.75" x14ac:dyDescent="0.25">
      <c r="A393" s="97" t="s">
        <v>325</v>
      </c>
      <c r="B393" s="80"/>
      <c r="C393" s="80"/>
      <c r="D393" s="80"/>
      <c r="E393" s="80"/>
      <c r="F393" s="80"/>
      <c r="G393" s="98"/>
      <c r="H393" s="98"/>
      <c r="I393" s="98"/>
      <c r="J393" s="98"/>
    </row>
    <row r="394" spans="1:11" ht="15.75" x14ac:dyDescent="0.25">
      <c r="A394" s="97" t="s">
        <v>326</v>
      </c>
      <c r="B394" s="335">
        <f>B12</f>
        <v>6.4500000000000002E-2</v>
      </c>
      <c r="C394" s="80"/>
      <c r="D394" s="80"/>
      <c r="E394" s="80"/>
      <c r="F394" s="80"/>
      <c r="G394" s="98"/>
      <c r="H394" s="98"/>
      <c r="I394" s="98"/>
      <c r="J394" s="98"/>
    </row>
    <row r="395" spans="1:11" ht="15.75" x14ac:dyDescent="0.25">
      <c r="A395" s="97" t="s">
        <v>327</v>
      </c>
      <c r="B395" s="80">
        <f>B391*B394</f>
        <v>8177442.0542900013</v>
      </c>
      <c r="C395" s="80"/>
      <c r="D395" s="80"/>
      <c r="E395" s="80"/>
      <c r="F395" s="80"/>
      <c r="G395" s="98"/>
      <c r="H395" s="98"/>
      <c r="I395" s="98"/>
      <c r="J395" s="98"/>
    </row>
    <row r="396" spans="1:11" ht="15.75" x14ac:dyDescent="0.25">
      <c r="A396" s="97" t="s">
        <v>328</v>
      </c>
      <c r="B396" s="80">
        <f>(B391+B395)*B394</f>
        <v>8704887.0667917058</v>
      </c>
      <c r="C396" s="80"/>
      <c r="D396" s="80"/>
      <c r="E396" s="80"/>
      <c r="F396" s="80"/>
      <c r="G396" s="98"/>
      <c r="H396" s="98"/>
      <c r="I396" s="98"/>
      <c r="J396" s="98"/>
    </row>
    <row r="397" spans="1:11" ht="15.75" x14ac:dyDescent="0.25">
      <c r="A397" s="97" t="s">
        <v>329</v>
      </c>
      <c r="B397" s="80">
        <f>(B391+B395+B396)*B394</f>
        <v>9266352.2825997714</v>
      </c>
      <c r="C397" s="80"/>
      <c r="D397" s="80"/>
      <c r="E397" s="80"/>
      <c r="F397" s="80"/>
      <c r="G397" s="98"/>
      <c r="H397" s="98"/>
      <c r="I397" s="98"/>
      <c r="J397" s="98"/>
    </row>
    <row r="398" spans="1:11" ht="15.75" x14ac:dyDescent="0.25">
      <c r="A398" s="97" t="s">
        <v>330</v>
      </c>
      <c r="B398" s="80">
        <f>(B391+B395+B396+B397)*B394</f>
        <v>9864032.0048274584</v>
      </c>
      <c r="C398" s="80"/>
      <c r="D398" s="80"/>
      <c r="E398" s="80"/>
      <c r="F398" s="80"/>
      <c r="G398" s="98"/>
      <c r="H398" s="98"/>
      <c r="I398" s="98"/>
      <c r="J398" s="98"/>
    </row>
    <row r="399" spans="1:11" ht="15.75" x14ac:dyDescent="0.25">
      <c r="A399" s="203"/>
      <c r="B399" s="98"/>
      <c r="C399" s="98"/>
      <c r="D399" s="98"/>
      <c r="E399" s="98"/>
      <c r="F399" s="98"/>
      <c r="G399" s="98"/>
      <c r="H399" s="98"/>
      <c r="I399" s="98"/>
      <c r="J399" s="98"/>
    </row>
    <row r="400" spans="1:11" ht="15.75" x14ac:dyDescent="0.25">
      <c r="A400" s="81" t="s">
        <v>175</v>
      </c>
      <c r="B400" s="81"/>
      <c r="C400" s="81"/>
      <c r="D400" s="81"/>
      <c r="E400" s="81"/>
      <c r="F400" s="81"/>
      <c r="G400" s="98"/>
      <c r="H400" s="98"/>
      <c r="I400" s="98"/>
      <c r="J400" s="98"/>
    </row>
    <row r="401" spans="1:10" ht="15.75" x14ac:dyDescent="0.25">
      <c r="A401" s="47" t="s">
        <v>169</v>
      </c>
      <c r="B401" s="81" t="s">
        <v>132</v>
      </c>
      <c r="C401" s="81"/>
      <c r="D401" s="81"/>
      <c r="E401" s="81"/>
      <c r="F401" s="81"/>
      <c r="G401" s="203"/>
      <c r="H401" s="98"/>
      <c r="I401" s="98"/>
      <c r="J401" s="98"/>
    </row>
    <row r="402" spans="1:10" ht="15.75" x14ac:dyDescent="0.25">
      <c r="A402" s="82"/>
      <c r="B402" s="47">
        <v>0</v>
      </c>
      <c r="C402" s="47">
        <v>1</v>
      </c>
      <c r="D402" s="47">
        <v>2</v>
      </c>
      <c r="E402" s="47">
        <v>3</v>
      </c>
      <c r="F402" s="47">
        <v>4</v>
      </c>
      <c r="G402" s="98"/>
      <c r="H402" s="98"/>
      <c r="I402" s="98"/>
      <c r="J402" s="98"/>
    </row>
    <row r="403" spans="1:10" ht="15.75" x14ac:dyDescent="0.25">
      <c r="A403" s="336" t="s">
        <v>170</v>
      </c>
      <c r="B403" s="80">
        <f>B363</f>
        <v>126782047.35333335</v>
      </c>
      <c r="C403" s="337">
        <f>B395</f>
        <v>8177442.0542900013</v>
      </c>
      <c r="D403" s="338">
        <f>B396</f>
        <v>8704887.0667917058</v>
      </c>
      <c r="E403" s="339">
        <f>B397</f>
        <v>9266352.2825997714</v>
      </c>
      <c r="F403" s="76">
        <f>B398</f>
        <v>9864032.0048274584</v>
      </c>
      <c r="G403" s="98"/>
      <c r="H403" s="98"/>
      <c r="I403" s="98"/>
      <c r="J403" s="98"/>
    </row>
    <row r="404" spans="1:10" ht="15.75" x14ac:dyDescent="0.25">
      <c r="A404" s="77"/>
      <c r="B404" s="340"/>
      <c r="C404" s="341"/>
      <c r="D404" s="307"/>
      <c r="E404" s="341"/>
      <c r="F404" s="307"/>
      <c r="G404" s="98"/>
      <c r="H404" s="98"/>
      <c r="I404" s="98"/>
      <c r="J404" s="98"/>
    </row>
    <row r="405" spans="1:10" ht="15.75" x14ac:dyDescent="0.25">
      <c r="A405" s="98"/>
      <c r="B405" s="203"/>
      <c r="C405" s="203"/>
      <c r="D405" s="80"/>
      <c r="E405" s="80"/>
      <c r="F405" s="98"/>
      <c r="G405" s="98"/>
      <c r="H405" s="98"/>
      <c r="I405" s="98"/>
      <c r="J405" s="98"/>
    </row>
    <row r="406" spans="1:10" ht="15.75" x14ac:dyDescent="0.25">
      <c r="A406" s="247" t="s">
        <v>331</v>
      </c>
      <c r="B406" s="342">
        <f>D390</f>
        <v>3072782.3595265392</v>
      </c>
      <c r="C406" s="98"/>
      <c r="D406" s="98"/>
      <c r="E406" s="98"/>
      <c r="F406" s="98"/>
      <c r="G406" s="98"/>
      <c r="H406" s="98"/>
      <c r="I406" s="98"/>
      <c r="J406" s="98"/>
    </row>
    <row r="407" spans="1:10" ht="15.75" x14ac:dyDescent="0.25">
      <c r="A407" s="98" t="s">
        <v>332</v>
      </c>
      <c r="B407" s="343">
        <f>C403+B406*(1+B394)^1</f>
        <v>11448418.876006002</v>
      </c>
      <c r="C407" s="98" t="s">
        <v>324</v>
      </c>
      <c r="D407" s="343">
        <f>B407-B395</f>
        <v>3270976.8217160003</v>
      </c>
      <c r="E407" s="98"/>
      <c r="F407" s="98"/>
      <c r="G407" s="98"/>
      <c r="H407" s="98"/>
      <c r="I407" s="98"/>
      <c r="J407" s="98"/>
    </row>
    <row r="408" spans="1:10" ht="15.75" x14ac:dyDescent="0.25">
      <c r="A408" s="98" t="s">
        <v>333</v>
      </c>
      <c r="B408" s="343">
        <f>D403+B406*(1+B394)^2</f>
        <v>12186841.89350839</v>
      </c>
      <c r="C408" s="98"/>
      <c r="D408" s="343">
        <f>B408-B396</f>
        <v>3481954.8267166838</v>
      </c>
      <c r="E408" s="98"/>
      <c r="F408" s="98"/>
      <c r="G408" s="98"/>
      <c r="H408" s="98"/>
      <c r="I408" s="98"/>
      <c r="J408" s="98"/>
    </row>
    <row r="409" spans="1:10" ht="15.75" x14ac:dyDescent="0.25">
      <c r="A409" s="98" t="s">
        <v>334</v>
      </c>
      <c r="B409" s="343">
        <f>E403+B406*(1+B394)^3</f>
        <v>12972893.195639681</v>
      </c>
      <c r="C409" s="98"/>
      <c r="D409" s="343">
        <f>B409-B397</f>
        <v>3706540.9130399097</v>
      </c>
      <c r="E409" s="98"/>
      <c r="F409" s="98"/>
      <c r="G409" s="98"/>
      <c r="H409" s="98"/>
      <c r="I409" s="98"/>
      <c r="J409" s="98"/>
    </row>
    <row r="410" spans="1:10" ht="15.75" x14ac:dyDescent="0.25">
      <c r="A410" s="98" t="s">
        <v>335</v>
      </c>
      <c r="B410" s="343">
        <f>F403+B406*(1+B394)^4</f>
        <v>13809644.806758441</v>
      </c>
      <c r="C410" s="98"/>
      <c r="D410" s="343">
        <f>B410-B398</f>
        <v>3945612.8019309826</v>
      </c>
      <c r="E410" s="98"/>
      <c r="F410" s="98"/>
      <c r="G410" s="98"/>
      <c r="H410" s="98"/>
      <c r="I410" s="98"/>
      <c r="J410" s="98"/>
    </row>
    <row r="411" spans="1:10" ht="15.75" x14ac:dyDescent="0.25">
      <c r="A411" s="98"/>
      <c r="B411" s="343"/>
      <c r="C411" s="98"/>
      <c r="D411" s="343"/>
      <c r="E411" s="98"/>
      <c r="F411" s="98"/>
      <c r="G411" s="98"/>
      <c r="H411" s="98"/>
      <c r="I411" s="98"/>
      <c r="J411" s="98"/>
    </row>
    <row r="412" spans="1:10" ht="15.75" x14ac:dyDescent="0.25">
      <c r="A412" s="81" t="s">
        <v>176</v>
      </c>
      <c r="B412" s="81"/>
      <c r="C412" s="81"/>
      <c r="D412" s="81"/>
      <c r="E412" s="81"/>
      <c r="F412" s="81"/>
      <c r="G412" s="98"/>
      <c r="H412" s="98"/>
      <c r="I412" s="98"/>
      <c r="J412" s="98"/>
    </row>
    <row r="413" spans="1:10" ht="15.75" x14ac:dyDescent="0.25">
      <c r="A413" s="47" t="s">
        <v>169</v>
      </c>
      <c r="B413" s="81" t="s">
        <v>132</v>
      </c>
      <c r="C413" s="81"/>
      <c r="D413" s="81"/>
      <c r="E413" s="81"/>
      <c r="F413" s="81"/>
      <c r="G413" s="98"/>
      <c r="H413" s="98"/>
      <c r="I413" s="98"/>
      <c r="J413" s="98"/>
    </row>
    <row r="414" spans="1:10" ht="15.75" x14ac:dyDescent="0.25">
      <c r="A414" s="82"/>
      <c r="B414" s="47">
        <v>0</v>
      </c>
      <c r="C414" s="47">
        <v>1</v>
      </c>
      <c r="D414" s="47">
        <v>2</v>
      </c>
      <c r="E414" s="47">
        <v>3</v>
      </c>
      <c r="F414" s="47">
        <v>4</v>
      </c>
      <c r="G414" s="98"/>
      <c r="H414" s="98"/>
      <c r="I414" s="98"/>
      <c r="J414" s="98"/>
    </row>
    <row r="415" spans="1:10" ht="15.75" x14ac:dyDescent="0.25">
      <c r="A415" s="96" t="s">
        <v>170</v>
      </c>
      <c r="B415" s="332">
        <f>B403</f>
        <v>126782047.35333335</v>
      </c>
      <c r="C415" s="332">
        <f>C403</f>
        <v>8177442.0542900013</v>
      </c>
      <c r="D415" s="332">
        <f>D403</f>
        <v>8704887.0667917058</v>
      </c>
      <c r="E415" s="332">
        <f>E403</f>
        <v>9266352.2825997714</v>
      </c>
      <c r="F415" s="332">
        <f>F403</f>
        <v>9864032.0048274584</v>
      </c>
      <c r="G415" s="98"/>
      <c r="H415" s="98"/>
      <c r="I415" s="98"/>
      <c r="J415" s="98"/>
    </row>
    <row r="416" spans="1:10" ht="15.75" x14ac:dyDescent="0.25">
      <c r="A416" s="96" t="s">
        <v>177</v>
      </c>
      <c r="B416" s="332"/>
      <c r="C416" s="332">
        <f>D407</f>
        <v>3270976.8217160003</v>
      </c>
      <c r="D416" s="332">
        <f>D408</f>
        <v>3481954.8267166838</v>
      </c>
      <c r="E416" s="332">
        <f>D409</f>
        <v>3706540.9130399097</v>
      </c>
      <c r="F416" s="344">
        <f>D410</f>
        <v>3945612.8019309826</v>
      </c>
      <c r="G416" s="98"/>
      <c r="H416" s="98"/>
      <c r="I416" s="98"/>
      <c r="J416" s="98"/>
    </row>
    <row r="417" spans="1:13" ht="15.75" x14ac:dyDescent="0.25">
      <c r="A417" s="82" t="s">
        <v>172</v>
      </c>
      <c r="B417" s="333">
        <f>SUM(B415:B416)</f>
        <v>126782047.35333335</v>
      </c>
      <c r="C417" s="333">
        <f>SUM(C415:C416)</f>
        <v>11448418.876006002</v>
      </c>
      <c r="D417" s="333">
        <f>SUM(D415:D416)</f>
        <v>12186841.89350839</v>
      </c>
      <c r="E417" s="333">
        <f>SUM(E415:E416)</f>
        <v>12972893.195639681</v>
      </c>
      <c r="F417" s="333">
        <f>SUM(F415:F416)</f>
        <v>13809644.806758441</v>
      </c>
      <c r="G417" s="98"/>
      <c r="H417" s="98"/>
      <c r="I417" s="98"/>
      <c r="J417" s="98"/>
    </row>
    <row r="418" spans="1:13" ht="15.75" x14ac:dyDescent="0.25">
      <c r="A418" s="98"/>
      <c r="B418" s="98"/>
      <c r="C418" s="98"/>
      <c r="D418" s="98"/>
      <c r="E418" s="98"/>
      <c r="F418" s="98"/>
      <c r="G418" s="98"/>
      <c r="H418" s="98"/>
      <c r="I418" s="98"/>
      <c r="J418" s="98"/>
    </row>
    <row r="419" spans="1:13" ht="15.75" x14ac:dyDescent="0.25">
      <c r="A419" s="98"/>
      <c r="B419" s="98"/>
      <c r="C419" s="98"/>
      <c r="D419" s="98"/>
      <c r="E419" s="98"/>
      <c r="F419" s="98"/>
      <c r="G419" s="345"/>
      <c r="H419" s="98"/>
      <c r="I419" s="98"/>
      <c r="J419" s="98"/>
    </row>
    <row r="420" spans="1:13" ht="15.75" x14ac:dyDescent="0.25">
      <c r="A420" s="81" t="s">
        <v>184</v>
      </c>
      <c r="B420" s="81"/>
      <c r="C420" s="81"/>
      <c r="D420" s="81"/>
      <c r="E420" s="81"/>
      <c r="F420" s="81"/>
      <c r="G420" s="346"/>
      <c r="H420" s="98"/>
      <c r="I420" s="98"/>
      <c r="J420" s="98"/>
    </row>
    <row r="421" spans="1:13" ht="15.75" x14ac:dyDescent="0.25">
      <c r="A421" s="83" t="s">
        <v>185</v>
      </c>
      <c r="B421" s="84"/>
      <c r="C421" s="84"/>
      <c r="D421" s="84"/>
      <c r="E421" s="84"/>
      <c r="F421" s="85"/>
      <c r="G421" s="346"/>
      <c r="H421" s="98"/>
      <c r="I421" s="98"/>
      <c r="J421" s="98"/>
    </row>
    <row r="422" spans="1:13" ht="15.75" x14ac:dyDescent="0.25">
      <c r="A422" s="83"/>
      <c r="B422" s="84"/>
      <c r="C422" s="85"/>
      <c r="D422" s="83" t="s">
        <v>132</v>
      </c>
      <c r="E422" s="84"/>
      <c r="F422" s="85"/>
      <c r="G422" s="347"/>
      <c r="H422" s="98"/>
      <c r="I422" s="98"/>
      <c r="J422" s="98"/>
    </row>
    <row r="423" spans="1:13" ht="15.75" x14ac:dyDescent="0.25">
      <c r="A423" s="82" t="s">
        <v>147</v>
      </c>
      <c r="B423" s="82">
        <v>0</v>
      </c>
      <c r="C423" s="82">
        <v>1</v>
      </c>
      <c r="D423" s="82">
        <v>2</v>
      </c>
      <c r="E423" s="82">
        <v>3</v>
      </c>
      <c r="F423" s="82">
        <v>4</v>
      </c>
      <c r="G423" s="346"/>
      <c r="H423" s="98"/>
      <c r="I423" s="98"/>
      <c r="J423" s="98"/>
    </row>
    <row r="424" spans="1:13" ht="15.75" x14ac:dyDescent="0.25">
      <c r="A424" s="348" t="s">
        <v>186</v>
      </c>
      <c r="B424" s="98"/>
      <c r="C424" s="98"/>
      <c r="D424" s="98"/>
      <c r="E424" s="98"/>
      <c r="F424" s="205"/>
      <c r="G424" s="98"/>
      <c r="H424" s="98"/>
      <c r="I424" s="98"/>
      <c r="J424" s="98" t="s">
        <v>471</v>
      </c>
      <c r="K424" s="20" t="s">
        <v>470</v>
      </c>
      <c r="L424" s="20" t="s">
        <v>469</v>
      </c>
      <c r="M424" s="20" t="s">
        <v>468</v>
      </c>
    </row>
    <row r="425" spans="1:13" ht="15.75" x14ac:dyDescent="0.25">
      <c r="A425" s="349" t="s">
        <v>187</v>
      </c>
      <c r="B425" s="199">
        <f>M425</f>
        <v>99957962.050666675</v>
      </c>
      <c r="C425" s="199">
        <f t="shared" ref="C425:F426" si="29">B425*(1+$B$12)</f>
        <v>106405250.60293467</v>
      </c>
      <c r="D425" s="199">
        <f t="shared" si="29"/>
        <v>113268389.26682396</v>
      </c>
      <c r="E425" s="199">
        <f t="shared" si="29"/>
        <v>120574200.37453412</v>
      </c>
      <c r="F425" s="199">
        <f t="shared" si="29"/>
        <v>128351236.29869157</v>
      </c>
      <c r="G425" s="98"/>
      <c r="H425" s="98" t="s">
        <v>467</v>
      </c>
      <c r="I425" s="98"/>
      <c r="J425" s="135">
        <f>(B10*B11)*B14</f>
        <v>2419200000</v>
      </c>
      <c r="K425" s="2">
        <f>(C235*80%)</f>
        <v>1219704455.392</v>
      </c>
      <c r="L425" s="2">
        <f>J425-K425</f>
        <v>1199495544.608</v>
      </c>
      <c r="M425" s="2">
        <f>L425/12</f>
        <v>99957962.050666675</v>
      </c>
    </row>
    <row r="426" spans="1:13" ht="15.75" x14ac:dyDescent="0.25">
      <c r="A426" s="349" t="s">
        <v>188</v>
      </c>
      <c r="B426" s="199">
        <f>M426</f>
        <v>86400000</v>
      </c>
      <c r="C426" s="199">
        <f t="shared" si="29"/>
        <v>91972800</v>
      </c>
      <c r="D426" s="199">
        <f t="shared" si="29"/>
        <v>97905045.599999994</v>
      </c>
      <c r="E426" s="199">
        <f t="shared" si="29"/>
        <v>104219921.0412</v>
      </c>
      <c r="F426" s="199">
        <f t="shared" si="29"/>
        <v>110942105.9483574</v>
      </c>
      <c r="G426" s="98"/>
      <c r="H426" s="98" t="s">
        <v>466</v>
      </c>
      <c r="I426" s="98"/>
      <c r="J426" s="135">
        <f>(B10*B11)*B15</f>
        <v>1036800000</v>
      </c>
      <c r="M426" s="1">
        <f>J426/12</f>
        <v>86400000</v>
      </c>
    </row>
    <row r="427" spans="1:13" ht="15.75" x14ac:dyDescent="0.25">
      <c r="A427" s="68" t="s">
        <v>189</v>
      </c>
      <c r="B427" s="350">
        <f>SUM(B425:B426)</f>
        <v>186357962.05066669</v>
      </c>
      <c r="C427" s="350">
        <f>SUM(C425:C426)</f>
        <v>198378050.60293466</v>
      </c>
      <c r="D427" s="350">
        <f>SUM(D425:D426)</f>
        <v>211173434.86682397</v>
      </c>
      <c r="E427" s="350">
        <f>SUM(E425:E426)</f>
        <v>224794121.41573411</v>
      </c>
      <c r="F427" s="350">
        <f>SUM(F425:F426)</f>
        <v>239293342.24704897</v>
      </c>
      <c r="G427" s="98"/>
      <c r="H427" s="98"/>
      <c r="I427" s="98"/>
      <c r="J427" s="98"/>
    </row>
    <row r="428" spans="1:13" ht="15.75" x14ac:dyDescent="0.25">
      <c r="A428" s="98"/>
      <c r="B428" s="98"/>
      <c r="C428" s="98"/>
      <c r="D428" s="98"/>
      <c r="E428" s="98"/>
      <c r="F428" s="205"/>
      <c r="G428" s="98"/>
      <c r="H428" s="98"/>
      <c r="I428" s="98"/>
      <c r="J428" s="98"/>
    </row>
    <row r="429" spans="1:13" ht="15.75" x14ac:dyDescent="0.25">
      <c r="A429" s="54" t="s">
        <v>190</v>
      </c>
      <c r="B429" s="197" t="s">
        <v>192</v>
      </c>
      <c r="C429" s="197" t="s">
        <v>192</v>
      </c>
      <c r="D429" s="197" t="s">
        <v>192</v>
      </c>
      <c r="E429" s="197" t="s">
        <v>192</v>
      </c>
      <c r="F429" s="197" t="s">
        <v>192</v>
      </c>
      <c r="G429" s="98"/>
      <c r="H429" s="98"/>
      <c r="I429" s="98"/>
      <c r="J429" s="98"/>
    </row>
    <row r="430" spans="1:13" ht="15.75" x14ac:dyDescent="0.25">
      <c r="A430" s="197" t="s">
        <v>191</v>
      </c>
      <c r="B430" s="197">
        <v>0</v>
      </c>
      <c r="C430" s="197">
        <v>0</v>
      </c>
      <c r="D430" s="197">
        <v>0</v>
      </c>
      <c r="E430" s="197">
        <v>0</v>
      </c>
      <c r="F430" s="197">
        <v>0</v>
      </c>
      <c r="G430" s="98"/>
      <c r="H430" s="98"/>
      <c r="I430" s="98"/>
      <c r="J430" s="98"/>
    </row>
    <row r="431" spans="1:13" ht="15.75" x14ac:dyDescent="0.25">
      <c r="A431" s="197" t="s">
        <v>193</v>
      </c>
      <c r="B431" s="351">
        <f>B427-B430</f>
        <v>186357962.05066669</v>
      </c>
      <c r="C431" s="351">
        <f>C427-C430</f>
        <v>198378050.60293466</v>
      </c>
      <c r="D431" s="351">
        <f>D427-D430</f>
        <v>211173434.86682397</v>
      </c>
      <c r="E431" s="351">
        <f>E427-E430</f>
        <v>224794121.41573411</v>
      </c>
      <c r="F431" s="351">
        <f>F427-F430</f>
        <v>239293342.24704897</v>
      </c>
      <c r="G431" s="98"/>
      <c r="H431" s="98"/>
      <c r="I431" s="98"/>
      <c r="J431" s="98"/>
    </row>
    <row r="432" spans="1:13" ht="30" customHeight="1" x14ac:dyDescent="0.25">
      <c r="A432" s="352" t="s">
        <v>194</v>
      </c>
      <c r="B432" s="350">
        <f>B431</f>
        <v>186357962.05066669</v>
      </c>
      <c r="C432" s="350">
        <f>C431-B431</f>
        <v>12020088.552267969</v>
      </c>
      <c r="D432" s="350">
        <f>D431-C431</f>
        <v>12795384.263889313</v>
      </c>
      <c r="E432" s="350">
        <f>E431-D431</f>
        <v>13620686.548910141</v>
      </c>
      <c r="F432" s="350">
        <f>F431-E431</f>
        <v>14499220.831314862</v>
      </c>
      <c r="G432" s="98"/>
      <c r="H432" s="98"/>
      <c r="I432" s="98"/>
      <c r="J432" s="98"/>
    </row>
    <row r="433" spans="1:10" ht="15.75" x14ac:dyDescent="0.25">
      <c r="A433" s="98"/>
      <c r="B433" s="98"/>
      <c r="C433" s="98"/>
      <c r="D433" s="98"/>
      <c r="E433" s="98"/>
      <c r="F433" s="98"/>
      <c r="G433" s="98"/>
      <c r="H433" s="98"/>
      <c r="I433" s="98"/>
      <c r="J433" s="98"/>
    </row>
    <row r="434" spans="1:10" ht="15.75" x14ac:dyDescent="0.25">
      <c r="A434" s="247" t="s">
        <v>340</v>
      </c>
      <c r="B434" s="98"/>
      <c r="C434" s="98"/>
      <c r="D434" s="98"/>
      <c r="E434" s="98"/>
      <c r="F434" s="98"/>
      <c r="G434" s="98"/>
      <c r="H434" s="98"/>
      <c r="I434" s="98"/>
      <c r="J434" s="98"/>
    </row>
    <row r="435" spans="1:10" ht="15.75" x14ac:dyDescent="0.25">
      <c r="A435" s="98" t="s">
        <v>336</v>
      </c>
      <c r="B435" s="135">
        <f>D24</f>
        <v>930000</v>
      </c>
      <c r="C435" s="98"/>
      <c r="D435" s="98"/>
      <c r="E435" s="98"/>
      <c r="F435" s="98"/>
      <c r="G435" s="98"/>
      <c r="H435" s="98"/>
      <c r="I435" s="98"/>
      <c r="J435" s="98"/>
    </row>
    <row r="436" spans="1:10" ht="15.75" x14ac:dyDescent="0.25">
      <c r="A436" s="98" t="s">
        <v>337</v>
      </c>
      <c r="B436" s="135">
        <f>D36</f>
        <v>4340000</v>
      </c>
      <c r="C436" s="98"/>
      <c r="D436" s="98"/>
      <c r="E436" s="98"/>
      <c r="F436" s="98"/>
      <c r="G436" s="98"/>
      <c r="H436" s="98"/>
      <c r="I436" s="98"/>
      <c r="J436" s="98"/>
    </row>
    <row r="437" spans="1:10" ht="15.75" x14ac:dyDescent="0.25">
      <c r="A437" s="98" t="s">
        <v>338</v>
      </c>
      <c r="B437" s="135">
        <f>D58</f>
        <v>2780000</v>
      </c>
      <c r="C437" s="98"/>
      <c r="D437" s="98"/>
      <c r="E437" s="98"/>
      <c r="F437" s="98"/>
      <c r="G437" s="98"/>
      <c r="H437" s="98"/>
      <c r="I437" s="98"/>
      <c r="J437" s="98"/>
    </row>
    <row r="438" spans="1:10" ht="15.75" x14ac:dyDescent="0.25">
      <c r="A438" s="98" t="s">
        <v>339</v>
      </c>
      <c r="B438" s="135">
        <f>D72</f>
        <v>9750000</v>
      </c>
      <c r="C438" s="98"/>
      <c r="D438" s="98"/>
      <c r="E438" s="98"/>
      <c r="F438" s="98"/>
      <c r="G438" s="98"/>
      <c r="H438" s="98"/>
      <c r="I438" s="98"/>
      <c r="J438" s="98"/>
    </row>
    <row r="439" spans="1:10" ht="15.75" x14ac:dyDescent="0.25">
      <c r="A439" s="247" t="s">
        <v>341</v>
      </c>
      <c r="B439" s="353">
        <f>SUM(B435:B438)</f>
        <v>17800000</v>
      </c>
      <c r="C439" s="98"/>
      <c r="D439" s="98"/>
      <c r="E439" s="98"/>
      <c r="F439" s="98"/>
      <c r="G439" s="98"/>
      <c r="H439" s="98"/>
      <c r="I439" s="98"/>
      <c r="J439" s="98"/>
    </row>
    <row r="440" spans="1:10" ht="15.75" x14ac:dyDescent="0.25">
      <c r="A440" s="98"/>
      <c r="B440" s="98"/>
      <c r="C440" s="98"/>
      <c r="D440" s="98"/>
      <c r="E440" s="98"/>
      <c r="F440" s="98"/>
      <c r="G440" s="98"/>
      <c r="H440" s="98"/>
      <c r="I440" s="98"/>
      <c r="J440" s="98"/>
    </row>
    <row r="441" spans="1:10" ht="15.75" x14ac:dyDescent="0.25">
      <c r="A441" s="98" t="s">
        <v>196</v>
      </c>
      <c r="B441" s="240">
        <f>B403</f>
        <v>126782047.35333335</v>
      </c>
      <c r="C441" s="98"/>
      <c r="D441" s="98"/>
      <c r="E441" s="98"/>
      <c r="F441" s="98"/>
      <c r="G441" s="98"/>
      <c r="H441" s="98"/>
      <c r="I441" s="98"/>
      <c r="J441" s="98"/>
    </row>
    <row r="442" spans="1:10" ht="15.75" x14ac:dyDescent="0.25">
      <c r="A442" s="81" t="s">
        <v>548</v>
      </c>
      <c r="B442" s="81"/>
      <c r="C442" s="81"/>
      <c r="D442" s="81"/>
      <c r="E442" s="81"/>
      <c r="F442" s="81"/>
      <c r="G442" s="98"/>
      <c r="H442" s="98"/>
      <c r="I442" s="98"/>
      <c r="J442" s="98"/>
    </row>
    <row r="443" spans="1:10" ht="15.75" x14ac:dyDescent="0.25">
      <c r="A443" s="82"/>
      <c r="B443" s="82"/>
      <c r="C443" s="82"/>
      <c r="D443" s="47" t="s">
        <v>132</v>
      </c>
      <c r="E443" s="47"/>
      <c r="F443" s="82"/>
      <c r="G443" s="98"/>
      <c r="H443" s="98"/>
      <c r="I443" s="98"/>
      <c r="J443" s="98"/>
    </row>
    <row r="444" spans="1:10" ht="15.75" x14ac:dyDescent="0.25">
      <c r="A444" s="82" t="s">
        <v>147</v>
      </c>
      <c r="B444" s="82">
        <v>0</v>
      </c>
      <c r="C444" s="82">
        <v>1</v>
      </c>
      <c r="D444" s="82">
        <v>2</v>
      </c>
      <c r="E444" s="82">
        <v>3</v>
      </c>
      <c r="F444" s="82">
        <v>4</v>
      </c>
      <c r="G444" s="98"/>
      <c r="H444" s="98"/>
      <c r="I444" s="98"/>
      <c r="J444" s="98"/>
    </row>
    <row r="445" spans="1:10" ht="15.75" x14ac:dyDescent="0.25">
      <c r="A445" s="205" t="s">
        <v>195</v>
      </c>
      <c r="B445" s="354">
        <f>-B439</f>
        <v>-17800000</v>
      </c>
      <c r="C445" s="98"/>
      <c r="D445" s="98"/>
      <c r="E445" s="98"/>
      <c r="F445" s="278"/>
      <c r="G445" s="98"/>
      <c r="H445" s="98"/>
      <c r="I445" s="98"/>
      <c r="J445" s="98"/>
    </row>
    <row r="446" spans="1:10" ht="15.75" x14ac:dyDescent="0.25">
      <c r="A446" s="349" t="s">
        <v>196</v>
      </c>
      <c r="B446" s="199">
        <f>-B441</f>
        <v>-126782047.35333335</v>
      </c>
      <c r="C446" s="355">
        <f>-$C$391</f>
        <v>-7681955.8988163471</v>
      </c>
      <c r="D446" s="355">
        <f>-$C$391</f>
        <v>-7681955.8988163471</v>
      </c>
      <c r="E446" s="355">
        <f>-$C$391</f>
        <v>-7681955.8988163471</v>
      </c>
      <c r="F446" s="355">
        <f>-$C$391</f>
        <v>-7681955.8988163471</v>
      </c>
      <c r="G446" s="98"/>
      <c r="H446" s="98"/>
      <c r="I446" s="98"/>
      <c r="J446" s="98"/>
    </row>
    <row r="447" spans="1:10" ht="15.75" x14ac:dyDescent="0.25">
      <c r="A447" s="92" t="s">
        <v>197</v>
      </c>
      <c r="B447" s="356">
        <f>SUM(B444:B446)</f>
        <v>-144582047.35333335</v>
      </c>
      <c r="C447" s="357">
        <f>SUM(C446)</f>
        <v>-7681955.8988163471</v>
      </c>
      <c r="D447" s="357">
        <f>SUM(D446)</f>
        <v>-7681955.8988163471</v>
      </c>
      <c r="E447" s="357">
        <f>SUM(E446)</f>
        <v>-7681955.8988163471</v>
      </c>
      <c r="F447" s="357">
        <f>SUM(F446)</f>
        <v>-7681955.8988163471</v>
      </c>
      <c r="G447" s="98"/>
      <c r="H447" s="98"/>
      <c r="I447" s="98"/>
      <c r="J447" s="98"/>
    </row>
    <row r="448" spans="1:10" ht="15.75" x14ac:dyDescent="0.25">
      <c r="A448" s="98"/>
      <c r="B448" s="98"/>
      <c r="C448" s="98"/>
      <c r="D448" s="98"/>
      <c r="E448" s="98"/>
      <c r="F448" s="98"/>
      <c r="G448" s="98"/>
      <c r="H448" s="98"/>
      <c r="I448" s="98"/>
      <c r="J448" s="98"/>
    </row>
    <row r="449" spans="1:10" ht="15.75" x14ac:dyDescent="0.25">
      <c r="A449" s="98"/>
      <c r="B449" s="98"/>
      <c r="C449" s="98"/>
      <c r="D449" s="98"/>
      <c r="E449" s="98"/>
      <c r="F449" s="98"/>
      <c r="G449" s="98"/>
      <c r="H449" s="98"/>
      <c r="I449" s="98"/>
      <c r="J449" s="98"/>
    </row>
    <row r="450" spans="1:10" ht="15.75" x14ac:dyDescent="0.25">
      <c r="A450" s="81" t="s">
        <v>388</v>
      </c>
      <c r="B450" s="81"/>
      <c r="C450" s="81"/>
      <c r="D450" s="81"/>
      <c r="E450" s="81"/>
      <c r="F450" s="81"/>
      <c r="G450" s="81"/>
      <c r="H450" s="98"/>
      <c r="I450" s="98"/>
      <c r="J450" s="98"/>
    </row>
    <row r="451" spans="1:10" ht="15.75" x14ac:dyDescent="0.25">
      <c r="A451" s="81" t="s">
        <v>147</v>
      </c>
      <c r="B451" s="358"/>
      <c r="C451" s="359"/>
      <c r="D451" s="360" t="s">
        <v>132</v>
      </c>
      <c r="E451" s="358"/>
      <c r="F451" s="358"/>
      <c r="G451" s="359"/>
      <c r="H451" s="98"/>
      <c r="I451" s="98"/>
      <c r="J451" s="98"/>
    </row>
    <row r="452" spans="1:10" ht="15.75" x14ac:dyDescent="0.25">
      <c r="A452" s="81"/>
      <c r="B452" s="361">
        <v>0</v>
      </c>
      <c r="C452" s="82">
        <v>1</v>
      </c>
      <c r="D452" s="82">
        <v>2</v>
      </c>
      <c r="E452" s="82">
        <v>3</v>
      </c>
      <c r="F452" s="82">
        <v>4</v>
      </c>
      <c r="G452" s="82">
        <v>5</v>
      </c>
      <c r="H452" s="98"/>
      <c r="I452" s="98"/>
      <c r="J452" s="98"/>
    </row>
    <row r="453" spans="1:10" ht="15.75" x14ac:dyDescent="0.25">
      <c r="A453" s="77" t="s">
        <v>198</v>
      </c>
      <c r="B453" s="77"/>
      <c r="C453" s="77"/>
      <c r="D453" s="77"/>
      <c r="E453" s="77"/>
      <c r="F453" s="77"/>
      <c r="G453" s="290">
        <f>I149</f>
        <v>1080000</v>
      </c>
      <c r="H453" s="98"/>
      <c r="I453" s="98"/>
      <c r="J453" s="98"/>
    </row>
    <row r="454" spans="1:10" ht="15.75" x14ac:dyDescent="0.25">
      <c r="A454" s="349" t="s">
        <v>199</v>
      </c>
      <c r="B454" s="197"/>
      <c r="C454" s="197"/>
      <c r="D454" s="197"/>
      <c r="E454" s="197"/>
      <c r="F454" s="197"/>
      <c r="G454" s="199">
        <f>I164</f>
        <v>890000</v>
      </c>
      <c r="H454" s="98"/>
      <c r="I454" s="98"/>
      <c r="J454" s="98"/>
    </row>
    <row r="455" spans="1:10" ht="15.75" x14ac:dyDescent="0.25">
      <c r="A455" s="349" t="s">
        <v>200</v>
      </c>
      <c r="B455" s="197"/>
      <c r="C455" s="197"/>
      <c r="D455" s="197"/>
      <c r="E455" s="197"/>
      <c r="F455" s="197"/>
      <c r="G455" s="197" t="s">
        <v>31</v>
      </c>
      <c r="H455" s="98"/>
      <c r="I455" s="98"/>
      <c r="J455" s="98"/>
    </row>
    <row r="456" spans="1:10" ht="15.75" x14ac:dyDescent="0.25">
      <c r="A456" s="349" t="s">
        <v>201</v>
      </c>
      <c r="B456" s="197"/>
      <c r="C456" s="197"/>
      <c r="D456" s="197"/>
      <c r="E456" s="197"/>
      <c r="F456" s="197"/>
      <c r="G456" s="197" t="s">
        <v>31</v>
      </c>
      <c r="H456" s="98"/>
      <c r="I456" s="98"/>
      <c r="J456" s="98"/>
    </row>
    <row r="457" spans="1:10" ht="15.75" x14ac:dyDescent="0.25">
      <c r="A457" s="349" t="s">
        <v>202</v>
      </c>
      <c r="B457" s="197"/>
      <c r="C457" s="197"/>
      <c r="D457" s="197"/>
      <c r="E457" s="197"/>
      <c r="F457" s="197"/>
      <c r="G457" s="197"/>
      <c r="H457" s="98"/>
      <c r="I457" s="98"/>
      <c r="J457" s="98"/>
    </row>
    <row r="458" spans="1:10" ht="15.75" x14ac:dyDescent="0.25">
      <c r="A458" s="349" t="s">
        <v>203</v>
      </c>
      <c r="B458" s="197"/>
      <c r="C458" s="197"/>
      <c r="D458" s="197"/>
      <c r="E458" s="197"/>
      <c r="F458" s="197"/>
      <c r="G458" s="199">
        <f>G453+G454</f>
        <v>1970000</v>
      </c>
      <c r="H458" s="135"/>
      <c r="I458" s="98"/>
      <c r="J458" s="98"/>
    </row>
    <row r="459" spans="1:10" ht="15.75" x14ac:dyDescent="0.25">
      <c r="A459" s="349" t="s">
        <v>196</v>
      </c>
      <c r="B459" s="197"/>
      <c r="C459" s="197"/>
      <c r="D459" s="197"/>
      <c r="E459" s="197"/>
      <c r="F459" s="197"/>
      <c r="G459" s="199">
        <f>B441+(B371*4)</f>
        <v>157509870.94859874</v>
      </c>
      <c r="H459" s="98"/>
      <c r="I459" s="98"/>
      <c r="J459" s="98"/>
    </row>
    <row r="460" spans="1:10" ht="15.75" x14ac:dyDescent="0.25">
      <c r="A460" s="98"/>
      <c r="B460" s="98"/>
      <c r="C460" s="98"/>
      <c r="D460" s="98"/>
      <c r="E460" s="98"/>
      <c r="F460" s="98"/>
      <c r="G460" s="362">
        <f>G458+G459</f>
        <v>159479870.94859874</v>
      </c>
      <c r="H460" s="98"/>
      <c r="I460" s="98"/>
      <c r="J460" s="98"/>
    </row>
    <row r="461" spans="1:10" ht="15.75" x14ac:dyDescent="0.25">
      <c r="A461" s="83" t="s">
        <v>204</v>
      </c>
      <c r="B461" s="84"/>
      <c r="C461" s="84"/>
      <c r="D461" s="84"/>
      <c r="E461" s="84"/>
      <c r="F461" s="85"/>
      <c r="G461" s="363">
        <f>G460</f>
        <v>159479870.94859874</v>
      </c>
      <c r="H461" s="98"/>
      <c r="I461" s="98"/>
      <c r="J461" s="98"/>
    </row>
    <row r="462" spans="1:10" s="3" customFormat="1" ht="15.75" x14ac:dyDescent="0.25">
      <c r="A462" s="347"/>
      <c r="B462" s="347"/>
      <c r="C462" s="347"/>
      <c r="D462" s="347"/>
      <c r="E462" s="347"/>
      <c r="F462" s="347"/>
      <c r="G462" s="364"/>
      <c r="H462" s="345"/>
      <c r="I462" s="345"/>
      <c r="J462" s="345"/>
    </row>
    <row r="463" spans="1:10" s="3" customFormat="1" ht="15.75" x14ac:dyDescent="0.25">
      <c r="A463" s="347"/>
      <c r="B463" s="347"/>
      <c r="C463" s="347"/>
      <c r="D463" s="347"/>
      <c r="E463" s="347"/>
      <c r="F463" s="347"/>
      <c r="G463" s="364"/>
      <c r="H463" s="345"/>
      <c r="I463" s="345"/>
      <c r="J463" s="345"/>
    </row>
    <row r="464" spans="1:10" ht="15.75" x14ac:dyDescent="0.25">
      <c r="A464" s="81" t="s">
        <v>414</v>
      </c>
      <c r="B464" s="298"/>
      <c r="C464" s="298"/>
      <c r="D464" s="298"/>
      <c r="E464" s="298"/>
      <c r="F464" s="298"/>
      <c r="G464" s="298"/>
      <c r="H464" s="98"/>
      <c r="I464" s="98"/>
      <c r="J464" s="98"/>
    </row>
    <row r="465" spans="1:10" ht="15.75" x14ac:dyDescent="0.25">
      <c r="A465" s="47" t="s">
        <v>132</v>
      </c>
      <c r="B465" s="58">
        <v>1</v>
      </c>
      <c r="C465" s="58">
        <v>2</v>
      </c>
      <c r="D465" s="58">
        <v>3</v>
      </c>
      <c r="E465" s="58">
        <v>4</v>
      </c>
      <c r="F465" s="58">
        <v>5</v>
      </c>
      <c r="G465" s="58"/>
      <c r="H465" s="98"/>
      <c r="I465" s="98"/>
      <c r="J465" s="98"/>
    </row>
    <row r="466" spans="1:10" ht="15.75" x14ac:dyDescent="0.25">
      <c r="A466" s="124" t="s">
        <v>255</v>
      </c>
      <c r="B466" s="186">
        <f>B10*B11</f>
        <v>3456000000</v>
      </c>
      <c r="C466" s="186">
        <f>B466*(1+B12)</f>
        <v>3678912000</v>
      </c>
      <c r="D466" s="186">
        <f>$C$466</f>
        <v>3678912000</v>
      </c>
      <c r="E466" s="186">
        <f>$C$466</f>
        <v>3678912000</v>
      </c>
      <c r="F466" s="186">
        <f>$C$466</f>
        <v>3678912000</v>
      </c>
      <c r="G466" s="98"/>
      <c r="H466" s="98"/>
      <c r="I466" s="98"/>
      <c r="J466" s="98"/>
    </row>
    <row r="467" spans="1:10" ht="15.75" x14ac:dyDescent="0.25">
      <c r="A467" s="203"/>
      <c r="B467" s="365"/>
      <c r="C467" s="365"/>
      <c r="D467" s="365"/>
      <c r="E467" s="365"/>
      <c r="F467" s="365"/>
      <c r="G467" s="98"/>
      <c r="H467" s="98"/>
      <c r="I467" s="98"/>
      <c r="J467" s="98"/>
    </row>
    <row r="468" spans="1:10" ht="15.75" x14ac:dyDescent="0.25">
      <c r="A468" s="98"/>
      <c r="B468" s="98"/>
      <c r="C468" s="98"/>
      <c r="D468" s="98"/>
      <c r="E468" s="98"/>
      <c r="F468" s="98"/>
      <c r="G468" s="98"/>
      <c r="H468" s="98"/>
      <c r="I468" s="98"/>
      <c r="J468" s="98"/>
    </row>
    <row r="469" spans="1:10" ht="15.75" x14ac:dyDescent="0.25">
      <c r="A469" s="81" t="s">
        <v>389</v>
      </c>
      <c r="B469" s="81"/>
      <c r="C469" s="81"/>
      <c r="D469" s="81"/>
      <c r="E469" s="81"/>
      <c r="F469" s="81"/>
      <c r="G469" s="81"/>
      <c r="H469" s="98"/>
      <c r="I469" s="98"/>
      <c r="J469" s="98"/>
    </row>
    <row r="470" spans="1:10" ht="15.75" x14ac:dyDescent="0.25">
      <c r="A470" s="366" t="s">
        <v>147</v>
      </c>
      <c r="B470" s="83" t="s">
        <v>132</v>
      </c>
      <c r="C470" s="84"/>
      <c r="D470" s="84"/>
      <c r="E470" s="84"/>
      <c r="F470" s="84"/>
      <c r="G470" s="85"/>
      <c r="H470" s="98"/>
      <c r="I470" s="98"/>
      <c r="J470" s="98"/>
    </row>
    <row r="471" spans="1:10" ht="15.75" x14ac:dyDescent="0.25">
      <c r="A471" s="367"/>
      <c r="B471" s="82">
        <v>0</v>
      </c>
      <c r="C471" s="82">
        <v>1</v>
      </c>
      <c r="D471" s="82">
        <v>2</v>
      </c>
      <c r="E471" s="82">
        <v>3</v>
      </c>
      <c r="F471" s="82">
        <v>4</v>
      </c>
      <c r="G471" s="82">
        <v>5</v>
      </c>
      <c r="H471" s="98"/>
      <c r="I471" s="98"/>
      <c r="J471" s="98"/>
    </row>
    <row r="472" spans="1:10" ht="15.75" x14ac:dyDescent="0.25">
      <c r="A472" s="96" t="s">
        <v>208</v>
      </c>
      <c r="B472" s="96"/>
      <c r="C472" s="96"/>
      <c r="D472" s="96"/>
      <c r="E472" s="96"/>
      <c r="F472" s="96"/>
      <c r="G472" s="96"/>
      <c r="H472" s="98"/>
      <c r="I472" s="98"/>
      <c r="J472" s="98"/>
    </row>
    <row r="473" spans="1:10" ht="15.75" x14ac:dyDescent="0.25">
      <c r="A473" s="96" t="s">
        <v>205</v>
      </c>
      <c r="B473" s="187">
        <f>C214</f>
        <v>1242216000</v>
      </c>
      <c r="C473" s="187">
        <f>B473*(1+B394)</f>
        <v>1322338932</v>
      </c>
      <c r="D473" s="187">
        <f>$C$473</f>
        <v>1322338932</v>
      </c>
      <c r="E473" s="187">
        <f>$C$473</f>
        <v>1322338932</v>
      </c>
      <c r="F473" s="187">
        <f>$C$473</f>
        <v>1322338932</v>
      </c>
      <c r="G473" s="187">
        <f>$C$473</f>
        <v>1322338932</v>
      </c>
      <c r="H473" s="98"/>
      <c r="I473" s="98"/>
      <c r="J473" s="98"/>
    </row>
    <row r="474" spans="1:10" ht="15.75" x14ac:dyDescent="0.25">
      <c r="A474" s="96" t="s">
        <v>206</v>
      </c>
      <c r="B474" s="187">
        <f>C212</f>
        <v>100979434.70999999</v>
      </c>
      <c r="C474" s="187">
        <f>$B$474</f>
        <v>100979434.70999999</v>
      </c>
      <c r="D474" s="187">
        <f>$B$474</f>
        <v>100979434.70999999</v>
      </c>
      <c r="E474" s="187">
        <f>$B$474</f>
        <v>100979434.70999999</v>
      </c>
      <c r="F474" s="187">
        <f>$B$474</f>
        <v>100979434.70999999</v>
      </c>
      <c r="G474" s="187">
        <f>$B$474</f>
        <v>100979434.70999999</v>
      </c>
      <c r="H474" s="98"/>
      <c r="I474" s="98"/>
      <c r="J474" s="98"/>
    </row>
    <row r="475" spans="1:10" ht="15.75" x14ac:dyDescent="0.25">
      <c r="A475" s="96" t="s">
        <v>157</v>
      </c>
      <c r="B475" s="187">
        <f>B219</f>
        <v>732001</v>
      </c>
      <c r="C475" s="187">
        <f>$B$475</f>
        <v>732001</v>
      </c>
      <c r="D475" s="187">
        <f>$B$475</f>
        <v>732001</v>
      </c>
      <c r="E475" s="187">
        <f>$B$475</f>
        <v>732001</v>
      </c>
      <c r="F475" s="187">
        <f>$B$475</f>
        <v>732001</v>
      </c>
      <c r="G475" s="187">
        <f>$B$475</f>
        <v>732001</v>
      </c>
      <c r="H475" s="98"/>
      <c r="I475" s="98"/>
      <c r="J475" s="98"/>
    </row>
    <row r="476" spans="1:10" ht="15.75" x14ac:dyDescent="0.25">
      <c r="A476" s="92" t="s">
        <v>207</v>
      </c>
      <c r="B476" s="356">
        <f t="shared" ref="B476:G476" si="30">SUM(B473:B475)</f>
        <v>1343927435.71</v>
      </c>
      <c r="C476" s="356">
        <f t="shared" si="30"/>
        <v>1424050367.71</v>
      </c>
      <c r="D476" s="356">
        <f t="shared" si="30"/>
        <v>1424050367.71</v>
      </c>
      <c r="E476" s="356">
        <f t="shared" si="30"/>
        <v>1424050367.71</v>
      </c>
      <c r="F476" s="356">
        <f t="shared" si="30"/>
        <v>1424050367.71</v>
      </c>
      <c r="G476" s="356">
        <f t="shared" si="30"/>
        <v>1424050367.71</v>
      </c>
      <c r="H476" s="98"/>
      <c r="I476" s="98"/>
      <c r="J476" s="98"/>
    </row>
    <row r="477" spans="1:10" ht="15.75" x14ac:dyDescent="0.25">
      <c r="A477" s="132" t="s">
        <v>209</v>
      </c>
      <c r="B477" s="96"/>
      <c r="C477" s="96"/>
      <c r="D477" s="96"/>
      <c r="E477" s="96"/>
      <c r="F477" s="96"/>
      <c r="G477" s="96"/>
      <c r="H477" s="98"/>
      <c r="I477" s="98"/>
      <c r="J477" s="98"/>
    </row>
    <row r="478" spans="1:10" ht="15.75" x14ac:dyDescent="0.25">
      <c r="A478" s="96" t="s">
        <v>210</v>
      </c>
      <c r="B478" s="187">
        <f>E121</f>
        <v>0</v>
      </c>
      <c r="C478" s="187">
        <f>B478*(1+B394)</f>
        <v>0</v>
      </c>
      <c r="D478" s="187">
        <f>$C$478</f>
        <v>0</v>
      </c>
      <c r="E478" s="187">
        <f>$C$478</f>
        <v>0</v>
      </c>
      <c r="F478" s="187">
        <f>$C$478</f>
        <v>0</v>
      </c>
      <c r="G478" s="187">
        <f>$C$478</f>
        <v>0</v>
      </c>
      <c r="H478" s="98"/>
      <c r="I478" s="98"/>
      <c r="J478" s="98"/>
    </row>
    <row r="479" spans="1:10" ht="15.75" x14ac:dyDescent="0.25">
      <c r="A479" s="96" t="s">
        <v>211</v>
      </c>
      <c r="B479" s="187">
        <v>0</v>
      </c>
      <c r="C479" s="187">
        <v>0</v>
      </c>
      <c r="D479" s="187">
        <v>0</v>
      </c>
      <c r="E479" s="187">
        <v>0</v>
      </c>
      <c r="F479" s="187">
        <v>0</v>
      </c>
      <c r="G479" s="187">
        <v>0</v>
      </c>
      <c r="H479" s="98"/>
      <c r="I479" s="98"/>
      <c r="J479" s="98"/>
    </row>
    <row r="480" spans="1:10" ht="15.75" x14ac:dyDescent="0.25">
      <c r="A480" s="96" t="s">
        <v>212</v>
      </c>
      <c r="B480" s="332">
        <f>C217</f>
        <v>54060000</v>
      </c>
      <c r="C480" s="368">
        <f>B480*(1+B394)</f>
        <v>57546870</v>
      </c>
      <c r="D480" s="368">
        <f>$C$480</f>
        <v>57546870</v>
      </c>
      <c r="E480" s="368">
        <f>$C$480</f>
        <v>57546870</v>
      </c>
      <c r="F480" s="368">
        <f>$C$480</f>
        <v>57546870</v>
      </c>
      <c r="G480" s="368">
        <f>$C$480</f>
        <v>57546870</v>
      </c>
      <c r="H480" s="98"/>
      <c r="I480" s="98"/>
      <c r="J480" s="98"/>
    </row>
    <row r="481" spans="1:10" ht="31.5" x14ac:dyDescent="0.25">
      <c r="A481" s="369" t="s">
        <v>213</v>
      </c>
      <c r="B481" s="363">
        <f>SUM(B478:B480)</f>
        <v>54060000</v>
      </c>
      <c r="C481" s="363">
        <f t="shared" ref="C481:G481" si="31">SUM(C478:C480)</f>
        <v>57546870</v>
      </c>
      <c r="D481" s="363">
        <f t="shared" si="31"/>
        <v>57546870</v>
      </c>
      <c r="E481" s="363">
        <f t="shared" si="31"/>
        <v>57546870</v>
      </c>
      <c r="F481" s="363">
        <f t="shared" si="31"/>
        <v>57546870</v>
      </c>
      <c r="G481" s="363">
        <f t="shared" si="31"/>
        <v>57546870</v>
      </c>
      <c r="H481" s="98"/>
      <c r="I481" s="98"/>
      <c r="J481" s="98"/>
    </row>
    <row r="482" spans="1:10" ht="15.75" x14ac:dyDescent="0.25">
      <c r="A482" s="82" t="s">
        <v>214</v>
      </c>
      <c r="B482" s="363">
        <f t="shared" ref="B482:G482" si="32">B476+B481</f>
        <v>1397987435.71</v>
      </c>
      <c r="C482" s="363">
        <f t="shared" si="32"/>
        <v>1481597237.71</v>
      </c>
      <c r="D482" s="363">
        <f t="shared" si="32"/>
        <v>1481597237.71</v>
      </c>
      <c r="E482" s="363">
        <f t="shared" si="32"/>
        <v>1481597237.71</v>
      </c>
      <c r="F482" s="363">
        <f t="shared" si="32"/>
        <v>1481597237.71</v>
      </c>
      <c r="G482" s="363">
        <f t="shared" si="32"/>
        <v>1481597237.71</v>
      </c>
      <c r="H482" s="98"/>
      <c r="I482" s="98"/>
      <c r="J482" s="98"/>
    </row>
    <row r="483" spans="1:10" ht="15.75" x14ac:dyDescent="0.25">
      <c r="A483" s="98"/>
      <c r="B483" s="98"/>
      <c r="C483" s="98"/>
      <c r="D483" s="98"/>
      <c r="E483" s="98"/>
      <c r="F483" s="98"/>
      <c r="G483" s="98"/>
      <c r="H483" s="98"/>
      <c r="I483" s="98"/>
      <c r="J483" s="98"/>
    </row>
    <row r="484" spans="1:10" ht="15.75" x14ac:dyDescent="0.25">
      <c r="A484" s="98"/>
      <c r="B484" s="98"/>
      <c r="C484" s="98"/>
      <c r="D484" s="98"/>
      <c r="E484" s="98"/>
      <c r="F484" s="98"/>
      <c r="G484" s="98"/>
      <c r="H484" s="98"/>
      <c r="I484" s="98"/>
      <c r="J484" s="98"/>
    </row>
    <row r="485" spans="1:10" ht="15.75" x14ac:dyDescent="0.25">
      <c r="A485" s="81" t="s">
        <v>390</v>
      </c>
      <c r="B485" s="81"/>
      <c r="C485" s="81"/>
      <c r="D485" s="81"/>
      <c r="E485" s="81"/>
      <c r="F485" s="81"/>
      <c r="G485" s="98"/>
      <c r="H485" s="98"/>
      <c r="I485" s="98"/>
      <c r="J485" s="98"/>
    </row>
    <row r="486" spans="1:10" ht="15.75" x14ac:dyDescent="0.25">
      <c r="A486" s="366" t="s">
        <v>147</v>
      </c>
      <c r="B486" s="83" t="s">
        <v>132</v>
      </c>
      <c r="C486" s="84"/>
      <c r="D486" s="84"/>
      <c r="E486" s="84"/>
      <c r="F486" s="85"/>
      <c r="G486" s="347"/>
      <c r="H486" s="98"/>
      <c r="I486" s="98"/>
      <c r="J486" s="98"/>
    </row>
    <row r="487" spans="1:10" ht="15.75" x14ac:dyDescent="0.25">
      <c r="A487" s="367"/>
      <c r="B487" s="82">
        <v>1</v>
      </c>
      <c r="C487" s="82">
        <v>2</v>
      </c>
      <c r="D487" s="82">
        <v>3</v>
      </c>
      <c r="E487" s="82">
        <v>4</v>
      </c>
      <c r="F487" s="82">
        <v>5</v>
      </c>
      <c r="G487" s="347"/>
      <c r="H487" s="98"/>
      <c r="I487" s="98"/>
      <c r="J487" s="98"/>
    </row>
    <row r="488" spans="1:10" ht="15.75" x14ac:dyDescent="0.25">
      <c r="A488" s="96" t="s">
        <v>215</v>
      </c>
      <c r="B488" s="187">
        <f>E174</f>
        <v>82374133.530000001</v>
      </c>
      <c r="C488" s="187">
        <f>$B$488</f>
        <v>82374133.530000001</v>
      </c>
      <c r="D488" s="187">
        <f>$B$488</f>
        <v>82374133.530000001</v>
      </c>
      <c r="E488" s="187">
        <f>$B$488</f>
        <v>82374133.530000001</v>
      </c>
      <c r="F488" s="187">
        <f>$B$488</f>
        <v>82374133.530000001</v>
      </c>
      <c r="G488" s="203"/>
      <c r="H488" s="98"/>
      <c r="I488" s="98"/>
      <c r="J488" s="98"/>
    </row>
    <row r="489" spans="1:10" ht="15.75" x14ac:dyDescent="0.25">
      <c r="A489" s="96" t="s">
        <v>216</v>
      </c>
      <c r="B489" s="187">
        <f>E184</f>
        <v>2405000</v>
      </c>
      <c r="C489" s="187">
        <f>$B$489</f>
        <v>2405000</v>
      </c>
      <c r="D489" s="187">
        <f>$B$489</f>
        <v>2405000</v>
      </c>
      <c r="E489" s="187">
        <f>$B$489</f>
        <v>2405000</v>
      </c>
      <c r="F489" s="187">
        <f>$B$489</f>
        <v>2405000</v>
      </c>
      <c r="G489" s="98"/>
      <c r="H489" s="98"/>
      <c r="I489" s="98"/>
      <c r="J489" s="98"/>
    </row>
    <row r="490" spans="1:10" ht="15.75" x14ac:dyDescent="0.25">
      <c r="A490" s="96" t="s">
        <v>217</v>
      </c>
      <c r="B490" s="370" t="s">
        <v>31</v>
      </c>
      <c r="C490" s="370" t="s">
        <v>31</v>
      </c>
      <c r="D490" s="370" t="s">
        <v>31</v>
      </c>
      <c r="E490" s="370" t="s">
        <v>31</v>
      </c>
      <c r="F490" s="370" t="s">
        <v>31</v>
      </c>
      <c r="G490" s="98"/>
      <c r="H490" s="98"/>
      <c r="I490" s="98"/>
      <c r="J490" s="98"/>
    </row>
    <row r="491" spans="1:10" ht="15.75" x14ac:dyDescent="0.25">
      <c r="A491" s="96" t="s">
        <v>157</v>
      </c>
      <c r="B491" s="187">
        <f>D164</f>
        <v>378000</v>
      </c>
      <c r="C491" s="187">
        <f>$B$491</f>
        <v>378000</v>
      </c>
      <c r="D491" s="187">
        <f>$B$491</f>
        <v>378000</v>
      </c>
      <c r="E491" s="187">
        <f>$B$491</f>
        <v>378000</v>
      </c>
      <c r="F491" s="187">
        <f>$B$491</f>
        <v>378000</v>
      </c>
      <c r="G491" s="98"/>
      <c r="H491" s="98"/>
      <c r="I491" s="98"/>
      <c r="J491" s="98"/>
    </row>
    <row r="492" spans="1:10" ht="15.75" x14ac:dyDescent="0.25">
      <c r="A492" s="96" t="s">
        <v>218</v>
      </c>
      <c r="B492" s="187">
        <f>D197</f>
        <v>2136000</v>
      </c>
      <c r="C492" s="187">
        <f>$B$492</f>
        <v>2136000</v>
      </c>
      <c r="D492" s="187">
        <f>$B$492</f>
        <v>2136000</v>
      </c>
      <c r="E492" s="187">
        <f>$B$492</f>
        <v>2136000</v>
      </c>
      <c r="F492" s="187">
        <f>$B$492</f>
        <v>2136000</v>
      </c>
      <c r="G492" s="98"/>
      <c r="H492" s="98"/>
      <c r="I492" s="98"/>
      <c r="J492" s="98"/>
    </row>
    <row r="493" spans="1:10" ht="31.5" x14ac:dyDescent="0.25">
      <c r="A493" s="371" t="s">
        <v>219</v>
      </c>
      <c r="B493" s="356">
        <f>SUM(B488:B492)</f>
        <v>87293133.530000001</v>
      </c>
      <c r="C493" s="356">
        <f>SUM(C488:C492)</f>
        <v>87293133.530000001</v>
      </c>
      <c r="D493" s="356">
        <f>SUM(D488:D492)</f>
        <v>87293133.530000001</v>
      </c>
      <c r="E493" s="356">
        <f>SUM(E488:E492)</f>
        <v>87293133.530000001</v>
      </c>
      <c r="F493" s="356">
        <f>SUM(F488:F492)</f>
        <v>87293133.530000001</v>
      </c>
      <c r="G493" s="98"/>
      <c r="H493" s="98"/>
      <c r="I493" s="98"/>
      <c r="J493" s="98"/>
    </row>
    <row r="494" spans="1:10" ht="15.75" x14ac:dyDescent="0.25">
      <c r="A494" s="98"/>
      <c r="B494" s="98"/>
      <c r="C494" s="98"/>
      <c r="D494" s="98"/>
      <c r="E494" s="98"/>
      <c r="F494" s="98"/>
      <c r="G494" s="98"/>
      <c r="H494" s="98"/>
      <c r="I494" s="98"/>
      <c r="J494" s="98"/>
    </row>
    <row r="495" spans="1:10" ht="15.75" x14ac:dyDescent="0.25">
      <c r="A495" s="98"/>
      <c r="B495" s="98"/>
      <c r="C495" s="98"/>
      <c r="D495" s="98"/>
      <c r="E495" s="98"/>
      <c r="F495" s="98"/>
      <c r="G495" s="98"/>
      <c r="H495" s="98"/>
      <c r="I495" s="98"/>
      <c r="J495" s="98"/>
    </row>
    <row r="496" spans="1:10" ht="15.75" x14ac:dyDescent="0.25">
      <c r="A496" s="81" t="s">
        <v>391</v>
      </c>
      <c r="B496" s="81"/>
      <c r="C496" s="81"/>
      <c r="D496" s="81"/>
      <c r="E496" s="81"/>
      <c r="F496" s="81"/>
      <c r="G496" s="98"/>
      <c r="H496" s="98"/>
      <c r="I496" s="98"/>
      <c r="J496" s="98"/>
    </row>
    <row r="497" spans="1:10" ht="15.75" x14ac:dyDescent="0.25">
      <c r="A497" s="366" t="s">
        <v>147</v>
      </c>
      <c r="B497" s="83" t="s">
        <v>132</v>
      </c>
      <c r="C497" s="84"/>
      <c r="D497" s="84"/>
      <c r="E497" s="84"/>
      <c r="F497" s="85"/>
      <c r="G497" s="98"/>
      <c r="H497" s="98"/>
      <c r="I497" s="98"/>
      <c r="J497" s="98"/>
    </row>
    <row r="498" spans="1:10" ht="15.75" x14ac:dyDescent="0.25">
      <c r="A498" s="367"/>
      <c r="B498" s="82">
        <v>1</v>
      </c>
      <c r="C498" s="82">
        <v>2</v>
      </c>
      <c r="D498" s="82">
        <v>3</v>
      </c>
      <c r="E498" s="82">
        <v>4</v>
      </c>
      <c r="F498" s="82">
        <v>5</v>
      </c>
      <c r="G498" s="98"/>
      <c r="H498" s="98"/>
      <c r="I498" s="98"/>
      <c r="J498" s="98"/>
    </row>
    <row r="499" spans="1:10" ht="15.75" x14ac:dyDescent="0.25">
      <c r="A499" s="96" t="s">
        <v>80</v>
      </c>
      <c r="B499" s="187">
        <f>E203</f>
        <v>750000</v>
      </c>
      <c r="C499" s="187">
        <f>$B$499</f>
        <v>750000</v>
      </c>
      <c r="D499" s="187">
        <f>$B$499</f>
        <v>750000</v>
      </c>
      <c r="E499" s="187">
        <f>$B$499</f>
        <v>750000</v>
      </c>
      <c r="F499" s="187">
        <f>$B$499</f>
        <v>750000</v>
      </c>
      <c r="G499" s="98"/>
      <c r="H499" s="98"/>
      <c r="I499" s="98"/>
      <c r="J499" s="98"/>
    </row>
    <row r="500" spans="1:10" ht="15.75" x14ac:dyDescent="0.25">
      <c r="A500" s="372" t="s">
        <v>81</v>
      </c>
      <c r="B500" s="187">
        <f>E205</f>
        <v>38400000</v>
      </c>
      <c r="C500" s="187">
        <f>$B$500</f>
        <v>38400000</v>
      </c>
      <c r="D500" s="187">
        <f>$B$500</f>
        <v>38400000</v>
      </c>
      <c r="E500" s="187">
        <f>$B$500</f>
        <v>38400000</v>
      </c>
      <c r="F500" s="187">
        <f>$B$500</f>
        <v>38400000</v>
      </c>
      <c r="G500" s="98"/>
      <c r="H500" s="98"/>
      <c r="I500" s="98"/>
      <c r="J500" s="98"/>
    </row>
    <row r="501" spans="1:10" ht="15.75" x14ac:dyDescent="0.25">
      <c r="A501" s="373" t="s">
        <v>220</v>
      </c>
      <c r="B501" s="363">
        <f>SUM(B499:B500)</f>
        <v>39150000</v>
      </c>
      <c r="C501" s="363">
        <f>SUM(C499:C500)</f>
        <v>39150000</v>
      </c>
      <c r="D501" s="363">
        <f>SUM(D499:D500)</f>
        <v>39150000</v>
      </c>
      <c r="E501" s="363">
        <f>SUM(E499:E500)</f>
        <v>39150000</v>
      </c>
      <c r="F501" s="363">
        <f>SUM(F499:F500)</f>
        <v>39150000</v>
      </c>
      <c r="G501" s="98"/>
      <c r="H501" s="98"/>
      <c r="I501" s="98"/>
      <c r="J501" s="98"/>
    </row>
    <row r="502" spans="1:10" ht="15.75" x14ac:dyDescent="0.25">
      <c r="A502" s="98"/>
      <c r="B502" s="98"/>
      <c r="C502" s="98"/>
      <c r="D502" s="98"/>
      <c r="E502" s="98"/>
      <c r="F502" s="98"/>
      <c r="G502" s="98"/>
      <c r="H502" s="98"/>
      <c r="I502" s="98"/>
      <c r="J502" s="98"/>
    </row>
    <row r="503" spans="1:10" ht="15.75" x14ac:dyDescent="0.25">
      <c r="A503" s="98"/>
      <c r="B503" s="98"/>
      <c r="C503" s="98"/>
      <c r="D503" s="98"/>
      <c r="E503" s="98"/>
      <c r="F503" s="98"/>
      <c r="G503" s="98"/>
      <c r="H503" s="98"/>
      <c r="I503" s="98"/>
      <c r="J503" s="98"/>
    </row>
    <row r="504" spans="1:10" ht="15.75" x14ac:dyDescent="0.25">
      <c r="A504" s="81" t="s">
        <v>392</v>
      </c>
      <c r="B504" s="81"/>
      <c r="C504" s="81"/>
      <c r="D504" s="81"/>
      <c r="E504" s="81"/>
      <c r="F504" s="81"/>
      <c r="G504" s="98"/>
      <c r="H504" s="98"/>
      <c r="I504" s="98"/>
      <c r="J504" s="98"/>
    </row>
    <row r="505" spans="1:10" ht="15.75" x14ac:dyDescent="0.25">
      <c r="A505" s="366" t="s">
        <v>147</v>
      </c>
      <c r="B505" s="83" t="s">
        <v>132</v>
      </c>
      <c r="C505" s="84"/>
      <c r="D505" s="84"/>
      <c r="E505" s="84"/>
      <c r="F505" s="85"/>
      <c r="G505" s="98"/>
      <c r="H505" s="98"/>
      <c r="I505" s="98"/>
      <c r="J505" s="98"/>
    </row>
    <row r="506" spans="1:10" ht="15.75" x14ac:dyDescent="0.25">
      <c r="A506" s="367"/>
      <c r="B506" s="82">
        <v>1</v>
      </c>
      <c r="C506" s="82">
        <v>2</v>
      </c>
      <c r="D506" s="82">
        <v>3</v>
      </c>
      <c r="E506" s="82">
        <v>4</v>
      </c>
      <c r="F506" s="82">
        <v>5</v>
      </c>
      <c r="G506" s="98"/>
      <c r="H506" s="98"/>
      <c r="I506" s="98"/>
      <c r="J506" s="98"/>
    </row>
    <row r="507" spans="1:10" ht="15.75" x14ac:dyDescent="0.25">
      <c r="A507" s="96" t="s">
        <v>221</v>
      </c>
      <c r="B507" s="187">
        <f>B482</f>
        <v>1397987435.71</v>
      </c>
      <c r="C507" s="187">
        <f>C482</f>
        <v>1481597237.71</v>
      </c>
      <c r="D507" s="187">
        <f t="shared" ref="D507:F509" si="33">C507</f>
        <v>1481597237.71</v>
      </c>
      <c r="E507" s="187">
        <f t="shared" si="33"/>
        <v>1481597237.71</v>
      </c>
      <c r="F507" s="187">
        <f t="shared" si="33"/>
        <v>1481597237.71</v>
      </c>
      <c r="G507" s="135"/>
      <c r="H507" s="98"/>
      <c r="I507" s="98"/>
      <c r="J507" s="98"/>
    </row>
    <row r="508" spans="1:10" ht="15.75" x14ac:dyDescent="0.25">
      <c r="A508" s="372" t="s">
        <v>222</v>
      </c>
      <c r="B508" s="187">
        <f>B493</f>
        <v>87293133.530000001</v>
      </c>
      <c r="C508" s="187">
        <f>B508</f>
        <v>87293133.530000001</v>
      </c>
      <c r="D508" s="187">
        <f t="shared" si="33"/>
        <v>87293133.530000001</v>
      </c>
      <c r="E508" s="187">
        <f t="shared" si="33"/>
        <v>87293133.530000001</v>
      </c>
      <c r="F508" s="187">
        <f t="shared" si="33"/>
        <v>87293133.530000001</v>
      </c>
      <c r="G508" s="98"/>
      <c r="H508" s="98"/>
      <c r="I508" s="98"/>
      <c r="J508" s="98"/>
    </row>
    <row r="509" spans="1:10" ht="15.75" x14ac:dyDescent="0.25">
      <c r="A509" s="372" t="s">
        <v>150</v>
      </c>
      <c r="B509" s="187">
        <f>B501</f>
        <v>39150000</v>
      </c>
      <c r="C509" s="187">
        <f>B509</f>
        <v>39150000</v>
      </c>
      <c r="D509" s="187">
        <f t="shared" si="33"/>
        <v>39150000</v>
      </c>
      <c r="E509" s="187">
        <f t="shared" si="33"/>
        <v>39150000</v>
      </c>
      <c r="F509" s="187">
        <f t="shared" si="33"/>
        <v>39150000</v>
      </c>
      <c r="G509" s="98"/>
      <c r="H509" s="98"/>
      <c r="I509" s="98"/>
      <c r="J509" s="98"/>
    </row>
    <row r="510" spans="1:10" ht="15.75" x14ac:dyDescent="0.25">
      <c r="A510" s="373" t="s">
        <v>223</v>
      </c>
      <c r="B510" s="356">
        <f>SUM(B507:B509)</f>
        <v>1524430569.24</v>
      </c>
      <c r="C510" s="356">
        <f>SUM(C507:C509)</f>
        <v>1608040371.24</v>
      </c>
      <c r="D510" s="356">
        <f>SUM(D507:D509)</f>
        <v>1608040371.24</v>
      </c>
      <c r="E510" s="356">
        <f>SUM(E507:E509)</f>
        <v>1608040371.24</v>
      </c>
      <c r="F510" s="356">
        <f>SUM(F507:F509)</f>
        <v>1608040371.24</v>
      </c>
      <c r="G510" s="98"/>
      <c r="H510" s="98"/>
      <c r="I510" s="98"/>
      <c r="J510" s="98"/>
    </row>
    <row r="511" spans="1:10" ht="15.75" x14ac:dyDescent="0.25">
      <c r="A511" s="98"/>
      <c r="B511" s="98"/>
      <c r="C511" s="98"/>
      <c r="D511" s="98"/>
      <c r="E511" s="98"/>
      <c r="F511" s="98"/>
      <c r="G511" s="98"/>
      <c r="H511" s="98"/>
      <c r="I511" s="98"/>
      <c r="J511" s="98"/>
    </row>
    <row r="512" spans="1:10" ht="15.75" x14ac:dyDescent="0.25">
      <c r="A512" s="98"/>
      <c r="B512" s="98"/>
      <c r="C512" s="98"/>
      <c r="D512" s="98"/>
      <c r="E512" s="98"/>
      <c r="F512" s="98"/>
      <c r="G512" s="98"/>
      <c r="H512" s="98"/>
      <c r="I512" s="98"/>
      <c r="J512" s="98"/>
    </row>
    <row r="513" spans="1:10" ht="15.75" x14ac:dyDescent="0.25">
      <c r="A513" s="81" t="s">
        <v>393</v>
      </c>
      <c r="B513" s="81"/>
      <c r="C513" s="81"/>
      <c r="D513" s="81"/>
      <c r="E513" s="81"/>
      <c r="F513" s="81"/>
      <c r="G513" s="81"/>
      <c r="H513" s="98"/>
      <c r="I513" s="98"/>
      <c r="J513" s="98"/>
    </row>
    <row r="514" spans="1:10" ht="15.75" x14ac:dyDescent="0.25">
      <c r="A514" s="366" t="s">
        <v>147</v>
      </c>
      <c r="B514" s="83" t="s">
        <v>132</v>
      </c>
      <c r="C514" s="84"/>
      <c r="D514" s="84"/>
      <c r="E514" s="84"/>
      <c r="F514" s="84"/>
      <c r="G514" s="85"/>
      <c r="H514" s="98"/>
      <c r="I514" s="98"/>
      <c r="J514" s="98"/>
    </row>
    <row r="515" spans="1:10" ht="15.75" x14ac:dyDescent="0.25">
      <c r="A515" s="367"/>
      <c r="B515" s="82">
        <v>0</v>
      </c>
      <c r="C515" s="82">
        <v>1</v>
      </c>
      <c r="D515" s="82">
        <v>2</v>
      </c>
      <c r="E515" s="82">
        <v>3</v>
      </c>
      <c r="F515" s="82">
        <v>4</v>
      </c>
      <c r="G515" s="82">
        <v>5</v>
      </c>
      <c r="H515" s="98"/>
      <c r="I515" s="98"/>
      <c r="J515" s="98"/>
    </row>
    <row r="516" spans="1:10" ht="15.75" x14ac:dyDescent="0.25">
      <c r="A516" s="96" t="s">
        <v>224</v>
      </c>
      <c r="B516" s="187">
        <f>B445</f>
        <v>-17800000</v>
      </c>
      <c r="C516" s="96"/>
      <c r="D516" s="96"/>
      <c r="E516" s="96"/>
      <c r="F516" s="96"/>
      <c r="G516" s="96"/>
      <c r="H516" s="98"/>
      <c r="I516" s="98"/>
      <c r="J516" s="98"/>
    </row>
    <row r="517" spans="1:10" ht="15.75" x14ac:dyDescent="0.25">
      <c r="A517" s="372" t="s">
        <v>196</v>
      </c>
      <c r="B517" s="187">
        <f>B446</f>
        <v>-126782047.35333335</v>
      </c>
      <c r="C517" s="187">
        <f>-C380</f>
        <v>-7681955.8988163471</v>
      </c>
      <c r="D517" s="187">
        <f>C517</f>
        <v>-7681955.8988163471</v>
      </c>
      <c r="E517" s="187">
        <f>D517</f>
        <v>-7681955.8988163471</v>
      </c>
      <c r="F517" s="187">
        <f>E517</f>
        <v>-7681955.8988163471</v>
      </c>
      <c r="G517" s="187">
        <f>SUM(B517:F517)</f>
        <v>-157509870.94859874</v>
      </c>
      <c r="H517" s="98"/>
      <c r="I517" s="187"/>
      <c r="J517" s="98"/>
    </row>
    <row r="518" spans="1:10" ht="15.75" x14ac:dyDescent="0.25">
      <c r="A518" s="372" t="s">
        <v>225</v>
      </c>
      <c r="B518" s="187"/>
      <c r="C518" s="96"/>
      <c r="D518" s="96"/>
      <c r="E518" s="96"/>
      <c r="F518" s="96"/>
      <c r="G518" s="187">
        <f>+G461</f>
        <v>159479870.94859874</v>
      </c>
      <c r="H518" s="98"/>
      <c r="I518" s="98"/>
      <c r="J518" s="98"/>
    </row>
    <row r="519" spans="1:10" ht="15.75" x14ac:dyDescent="0.25">
      <c r="A519" s="82" t="s">
        <v>226</v>
      </c>
      <c r="B519" s="363">
        <f t="shared" ref="B519:G519" si="34">SUM(B516:B518)</f>
        <v>-144582047.35333335</v>
      </c>
      <c r="C519" s="363">
        <f t="shared" si="34"/>
        <v>-7681955.8988163471</v>
      </c>
      <c r="D519" s="363">
        <f t="shared" si="34"/>
        <v>-7681955.8988163471</v>
      </c>
      <c r="E519" s="363">
        <f t="shared" si="34"/>
        <v>-7681955.8988163471</v>
      </c>
      <c r="F519" s="363">
        <f t="shared" si="34"/>
        <v>-7681955.8988163471</v>
      </c>
      <c r="G519" s="363">
        <f t="shared" si="34"/>
        <v>1970000</v>
      </c>
      <c r="H519" s="98"/>
      <c r="I519" s="98"/>
      <c r="J519" s="98"/>
    </row>
    <row r="520" spans="1:10" ht="15.75" x14ac:dyDescent="0.25">
      <c r="A520" s="98"/>
      <c r="B520" s="98"/>
      <c r="C520" s="135"/>
      <c r="D520" s="98"/>
      <c r="E520" s="98"/>
      <c r="F520" s="98"/>
      <c r="G520" s="98"/>
      <c r="H520" s="98"/>
      <c r="I520" s="98"/>
      <c r="J520" s="98"/>
    </row>
    <row r="521" spans="1:10" ht="15.75" x14ac:dyDescent="0.25">
      <c r="A521" s="98"/>
      <c r="B521" s="98"/>
      <c r="C521" s="98"/>
      <c r="D521" s="98"/>
      <c r="E521" s="98"/>
      <c r="F521" s="98"/>
      <c r="G521" s="98"/>
      <c r="H521" s="98"/>
      <c r="I521" s="98"/>
      <c r="J521" s="98"/>
    </row>
    <row r="522" spans="1:10" ht="15.75" x14ac:dyDescent="0.25">
      <c r="A522" s="81" t="s">
        <v>394</v>
      </c>
      <c r="B522" s="81"/>
      <c r="C522" s="81"/>
      <c r="D522" s="81"/>
      <c r="E522" s="81"/>
      <c r="F522" s="81"/>
      <c r="G522" s="81"/>
      <c r="H522" s="81"/>
      <c r="I522" s="98"/>
      <c r="J522" s="98"/>
    </row>
    <row r="523" spans="1:10" ht="15.75" x14ac:dyDescent="0.25">
      <c r="A523" s="366" t="s">
        <v>147</v>
      </c>
      <c r="B523" s="83" t="s">
        <v>132</v>
      </c>
      <c r="C523" s="84"/>
      <c r="D523" s="84"/>
      <c r="E523" s="84"/>
      <c r="F523" s="84"/>
      <c r="G523" s="84"/>
      <c r="H523" s="85"/>
      <c r="I523" s="98"/>
      <c r="J523" s="98"/>
    </row>
    <row r="524" spans="1:10" ht="15.75" x14ac:dyDescent="0.25">
      <c r="A524" s="367"/>
      <c r="B524" s="82" t="s">
        <v>227</v>
      </c>
      <c r="C524" s="82">
        <v>0</v>
      </c>
      <c r="D524" s="82">
        <v>1</v>
      </c>
      <c r="E524" s="82">
        <v>2</v>
      </c>
      <c r="F524" s="82">
        <v>3</v>
      </c>
      <c r="G524" s="82">
        <v>4</v>
      </c>
      <c r="H524" s="82">
        <v>5</v>
      </c>
      <c r="I524" s="98"/>
      <c r="J524" s="98"/>
    </row>
    <row r="525" spans="1:10" ht="15.75" x14ac:dyDescent="0.25">
      <c r="A525" s="247" t="s">
        <v>228</v>
      </c>
      <c r="B525" s="98"/>
      <c r="C525" s="98"/>
      <c r="D525" s="98"/>
      <c r="E525" s="98"/>
      <c r="F525" s="98"/>
      <c r="G525" s="98"/>
      <c r="H525" s="112"/>
      <c r="I525" s="98"/>
      <c r="J525" s="98"/>
    </row>
    <row r="526" spans="1:10" ht="15.75" x14ac:dyDescent="0.25">
      <c r="A526" s="372" t="s">
        <v>229</v>
      </c>
      <c r="B526" s="108" t="s">
        <v>235</v>
      </c>
      <c r="C526" s="187">
        <f>-D36</f>
        <v>-4340000</v>
      </c>
      <c r="D526" s="96"/>
      <c r="E526" s="96"/>
      <c r="F526" s="96"/>
      <c r="G526" s="96"/>
      <c r="H526" s="96"/>
      <c r="I526" s="98"/>
      <c r="J526" s="98"/>
    </row>
    <row r="527" spans="1:10" ht="15.75" x14ac:dyDescent="0.25">
      <c r="A527" s="372" t="s">
        <v>166</v>
      </c>
      <c r="B527" s="108" t="s">
        <v>235</v>
      </c>
      <c r="C527" s="370" t="s">
        <v>31</v>
      </c>
      <c r="D527" s="96"/>
      <c r="E527" s="96"/>
      <c r="F527" s="96"/>
      <c r="G527" s="96"/>
      <c r="H527" s="96"/>
      <c r="I527" s="98"/>
      <c r="J527" s="98"/>
    </row>
    <row r="528" spans="1:10" ht="15.75" x14ac:dyDescent="0.25">
      <c r="A528" s="372" t="s">
        <v>230</v>
      </c>
      <c r="B528" s="108" t="s">
        <v>235</v>
      </c>
      <c r="C528" s="187">
        <f>-D58</f>
        <v>-2780000</v>
      </c>
      <c r="D528" s="96"/>
      <c r="E528" s="96"/>
      <c r="F528" s="96"/>
      <c r="G528" s="96"/>
      <c r="H528" s="96"/>
      <c r="I528" s="98"/>
      <c r="J528" s="98"/>
    </row>
    <row r="529" spans="1:10" ht="15.75" x14ac:dyDescent="0.25">
      <c r="A529" s="96"/>
      <c r="B529" s="108"/>
      <c r="C529" s="187">
        <f>SUM(C526:C528)</f>
        <v>-7120000</v>
      </c>
      <c r="D529" s="96"/>
      <c r="E529" s="96"/>
      <c r="F529" s="96"/>
      <c r="G529" s="96"/>
      <c r="H529" s="96"/>
      <c r="I529" s="98"/>
      <c r="J529" s="98"/>
    </row>
    <row r="530" spans="1:10" ht="15.75" x14ac:dyDescent="0.25">
      <c r="A530" s="374" t="s">
        <v>231</v>
      </c>
      <c r="B530" s="375"/>
      <c r="C530" s="98"/>
      <c r="D530" s="98"/>
      <c r="E530" s="98"/>
      <c r="F530" s="98"/>
      <c r="G530" s="98"/>
      <c r="H530" s="131"/>
      <c r="I530" s="98"/>
      <c r="J530" s="98"/>
    </row>
    <row r="531" spans="1:10" ht="15.75" x14ac:dyDescent="0.25">
      <c r="A531" s="372" t="s">
        <v>232</v>
      </c>
      <c r="B531" s="108" t="s">
        <v>235</v>
      </c>
      <c r="C531" s="187">
        <f>-D72</f>
        <v>-9750000</v>
      </c>
      <c r="D531" s="96"/>
      <c r="E531" s="96"/>
      <c r="F531" s="96"/>
      <c r="G531" s="96"/>
      <c r="H531" s="96"/>
      <c r="I531" s="98"/>
      <c r="J531" s="98"/>
    </row>
    <row r="532" spans="1:10" ht="15.75" x14ac:dyDescent="0.25">
      <c r="A532" s="372" t="s">
        <v>233</v>
      </c>
      <c r="B532" s="108" t="s">
        <v>235</v>
      </c>
      <c r="C532" s="187">
        <f>-D24</f>
        <v>-930000</v>
      </c>
      <c r="D532" s="96"/>
      <c r="E532" s="96"/>
      <c r="F532" s="96"/>
      <c r="G532" s="96"/>
      <c r="H532" s="96"/>
      <c r="I532" s="98"/>
      <c r="J532" s="98"/>
    </row>
    <row r="533" spans="1:10" ht="15.75" x14ac:dyDescent="0.25">
      <c r="A533" s="372" t="s">
        <v>196</v>
      </c>
      <c r="B533" s="108" t="s">
        <v>236</v>
      </c>
      <c r="C533" s="187">
        <f>-B441</f>
        <v>-126782047.35333335</v>
      </c>
      <c r="D533" s="187">
        <f>C446</f>
        <v>-7681955.8988163471</v>
      </c>
      <c r="E533" s="187">
        <f>D446</f>
        <v>-7681955.8988163471</v>
      </c>
      <c r="F533" s="187">
        <f>E446</f>
        <v>-7681955.8988163471</v>
      </c>
      <c r="G533" s="187">
        <f>F446</f>
        <v>-7681955.8988163471</v>
      </c>
      <c r="H533" s="96"/>
      <c r="I533" s="98"/>
      <c r="J533" s="98"/>
    </row>
    <row r="534" spans="1:10" ht="15.75" x14ac:dyDescent="0.25">
      <c r="A534" s="81" t="s">
        <v>234</v>
      </c>
      <c r="B534" s="81"/>
      <c r="C534" s="363">
        <f>SUM(C529:C533)</f>
        <v>-144582047.35333335</v>
      </c>
      <c r="D534" s="363">
        <f>SUM(D529:D533)</f>
        <v>-7681955.8988163471</v>
      </c>
      <c r="E534" s="363">
        <f>SUM(E529:E533)</f>
        <v>-7681955.8988163471</v>
      </c>
      <c r="F534" s="363">
        <f>SUM(F529:F533)</f>
        <v>-7681955.8988163471</v>
      </c>
      <c r="G534" s="363">
        <f>SUM(G529:G533)</f>
        <v>-7681955.8988163471</v>
      </c>
      <c r="H534" s="82"/>
      <c r="I534" s="98"/>
      <c r="J534" s="98"/>
    </row>
    <row r="535" spans="1:10" ht="15.75" x14ac:dyDescent="0.25">
      <c r="A535" s="98"/>
      <c r="B535" s="98"/>
      <c r="C535" s="98"/>
      <c r="D535" s="98"/>
      <c r="E535" s="98"/>
      <c r="F535" s="98"/>
      <c r="G535" s="98"/>
      <c r="H535" s="203"/>
      <c r="I535" s="98"/>
      <c r="J535" s="98"/>
    </row>
    <row r="536" spans="1:10" ht="15.75" x14ac:dyDescent="0.25">
      <c r="A536" s="98"/>
      <c r="B536" s="98"/>
      <c r="C536" s="98"/>
      <c r="D536" s="98"/>
      <c r="E536" s="98"/>
      <c r="F536" s="98"/>
      <c r="G536" s="98"/>
      <c r="H536" s="203"/>
      <c r="I536" s="98"/>
      <c r="J536" s="98"/>
    </row>
    <row r="537" spans="1:10" ht="15.75" x14ac:dyDescent="0.25">
      <c r="A537" s="376" t="s">
        <v>395</v>
      </c>
      <c r="B537" s="377"/>
      <c r="C537" s="377"/>
      <c r="D537" s="377"/>
      <c r="E537" s="378"/>
      <c r="F537" s="98"/>
      <c r="G537" s="98"/>
      <c r="H537" s="98"/>
      <c r="I537" s="98"/>
      <c r="J537" s="98"/>
    </row>
    <row r="538" spans="1:10" ht="63" x14ac:dyDescent="0.25">
      <c r="A538" s="379" t="s">
        <v>237</v>
      </c>
      <c r="B538" s="380" t="s">
        <v>240</v>
      </c>
      <c r="C538" s="380" t="s">
        <v>238</v>
      </c>
      <c r="D538" s="380" t="s">
        <v>239</v>
      </c>
      <c r="E538" s="381" t="s">
        <v>241</v>
      </c>
      <c r="F538" s="382"/>
      <c r="G538" s="98"/>
      <c r="H538" s="98"/>
      <c r="I538" s="98"/>
      <c r="J538" s="98"/>
    </row>
    <row r="539" spans="1:10" ht="15.75" x14ac:dyDescent="0.25">
      <c r="A539" s="98"/>
      <c r="B539" s="98"/>
      <c r="C539" s="98"/>
      <c r="D539" s="98"/>
      <c r="E539" s="98"/>
      <c r="F539" s="98"/>
      <c r="G539" s="98"/>
      <c r="H539" s="98"/>
      <c r="I539" s="98"/>
      <c r="J539" s="98"/>
    </row>
    <row r="540" spans="1:10" ht="15.75" x14ac:dyDescent="0.25">
      <c r="A540" s="98" t="s">
        <v>465</v>
      </c>
      <c r="B540" s="334">
        <v>0.6</v>
      </c>
      <c r="C540" s="98"/>
      <c r="D540" s="98"/>
      <c r="E540" s="98"/>
      <c r="F540" s="98"/>
      <c r="G540" s="98"/>
      <c r="H540" s="98"/>
      <c r="I540" s="98"/>
      <c r="J540" s="98"/>
    </row>
    <row r="541" spans="1:10" ht="15.75" x14ac:dyDescent="0.25">
      <c r="A541" s="98" t="s">
        <v>464</v>
      </c>
      <c r="B541" s="383">
        <f>C534</f>
        <v>-144582047.35333335</v>
      </c>
      <c r="C541" s="98"/>
      <c r="D541" s="98"/>
      <c r="E541" s="98"/>
      <c r="F541" s="98"/>
      <c r="G541" s="98"/>
      <c r="H541" s="98"/>
      <c r="I541" s="98"/>
      <c r="J541" s="98"/>
    </row>
    <row r="542" spans="1:10" ht="15.75" x14ac:dyDescent="0.25">
      <c r="A542" s="98" t="s">
        <v>463</v>
      </c>
      <c r="B542" s="383">
        <f>B541*B540</f>
        <v>-86749228.412000015</v>
      </c>
      <c r="C542" s="98"/>
      <c r="D542" s="98"/>
      <c r="E542" s="98"/>
      <c r="F542" s="98"/>
      <c r="G542" s="98"/>
      <c r="H542" s="98"/>
      <c r="I542" s="98"/>
      <c r="J542" s="98"/>
    </row>
    <row r="543" spans="1:10" ht="15.75" x14ac:dyDescent="0.25">
      <c r="A543" s="384" t="s">
        <v>342</v>
      </c>
      <c r="B543" s="384"/>
      <c r="C543" s="98"/>
      <c r="D543" s="98"/>
      <c r="E543" s="98"/>
      <c r="F543" s="98"/>
      <c r="G543" s="98"/>
      <c r="H543" s="98"/>
      <c r="I543" s="98"/>
      <c r="J543" s="98"/>
    </row>
    <row r="544" spans="1:10" ht="15.75" x14ac:dyDescent="0.25">
      <c r="A544" s="385" t="s">
        <v>343</v>
      </c>
      <c r="B544" s="386">
        <v>0.2387</v>
      </c>
      <c r="C544" s="98" t="s">
        <v>344</v>
      </c>
      <c r="D544" s="98"/>
      <c r="E544" s="98"/>
      <c r="F544" s="98"/>
      <c r="G544" s="98"/>
      <c r="H544" s="98"/>
      <c r="I544" s="98"/>
      <c r="J544" s="98"/>
    </row>
    <row r="545" spans="1:10" ht="15.75" x14ac:dyDescent="0.25">
      <c r="A545" s="385" t="s">
        <v>345</v>
      </c>
      <c r="B545" s="135">
        <f>B542</f>
        <v>-86749228.412000015</v>
      </c>
      <c r="C545" s="98"/>
      <c r="D545" s="98"/>
      <c r="E545" s="98"/>
      <c r="F545" s="98"/>
      <c r="G545" s="98"/>
      <c r="H545" s="98"/>
      <c r="I545" s="98"/>
      <c r="J545" s="98"/>
    </row>
    <row r="546" spans="1:10" ht="15.75" x14ac:dyDescent="0.25">
      <c r="A546" s="385" t="s">
        <v>346</v>
      </c>
      <c r="B546" s="98">
        <v>5</v>
      </c>
      <c r="C546" s="98" t="s">
        <v>132</v>
      </c>
      <c r="D546" s="98"/>
      <c r="E546" s="98"/>
      <c r="F546" s="98"/>
      <c r="G546" s="98"/>
      <c r="H546" s="98"/>
      <c r="I546" s="98"/>
      <c r="J546" s="98"/>
    </row>
    <row r="547" spans="1:10" ht="15.75" x14ac:dyDescent="0.25">
      <c r="A547" s="385" t="s">
        <v>347</v>
      </c>
      <c r="B547" s="387">
        <f>PMT(B544,B546,B545)</f>
        <v>31512838.651298713</v>
      </c>
      <c r="C547" s="388"/>
      <c r="D547" s="98"/>
      <c r="E547" s="98"/>
      <c r="F547" s="98"/>
      <c r="G547" s="98"/>
      <c r="H547" s="98"/>
      <c r="I547" s="98"/>
      <c r="J547" s="98"/>
    </row>
    <row r="548" spans="1:10" ht="15.75" x14ac:dyDescent="0.25">
      <c r="A548" s="98"/>
      <c r="B548" s="98"/>
      <c r="C548" s="98"/>
      <c r="D548" s="98"/>
      <c r="E548" s="98"/>
      <c r="F548" s="98"/>
      <c r="G548" s="98"/>
      <c r="H548" s="98"/>
      <c r="I548" s="98"/>
      <c r="J548" s="98"/>
    </row>
    <row r="549" spans="1:10" ht="15.75" x14ac:dyDescent="0.25">
      <c r="A549" s="98"/>
      <c r="B549" s="98"/>
      <c r="C549" s="98"/>
      <c r="D549" s="98"/>
      <c r="E549" s="98"/>
      <c r="F549" s="98"/>
      <c r="G549" s="98"/>
      <c r="H549" s="98"/>
      <c r="I549" s="98"/>
      <c r="J549" s="98"/>
    </row>
    <row r="550" spans="1:10" ht="15.75" x14ac:dyDescent="0.25">
      <c r="A550" s="98"/>
      <c r="B550" s="389" t="s">
        <v>348</v>
      </c>
      <c r="C550" s="389"/>
      <c r="D550" s="389"/>
      <c r="E550" s="389"/>
      <c r="F550" s="389"/>
      <c r="G550" s="389"/>
      <c r="H550" s="98"/>
      <c r="I550" s="98"/>
      <c r="J550" s="98"/>
    </row>
    <row r="551" spans="1:10" ht="31.5" x14ac:dyDescent="0.25">
      <c r="A551" s="98"/>
      <c r="B551" s="390" t="s">
        <v>349</v>
      </c>
      <c r="C551" s="390" t="s">
        <v>350</v>
      </c>
      <c r="D551" s="390" t="s">
        <v>351</v>
      </c>
      <c r="E551" s="390" t="s">
        <v>352</v>
      </c>
      <c r="F551" s="390" t="s">
        <v>353</v>
      </c>
      <c r="G551" s="390" t="s">
        <v>354</v>
      </c>
      <c r="H551" s="98"/>
      <c r="I551" s="98"/>
      <c r="J551" s="98"/>
    </row>
    <row r="552" spans="1:10" ht="15.75" x14ac:dyDescent="0.25">
      <c r="A552" s="98"/>
      <c r="B552" s="391">
        <v>1</v>
      </c>
      <c r="C552" s="392">
        <f>-B545</f>
        <v>86749228.412000015</v>
      </c>
      <c r="D552" s="392">
        <f>C552*$B$544</f>
        <v>20707040.821944404</v>
      </c>
      <c r="E552" s="392">
        <f>$F$552-D552</f>
        <v>10805797.829354309</v>
      </c>
      <c r="F552" s="392">
        <f>$B$547</f>
        <v>31512838.651298713</v>
      </c>
      <c r="G552" s="392">
        <f>C552-E552</f>
        <v>75943430.582645714</v>
      </c>
      <c r="H552" s="98"/>
      <c r="I552" s="98"/>
      <c r="J552" s="98"/>
    </row>
    <row r="553" spans="1:10" ht="15.75" x14ac:dyDescent="0.25">
      <c r="A553" s="98"/>
      <c r="B553" s="391">
        <v>2</v>
      </c>
      <c r="C553" s="392">
        <f>G552</f>
        <v>75943430.582645714</v>
      </c>
      <c r="D553" s="392">
        <f>C553*$B$544</f>
        <v>18127696.880077533</v>
      </c>
      <c r="E553" s="392">
        <f>$F$552-D553</f>
        <v>13385141.77122118</v>
      </c>
      <c r="F553" s="392">
        <f>$B$547</f>
        <v>31512838.651298713</v>
      </c>
      <c r="G553" s="392">
        <f>C553-E553</f>
        <v>62558288.811424538</v>
      </c>
      <c r="H553" s="98"/>
      <c r="I553" s="98"/>
      <c r="J553" s="98"/>
    </row>
    <row r="554" spans="1:10" ht="15.75" x14ac:dyDescent="0.25">
      <c r="A554" s="98"/>
      <c r="B554" s="391">
        <v>3</v>
      </c>
      <c r="C554" s="392">
        <f>G553</f>
        <v>62558288.811424538</v>
      </c>
      <c r="D554" s="392">
        <f>C554*$B$544</f>
        <v>14932663.539287036</v>
      </c>
      <c r="E554" s="392">
        <f>$F$552-D554</f>
        <v>16580175.112011677</v>
      </c>
      <c r="F554" s="392">
        <f>$B$547</f>
        <v>31512838.651298713</v>
      </c>
      <c r="G554" s="392">
        <f>C554-E554</f>
        <v>45978113.69941286</v>
      </c>
      <c r="H554" s="270"/>
      <c r="I554" s="98"/>
      <c r="J554" s="98"/>
    </row>
    <row r="555" spans="1:10" ht="15.75" x14ac:dyDescent="0.25">
      <c r="A555" s="98"/>
      <c r="B555" s="391">
        <v>4</v>
      </c>
      <c r="C555" s="392">
        <f>G554</f>
        <v>45978113.69941286</v>
      </c>
      <c r="D555" s="392">
        <f>C555*$B$544</f>
        <v>10974975.74004985</v>
      </c>
      <c r="E555" s="392">
        <f>$F$552-D555</f>
        <v>20537862.911248863</v>
      </c>
      <c r="F555" s="392">
        <f>$B$547</f>
        <v>31512838.651298713</v>
      </c>
      <c r="G555" s="392">
        <f>C555-E555</f>
        <v>25440250.788163997</v>
      </c>
      <c r="H555" s="98"/>
      <c r="I555" s="98"/>
      <c r="J555" s="98"/>
    </row>
    <row r="556" spans="1:10" ht="18.75" customHeight="1" x14ac:dyDescent="0.25">
      <c r="A556" s="98"/>
      <c r="B556" s="391">
        <v>5</v>
      </c>
      <c r="C556" s="392">
        <f>G555</f>
        <v>25440250.788163997</v>
      </c>
      <c r="D556" s="392">
        <f>C556*$B$544</f>
        <v>6072587.8631347464</v>
      </c>
      <c r="E556" s="392">
        <f>$F$552-D556</f>
        <v>25440250.788163967</v>
      </c>
      <c r="F556" s="392">
        <f>$B$547</f>
        <v>31512838.651298713</v>
      </c>
      <c r="G556" s="392">
        <f>C556-E556</f>
        <v>2.9802322387695313E-8</v>
      </c>
      <c r="H556" s="98"/>
      <c r="I556" s="98"/>
      <c r="J556" s="98"/>
    </row>
    <row r="557" spans="1:10" ht="18.75" customHeight="1" x14ac:dyDescent="0.25">
      <c r="A557" s="98"/>
      <c r="B557" s="98"/>
      <c r="C557" s="98"/>
      <c r="D557" s="98"/>
      <c r="E557" s="98"/>
      <c r="F557" s="98"/>
      <c r="G557" s="98"/>
      <c r="H557" s="98"/>
      <c r="I557" s="98"/>
      <c r="J557" s="98"/>
    </row>
    <row r="558" spans="1:10" ht="18.75" customHeight="1" x14ac:dyDescent="0.25">
      <c r="A558" s="98" t="s">
        <v>400</v>
      </c>
      <c r="B558" s="98"/>
      <c r="C558" s="98"/>
      <c r="D558" s="98"/>
      <c r="E558" s="98"/>
      <c r="F558" s="98"/>
      <c r="G558" s="98"/>
      <c r="H558" s="98"/>
      <c r="I558" s="98"/>
      <c r="J558" s="98"/>
    </row>
    <row r="559" spans="1:10" ht="18.75" customHeight="1" x14ac:dyDescent="0.25">
      <c r="A559" s="98"/>
      <c r="B559" s="98"/>
      <c r="C559" s="98"/>
      <c r="D559" s="98"/>
      <c r="E559" s="98"/>
      <c r="F559" s="98"/>
      <c r="G559" s="98"/>
      <c r="H559" s="98"/>
      <c r="I559" s="98"/>
      <c r="J559" s="98"/>
    </row>
    <row r="560" spans="1:10" ht="18.75" customHeight="1" x14ac:dyDescent="0.25">
      <c r="A560" s="98" t="s">
        <v>401</v>
      </c>
      <c r="B560" s="98"/>
      <c r="C560" s="98"/>
      <c r="D560" s="98"/>
      <c r="E560" s="98"/>
      <c r="F560" s="98"/>
      <c r="G560" s="98"/>
      <c r="H560" s="98"/>
      <c r="I560" s="98"/>
      <c r="J560" s="98"/>
    </row>
    <row r="561" spans="1:10" ht="18.75" customHeight="1" x14ac:dyDescent="0.25">
      <c r="A561" s="98" t="s">
        <v>402</v>
      </c>
      <c r="B561" s="98"/>
      <c r="C561" s="98"/>
      <c r="D561" s="98"/>
      <c r="E561" s="98"/>
      <c r="F561" s="98"/>
      <c r="G561" s="98"/>
      <c r="H561" s="98"/>
      <c r="I561" s="98"/>
      <c r="J561" s="98"/>
    </row>
    <row r="562" spans="1:10" ht="18.75" customHeight="1" x14ac:dyDescent="0.25">
      <c r="A562" s="98" t="s">
        <v>403</v>
      </c>
      <c r="B562" s="98"/>
      <c r="C562" s="98"/>
      <c r="D562" s="98"/>
      <c r="E562" s="98"/>
      <c r="F562" s="98"/>
      <c r="G562" s="98"/>
      <c r="H562" s="98"/>
      <c r="I562" s="98"/>
      <c r="J562" s="98"/>
    </row>
    <row r="563" spans="1:10" ht="18.75" customHeight="1" x14ac:dyDescent="0.25">
      <c r="A563" s="98" t="s">
        <v>404</v>
      </c>
      <c r="B563" s="98"/>
      <c r="C563" s="98"/>
      <c r="D563" s="98"/>
      <c r="E563" s="98"/>
      <c r="F563" s="98"/>
      <c r="G563" s="98"/>
      <c r="H563" s="98"/>
      <c r="I563" s="98"/>
      <c r="J563" s="98"/>
    </row>
    <row r="564" spans="1:10" ht="18.75" customHeight="1" x14ac:dyDescent="0.25">
      <c r="A564" s="98" t="s">
        <v>405</v>
      </c>
      <c r="B564" s="393">
        <f>B12</f>
        <v>6.4500000000000002E-2</v>
      </c>
      <c r="C564" s="98"/>
      <c r="D564" s="98"/>
      <c r="E564" s="98"/>
      <c r="F564" s="98"/>
      <c r="G564" s="98"/>
      <c r="H564" s="98"/>
      <c r="I564" s="98"/>
      <c r="J564" s="98"/>
    </row>
    <row r="565" spans="1:10" ht="18.75" customHeight="1" x14ac:dyDescent="0.25">
      <c r="A565" s="98" t="s">
        <v>406</v>
      </c>
      <c r="B565" s="98"/>
      <c r="C565" s="98"/>
      <c r="D565" s="98"/>
      <c r="E565" s="98"/>
      <c r="F565" s="98"/>
      <c r="G565" s="98"/>
      <c r="H565" s="98"/>
      <c r="I565" s="98"/>
      <c r="J565" s="98"/>
    </row>
    <row r="566" spans="1:10" ht="18.75" customHeight="1" x14ac:dyDescent="0.25">
      <c r="A566" s="98"/>
      <c r="B566" s="98"/>
      <c r="C566" s="98"/>
      <c r="D566" s="98"/>
      <c r="E566" s="98"/>
      <c r="F566" s="98"/>
      <c r="G566" s="98"/>
      <c r="H566" s="98"/>
      <c r="I566" s="98"/>
      <c r="J566" s="98"/>
    </row>
    <row r="567" spans="1:10" ht="18.75" customHeight="1" x14ac:dyDescent="0.25">
      <c r="A567" s="98" t="s">
        <v>462</v>
      </c>
      <c r="B567" s="387">
        <f>D552/(1+B564)</f>
        <v>19452363.383696012</v>
      </c>
      <c r="C567" s="98" t="s">
        <v>415</v>
      </c>
      <c r="D567" s="98"/>
      <c r="E567" s="383"/>
      <c r="F567" s="98"/>
      <c r="G567" s="98"/>
      <c r="H567" s="98"/>
      <c r="I567" s="98"/>
      <c r="J567" s="98"/>
    </row>
    <row r="568" spans="1:10" ht="18.75" customHeight="1" x14ac:dyDescent="0.25">
      <c r="A568" s="98" t="s">
        <v>461</v>
      </c>
      <c r="B568" s="387">
        <f>D553/(1+B564)^2</f>
        <v>15997469.801890362</v>
      </c>
      <c r="C568" s="98" t="s">
        <v>416</v>
      </c>
      <c r="D568" s="98"/>
      <c r="E568" s="383"/>
      <c r="F568" s="98"/>
      <c r="G568" s="98"/>
      <c r="H568" s="98"/>
      <c r="I568" s="98"/>
      <c r="J568" s="98"/>
    </row>
    <row r="569" spans="1:10" ht="18.75" customHeight="1" x14ac:dyDescent="0.25">
      <c r="A569" s="98" t="s">
        <v>460</v>
      </c>
      <c r="B569" s="387">
        <f>D554/(1+B564)^3</f>
        <v>12379419.566863498</v>
      </c>
      <c r="C569" s="98" t="s">
        <v>417</v>
      </c>
      <c r="D569" s="98"/>
      <c r="E569" s="383"/>
      <c r="F569" s="98"/>
      <c r="G569" s="98"/>
      <c r="H569" s="98"/>
      <c r="I569" s="98"/>
      <c r="J569" s="98"/>
    </row>
    <row r="570" spans="1:10" ht="18.75" customHeight="1" x14ac:dyDescent="0.25">
      <c r="A570" s="98" t="s">
        <v>459</v>
      </c>
      <c r="B570" s="387">
        <f>D555/(1+B564)^4</f>
        <v>8547141.7351830658</v>
      </c>
      <c r="C570" s="98" t="s">
        <v>418</v>
      </c>
      <c r="D570" s="98"/>
      <c r="E570" s="383"/>
      <c r="F570" s="98"/>
      <c r="G570" s="98"/>
      <c r="H570" s="98"/>
      <c r="I570" s="98"/>
      <c r="J570" s="98"/>
    </row>
    <row r="571" spans="1:10" ht="18.75" customHeight="1" x14ac:dyDescent="0.25">
      <c r="A571" s="98" t="s">
        <v>458</v>
      </c>
      <c r="B571" s="387">
        <f>D556/(1+B564)^5</f>
        <v>4442684.5586449662</v>
      </c>
      <c r="C571" s="98" t="s">
        <v>419</v>
      </c>
      <c r="D571" s="98"/>
      <c r="E571" s="383"/>
      <c r="F571" s="98"/>
      <c r="G571" s="98"/>
      <c r="H571" s="98"/>
      <c r="I571" s="98"/>
      <c r="J571" s="98"/>
    </row>
    <row r="572" spans="1:10" ht="18.75" customHeight="1" x14ac:dyDescent="0.25">
      <c r="A572" s="98"/>
      <c r="B572" s="387"/>
      <c r="C572" s="98"/>
      <c r="D572" s="98"/>
      <c r="E572" s="98"/>
      <c r="F572" s="98"/>
      <c r="G572" s="98"/>
      <c r="H572" s="98"/>
      <c r="I572" s="98"/>
      <c r="J572" s="98"/>
    </row>
    <row r="573" spans="1:10" ht="18.75" customHeight="1" x14ac:dyDescent="0.25">
      <c r="A573" s="98" t="s">
        <v>412</v>
      </c>
      <c r="B573" s="387"/>
      <c r="C573" s="98"/>
      <c r="D573" s="98"/>
      <c r="E573" s="98"/>
      <c r="F573" s="98"/>
      <c r="G573" s="98"/>
      <c r="H573" s="98"/>
      <c r="I573" s="98"/>
      <c r="J573" s="98"/>
    </row>
    <row r="574" spans="1:10" ht="18.75" customHeight="1" x14ac:dyDescent="0.25">
      <c r="A574" s="98"/>
      <c r="B574" s="387"/>
      <c r="C574" s="98"/>
      <c r="D574" s="98"/>
      <c r="E574" s="98"/>
      <c r="F574" s="98"/>
      <c r="G574" s="98"/>
      <c r="H574" s="98"/>
      <c r="I574" s="98"/>
      <c r="J574" s="98"/>
    </row>
    <row r="575" spans="1:10" ht="18.75" customHeight="1" x14ac:dyDescent="0.25">
      <c r="A575" s="98" t="s">
        <v>457</v>
      </c>
      <c r="B575" s="387">
        <f>E552/(1+0.0645)^1</f>
        <v>10151054.795072155</v>
      </c>
      <c r="C575" s="98" t="s">
        <v>415</v>
      </c>
      <c r="D575" s="98"/>
      <c r="E575" s="98"/>
      <c r="F575" s="98"/>
      <c r="G575" s="98"/>
      <c r="H575" s="98"/>
      <c r="I575" s="98"/>
      <c r="J575" s="98"/>
    </row>
    <row r="576" spans="1:10" ht="18.75" customHeight="1" x14ac:dyDescent="0.25">
      <c r="A576" s="98" t="s">
        <v>456</v>
      </c>
      <c r="B576" s="387">
        <f>E553/(1+0.0645)^2</f>
        <v>11812223.179573392</v>
      </c>
      <c r="C576" s="98" t="s">
        <v>416</v>
      </c>
      <c r="D576" s="98"/>
      <c r="E576" s="98"/>
      <c r="F576" s="98"/>
      <c r="G576" s="98"/>
      <c r="H576" s="98"/>
      <c r="I576" s="98"/>
      <c r="J576" s="98"/>
    </row>
    <row r="577" spans="1:10" ht="18.75" customHeight="1" x14ac:dyDescent="0.25">
      <c r="A577" s="98" t="s">
        <v>455</v>
      </c>
      <c r="B577" s="387">
        <f>E554/(1+0.0645)^3</f>
        <v>13745233.304403534</v>
      </c>
      <c r="C577" s="98" t="s">
        <v>417</v>
      </c>
      <c r="D577" s="98"/>
      <c r="E577" s="98"/>
      <c r="F577" s="98"/>
      <c r="G577" s="98"/>
      <c r="H577" s="98"/>
      <c r="I577" s="98"/>
      <c r="J577" s="98"/>
    </row>
    <row r="578" spans="1:10" ht="18.75" customHeight="1" x14ac:dyDescent="0.25">
      <c r="A578" s="98" t="s">
        <v>454</v>
      </c>
      <c r="B578" s="387">
        <f>E555/(1+0.0645)^4</f>
        <v>15994570.684983237</v>
      </c>
      <c r="C578" s="98" t="s">
        <v>418</v>
      </c>
      <c r="D578" s="98"/>
      <c r="E578" s="98"/>
      <c r="F578" s="98"/>
      <c r="G578" s="98"/>
      <c r="H578" s="98"/>
      <c r="I578" s="98"/>
      <c r="J578" s="98"/>
    </row>
    <row r="579" spans="1:10" ht="18.75" customHeight="1" x14ac:dyDescent="0.25">
      <c r="A579" s="98" t="s">
        <v>453</v>
      </c>
      <c r="B579" s="387">
        <f>E556/(1+0.0645)^5</f>
        <v>18612000.664620701</v>
      </c>
      <c r="C579" s="98" t="s">
        <v>419</v>
      </c>
      <c r="D579" s="98"/>
      <c r="E579" s="98"/>
      <c r="F579" s="98"/>
      <c r="G579" s="98"/>
      <c r="H579" s="98"/>
      <c r="I579" s="98"/>
      <c r="J579" s="98"/>
    </row>
    <row r="580" spans="1:10" ht="18.75" customHeight="1" x14ac:dyDescent="0.25">
      <c r="A580" s="98"/>
      <c r="B580" s="387"/>
      <c r="C580" s="98"/>
      <c r="D580" s="98"/>
      <c r="E580" s="98"/>
      <c r="F580" s="98"/>
      <c r="G580" s="98"/>
      <c r="H580" s="98"/>
      <c r="I580" s="98"/>
      <c r="J580" s="98"/>
    </row>
    <row r="581" spans="1:10" ht="18.75" customHeight="1" x14ac:dyDescent="0.25">
      <c r="A581" s="81" t="s">
        <v>407</v>
      </c>
      <c r="B581" s="81"/>
      <c r="C581" s="81"/>
      <c r="D581" s="81"/>
      <c r="E581" s="81"/>
      <c r="F581" s="81"/>
      <c r="G581" s="98"/>
      <c r="H581" s="98"/>
      <c r="I581" s="98"/>
      <c r="J581" s="98"/>
    </row>
    <row r="582" spans="1:10" ht="18.75" customHeight="1" x14ac:dyDescent="0.25">
      <c r="A582" s="394" t="s">
        <v>409</v>
      </c>
      <c r="B582" s="394"/>
      <c r="C582" s="394"/>
      <c r="D582" s="394"/>
      <c r="E582" s="394"/>
      <c r="F582" s="394"/>
      <c r="G582" s="98"/>
      <c r="H582" s="98"/>
      <c r="I582" s="98"/>
      <c r="J582" s="98"/>
    </row>
    <row r="583" spans="1:10" ht="18.75" customHeight="1" x14ac:dyDescent="0.25">
      <c r="A583" s="82" t="s">
        <v>408</v>
      </c>
      <c r="B583" s="395">
        <v>1</v>
      </c>
      <c r="C583" s="82">
        <v>2</v>
      </c>
      <c r="D583" s="82">
        <v>3</v>
      </c>
      <c r="E583" s="82">
        <v>4</v>
      </c>
      <c r="F583" s="82">
        <v>5</v>
      </c>
      <c r="G583" s="98"/>
      <c r="H583" s="98"/>
      <c r="I583" s="98"/>
      <c r="J583" s="98"/>
    </row>
    <row r="584" spans="1:10" ht="18.75" customHeight="1" x14ac:dyDescent="0.25">
      <c r="A584" s="96" t="s">
        <v>410</v>
      </c>
      <c r="B584" s="396">
        <f>B567</f>
        <v>19452363.383696012</v>
      </c>
      <c r="C584" s="396">
        <f>B568</f>
        <v>15997469.801890362</v>
      </c>
      <c r="D584" s="396">
        <f>B569</f>
        <v>12379419.566863498</v>
      </c>
      <c r="E584" s="396">
        <f>B570</f>
        <v>8547141.7351830658</v>
      </c>
      <c r="F584" s="396">
        <f>B571</f>
        <v>4442684.5586449662</v>
      </c>
      <c r="G584" s="98"/>
      <c r="H584" s="98"/>
      <c r="I584" s="98"/>
      <c r="J584" s="98"/>
    </row>
    <row r="585" spans="1:10" ht="18.75" customHeight="1" x14ac:dyDescent="0.25">
      <c r="A585" s="96" t="s">
        <v>413</v>
      </c>
      <c r="B585" s="396">
        <f>B575</f>
        <v>10151054.795072155</v>
      </c>
      <c r="C585" s="396">
        <f>B576</f>
        <v>11812223.179573392</v>
      </c>
      <c r="D585" s="396">
        <f>B577</f>
        <v>13745233.304403534</v>
      </c>
      <c r="E585" s="396">
        <f>B578</f>
        <v>15994570.684983237</v>
      </c>
      <c r="F585" s="396">
        <f>B579</f>
        <v>18612000.664620701</v>
      </c>
      <c r="G585" s="98"/>
      <c r="H585" s="98"/>
      <c r="I585" s="98"/>
      <c r="J585" s="98"/>
    </row>
    <row r="586" spans="1:10" ht="18.75" customHeight="1" x14ac:dyDescent="0.25">
      <c r="A586" s="98"/>
      <c r="B586" s="387"/>
      <c r="C586" s="387"/>
      <c r="D586" s="387"/>
      <c r="E586" s="387"/>
      <c r="F586" s="387"/>
      <c r="G586" s="98"/>
      <c r="H586" s="98"/>
      <c r="I586" s="98"/>
      <c r="J586" s="98"/>
    </row>
    <row r="587" spans="1:10" ht="15.75" x14ac:dyDescent="0.25">
      <c r="A587" s="98"/>
      <c r="B587" s="98"/>
      <c r="C587" s="98"/>
      <c r="D587" s="98"/>
      <c r="E587" s="98"/>
      <c r="F587" s="98"/>
      <c r="G587" s="98"/>
      <c r="H587" s="98"/>
      <c r="I587" s="98"/>
      <c r="J587" s="98"/>
    </row>
    <row r="588" spans="1:10" ht="15.75" x14ac:dyDescent="0.25">
      <c r="A588" s="81" t="s">
        <v>396</v>
      </c>
      <c r="B588" s="81"/>
      <c r="C588" s="81"/>
      <c r="D588" s="81"/>
      <c r="E588" s="81"/>
      <c r="F588" s="81"/>
      <c r="G588" s="98"/>
      <c r="H588" s="98"/>
      <c r="I588" s="98"/>
      <c r="J588" s="98"/>
    </row>
    <row r="589" spans="1:10" ht="15.75" x14ac:dyDescent="0.25">
      <c r="A589" s="366" t="s">
        <v>147</v>
      </c>
      <c r="B589" s="83" t="s">
        <v>132</v>
      </c>
      <c r="C589" s="84"/>
      <c r="D589" s="84"/>
      <c r="E589" s="84"/>
      <c r="F589" s="85"/>
      <c r="G589" s="98"/>
      <c r="H589" s="98"/>
      <c r="I589" s="98"/>
      <c r="J589" s="98"/>
    </row>
    <row r="590" spans="1:10" ht="15.75" x14ac:dyDescent="0.25">
      <c r="A590" s="367"/>
      <c r="B590" s="82">
        <v>1</v>
      </c>
      <c r="C590" s="82">
        <v>2</v>
      </c>
      <c r="D590" s="82">
        <v>3</v>
      </c>
      <c r="E590" s="82">
        <v>4</v>
      </c>
      <c r="F590" s="82">
        <v>5</v>
      </c>
      <c r="G590" s="98"/>
      <c r="H590" s="98"/>
      <c r="I590" s="98"/>
      <c r="J590" s="98"/>
    </row>
    <row r="591" spans="1:10" ht="15.75" x14ac:dyDescent="0.25">
      <c r="A591" s="96" t="s">
        <v>242</v>
      </c>
      <c r="B591" s="397">
        <f>B466</f>
        <v>3456000000</v>
      </c>
      <c r="C591" s="187">
        <f>B591*(1+$B$368)</f>
        <v>3678912000</v>
      </c>
      <c r="D591" s="187">
        <f>$C$591</f>
        <v>3678912000</v>
      </c>
      <c r="E591" s="187">
        <f>$C$591</f>
        <v>3678912000</v>
      </c>
      <c r="F591" s="187">
        <f>$C$591</f>
        <v>3678912000</v>
      </c>
      <c r="G591" s="135"/>
      <c r="H591" s="98"/>
      <c r="I591" s="98"/>
      <c r="J591" s="98"/>
    </row>
    <row r="592" spans="1:10" ht="15.75" x14ac:dyDescent="0.25">
      <c r="A592" s="398" t="s">
        <v>243</v>
      </c>
      <c r="B592" s="187">
        <f>B356</f>
        <v>1524630569.24</v>
      </c>
      <c r="C592" s="187">
        <f>B592*(1+B368)</f>
        <v>1622969240.9559801</v>
      </c>
      <c r="D592" s="187">
        <f>C592</f>
        <v>1622969240.9559801</v>
      </c>
      <c r="E592" s="187">
        <f>D592</f>
        <v>1622969240.9559801</v>
      </c>
      <c r="F592" s="187">
        <f>E592</f>
        <v>1622969240.9559801</v>
      </c>
      <c r="G592" s="135"/>
      <c r="H592" s="98"/>
      <c r="I592" s="98"/>
      <c r="J592" s="98"/>
    </row>
    <row r="593" spans="1:10" ht="15.75" x14ac:dyDescent="0.25">
      <c r="A593" s="399"/>
      <c r="B593" s="400"/>
      <c r="C593" s="400"/>
      <c r="D593" s="400"/>
      <c r="E593" s="400"/>
      <c r="F593" s="131"/>
      <c r="G593" s="98"/>
      <c r="H593" s="98"/>
      <c r="I593" s="98"/>
      <c r="J593" s="98"/>
    </row>
    <row r="594" spans="1:10" ht="15.75" x14ac:dyDescent="0.25">
      <c r="A594" s="398" t="s">
        <v>244</v>
      </c>
      <c r="B594" s="187">
        <f>B591-B592</f>
        <v>1931369430.76</v>
      </c>
      <c r="C594" s="187">
        <f>C591-C592</f>
        <v>2055942759.0440199</v>
      </c>
      <c r="D594" s="187">
        <f>D591-D592</f>
        <v>2055942759.0440199</v>
      </c>
      <c r="E594" s="187">
        <f>E591-E592</f>
        <v>2055942759.0440199</v>
      </c>
      <c r="F594" s="187">
        <f>F591-F592</f>
        <v>2055942759.0440199</v>
      </c>
      <c r="G594" s="98"/>
      <c r="H594" s="98"/>
      <c r="I594" s="98"/>
      <c r="J594" s="98"/>
    </row>
    <row r="595" spans="1:10" ht="15.75" x14ac:dyDescent="0.25">
      <c r="A595" s="96" t="s">
        <v>245</v>
      </c>
      <c r="B595" s="187">
        <f>B594*0.33</f>
        <v>637351912.15079999</v>
      </c>
      <c r="C595" s="187">
        <f>C594*0.33</f>
        <v>678461110.48452663</v>
      </c>
      <c r="D595" s="187">
        <f>D594*0.33</f>
        <v>678461110.48452663</v>
      </c>
      <c r="E595" s="187">
        <f>E594*0.33</f>
        <v>678461110.48452663</v>
      </c>
      <c r="F595" s="187">
        <f>F594*0.33</f>
        <v>678461110.48452663</v>
      </c>
      <c r="G595" s="98"/>
      <c r="H595" s="98"/>
      <c r="I595" s="98"/>
      <c r="J595" s="98"/>
    </row>
    <row r="596" spans="1:10" ht="15.75" x14ac:dyDescent="0.25">
      <c r="A596" s="96"/>
      <c r="B596" s="96"/>
      <c r="C596" s="96"/>
      <c r="D596" s="96"/>
      <c r="E596" s="96"/>
      <c r="F596" s="96"/>
      <c r="G596" s="98"/>
      <c r="H596" s="98"/>
      <c r="I596" s="98"/>
      <c r="J596" s="98"/>
    </row>
    <row r="597" spans="1:10" ht="15.75" x14ac:dyDescent="0.25">
      <c r="A597" s="96" t="s">
        <v>246</v>
      </c>
      <c r="B597" s="187">
        <f>B594-B595</f>
        <v>1294017518.6092</v>
      </c>
      <c r="C597" s="187">
        <f>C594-C595</f>
        <v>1377481648.5594933</v>
      </c>
      <c r="D597" s="187">
        <f>D594-D595</f>
        <v>1377481648.5594933</v>
      </c>
      <c r="E597" s="187">
        <f>E594-E595</f>
        <v>1377481648.5594933</v>
      </c>
      <c r="F597" s="187">
        <f>F594-F595</f>
        <v>1377481648.5594933</v>
      </c>
      <c r="G597" s="98"/>
      <c r="H597" s="98"/>
      <c r="I597" s="98"/>
      <c r="J597" s="98"/>
    </row>
    <row r="598" spans="1:10" ht="15.75" x14ac:dyDescent="0.25">
      <c r="A598" s="96" t="s">
        <v>247</v>
      </c>
      <c r="B598" s="187">
        <f>+D149+D164</f>
        <v>1110001</v>
      </c>
      <c r="C598" s="187">
        <f>B598</f>
        <v>1110001</v>
      </c>
      <c r="D598" s="187">
        <f>B598</f>
        <v>1110001</v>
      </c>
      <c r="E598" s="187">
        <f>B598</f>
        <v>1110001</v>
      </c>
      <c r="F598" s="187">
        <f>B598</f>
        <v>1110001</v>
      </c>
      <c r="G598" s="98"/>
      <c r="H598" s="98"/>
      <c r="I598" s="98"/>
      <c r="J598" s="98"/>
    </row>
    <row r="599" spans="1:10" ht="15.75" x14ac:dyDescent="0.25">
      <c r="A599" s="96" t="s">
        <v>248</v>
      </c>
      <c r="B599" s="187">
        <f>+$D$197</f>
        <v>2136000</v>
      </c>
      <c r="C599" s="187">
        <f>+$D$197</f>
        <v>2136000</v>
      </c>
      <c r="D599" s="187">
        <f>+$D$197</f>
        <v>2136000</v>
      </c>
      <c r="E599" s="187">
        <f>+$D$197</f>
        <v>2136000</v>
      </c>
      <c r="F599" s="187">
        <f>+$D$197</f>
        <v>2136000</v>
      </c>
      <c r="G599" s="98"/>
      <c r="H599" s="98"/>
      <c r="I599" s="98"/>
      <c r="J599" s="98"/>
    </row>
    <row r="600" spans="1:10" ht="31.5" x14ac:dyDescent="0.25">
      <c r="A600" s="369" t="s">
        <v>249</v>
      </c>
      <c r="B600" s="363">
        <f>B597+B598+B599</f>
        <v>1297263519.6092</v>
      </c>
      <c r="C600" s="363">
        <f>C597+C598+C599</f>
        <v>1380727649.5594933</v>
      </c>
      <c r="D600" s="363">
        <f>D597+D598+D599</f>
        <v>1380727649.5594933</v>
      </c>
      <c r="E600" s="363">
        <f>E597+E598+E599</f>
        <v>1380727649.5594933</v>
      </c>
      <c r="F600" s="363">
        <f>F597+F598+F599</f>
        <v>1380727649.5594933</v>
      </c>
      <c r="G600" s="98"/>
      <c r="H600" s="98"/>
      <c r="I600" s="98"/>
      <c r="J600" s="98"/>
    </row>
    <row r="601" spans="1:10" ht="15.75" x14ac:dyDescent="0.25">
      <c r="A601" s="98"/>
      <c r="B601" s="98"/>
      <c r="C601" s="98"/>
      <c r="D601" s="98"/>
      <c r="E601" s="98"/>
      <c r="F601" s="98"/>
      <c r="G601" s="98"/>
      <c r="H601" s="98"/>
      <c r="I601" s="98"/>
      <c r="J601" s="98"/>
    </row>
    <row r="602" spans="1:10" ht="15.75" x14ac:dyDescent="0.25">
      <c r="A602" s="98"/>
      <c r="B602" s="98"/>
      <c r="C602" s="98"/>
      <c r="D602" s="98"/>
      <c r="E602" s="98"/>
      <c r="F602" s="98"/>
      <c r="G602" s="98"/>
      <c r="H602" s="98"/>
      <c r="I602" s="98"/>
      <c r="J602" s="98"/>
    </row>
    <row r="603" spans="1:10" ht="15.75" x14ac:dyDescent="0.25">
      <c r="A603" s="81" t="s">
        <v>397</v>
      </c>
      <c r="B603" s="81"/>
      <c r="C603" s="81"/>
      <c r="D603" s="81"/>
      <c r="E603" s="81"/>
      <c r="F603" s="81"/>
      <c r="G603" s="81"/>
      <c r="H603" s="98" t="s">
        <v>355</v>
      </c>
      <c r="I603" s="98"/>
      <c r="J603" s="98"/>
    </row>
    <row r="604" spans="1:10" ht="15.75" x14ac:dyDescent="0.25">
      <c r="A604" s="366" t="s">
        <v>147</v>
      </c>
      <c r="B604" s="83" t="s">
        <v>132</v>
      </c>
      <c r="C604" s="84"/>
      <c r="D604" s="84"/>
      <c r="E604" s="84"/>
      <c r="F604" s="84"/>
      <c r="G604" s="85"/>
      <c r="H604" s="98"/>
      <c r="I604" s="98"/>
      <c r="J604" s="98"/>
    </row>
    <row r="605" spans="1:10" ht="15.75" x14ac:dyDescent="0.25">
      <c r="A605" s="367"/>
      <c r="B605" s="82">
        <v>0</v>
      </c>
      <c r="C605" s="82">
        <v>1</v>
      </c>
      <c r="D605" s="82">
        <v>2</v>
      </c>
      <c r="E605" s="82">
        <v>3</v>
      </c>
      <c r="F605" s="82">
        <v>4</v>
      </c>
      <c r="G605" s="82">
        <v>5</v>
      </c>
      <c r="H605" s="98"/>
      <c r="I605" s="98"/>
      <c r="J605" s="98"/>
    </row>
    <row r="606" spans="1:10" ht="15.75" x14ac:dyDescent="0.25">
      <c r="A606" s="96" t="s">
        <v>250</v>
      </c>
      <c r="B606" s="187">
        <f>C534</f>
        <v>-144582047.35333335</v>
      </c>
      <c r="C606" s="187">
        <f>$D$534</f>
        <v>-7681955.8988163471</v>
      </c>
      <c r="D606" s="187">
        <f>$D$534</f>
        <v>-7681955.8988163471</v>
      </c>
      <c r="E606" s="187">
        <f>$D$534</f>
        <v>-7681955.8988163471</v>
      </c>
      <c r="F606" s="187">
        <f>$D$534</f>
        <v>-7681955.8988163471</v>
      </c>
      <c r="G606" s="187">
        <f>+G519</f>
        <v>1970000</v>
      </c>
      <c r="H606" s="135"/>
      <c r="I606" s="98"/>
      <c r="J606" s="98"/>
    </row>
    <row r="607" spans="1:10" ht="15.75" x14ac:dyDescent="0.25">
      <c r="A607" s="372" t="s">
        <v>251</v>
      </c>
      <c r="B607" s="96"/>
      <c r="C607" s="187">
        <f>B600</f>
        <v>1297263519.6092</v>
      </c>
      <c r="D607" s="187">
        <f>C600</f>
        <v>1380727649.5594933</v>
      </c>
      <c r="E607" s="187">
        <f>D600</f>
        <v>1380727649.5594933</v>
      </c>
      <c r="F607" s="187">
        <f>E600</f>
        <v>1380727649.5594933</v>
      </c>
      <c r="G607" s="187">
        <f>F600</f>
        <v>1380727649.5594933</v>
      </c>
      <c r="H607" s="135"/>
      <c r="I607" s="98"/>
      <c r="J607" s="98"/>
    </row>
    <row r="608" spans="1:10" ht="31.5" x14ac:dyDescent="0.25">
      <c r="A608" s="369" t="s">
        <v>252</v>
      </c>
      <c r="B608" s="363">
        <f t="shared" ref="B608:G608" si="35">SUM(B606:B607)</f>
        <v>-144582047.35333335</v>
      </c>
      <c r="C608" s="363">
        <f t="shared" si="35"/>
        <v>1289581563.7103837</v>
      </c>
      <c r="D608" s="363">
        <f t="shared" si="35"/>
        <v>1373045693.660677</v>
      </c>
      <c r="E608" s="363">
        <f t="shared" si="35"/>
        <v>1373045693.660677</v>
      </c>
      <c r="F608" s="363">
        <f t="shared" si="35"/>
        <v>1373045693.660677</v>
      </c>
      <c r="G608" s="363">
        <f t="shared" si="35"/>
        <v>1382697649.5594933</v>
      </c>
      <c r="H608" s="98"/>
      <c r="I608" s="98"/>
      <c r="J608" s="98"/>
    </row>
    <row r="609" spans="1:10" ht="15.75" x14ac:dyDescent="0.25">
      <c r="A609" s="98"/>
      <c r="B609" s="98"/>
      <c r="C609" s="98"/>
      <c r="D609" s="98"/>
      <c r="E609" s="98"/>
      <c r="F609" s="98"/>
      <c r="G609" s="98"/>
      <c r="H609" s="98"/>
      <c r="I609" s="98"/>
      <c r="J609" s="98"/>
    </row>
    <row r="610" spans="1:10" ht="15.75" x14ac:dyDescent="0.25">
      <c r="A610" s="98"/>
      <c r="B610" s="98"/>
      <c r="C610" s="98"/>
      <c r="D610" s="98"/>
      <c r="E610" s="98"/>
      <c r="F610" s="98"/>
      <c r="G610" s="98"/>
      <c r="H610" s="98"/>
      <c r="I610" s="98"/>
      <c r="J610" s="98"/>
    </row>
    <row r="611" spans="1:10" ht="15.75" x14ac:dyDescent="0.25">
      <c r="A611" s="81" t="s">
        <v>398</v>
      </c>
      <c r="B611" s="81"/>
      <c r="C611" s="81"/>
      <c r="D611" s="81"/>
      <c r="E611" s="81"/>
      <c r="F611" s="81"/>
      <c r="G611" s="81"/>
      <c r="H611" s="98"/>
      <c r="I611" s="98"/>
      <c r="J611" s="98"/>
    </row>
    <row r="612" spans="1:10" ht="15.75" x14ac:dyDescent="0.25">
      <c r="A612" s="366" t="s">
        <v>147</v>
      </c>
      <c r="B612" s="83" t="s">
        <v>132</v>
      </c>
      <c r="C612" s="84"/>
      <c r="D612" s="84"/>
      <c r="E612" s="84"/>
      <c r="F612" s="84"/>
      <c r="G612" s="85"/>
      <c r="H612" s="98"/>
      <c r="I612" s="98"/>
      <c r="J612" s="98"/>
    </row>
    <row r="613" spans="1:10" ht="15.75" x14ac:dyDescent="0.25">
      <c r="A613" s="367"/>
      <c r="B613" s="82">
        <v>0</v>
      </c>
      <c r="C613" s="82">
        <v>1</v>
      </c>
      <c r="D613" s="82">
        <v>2</v>
      </c>
      <c r="E613" s="82">
        <v>3</v>
      </c>
      <c r="F613" s="82">
        <v>4</v>
      </c>
      <c r="G613" s="82">
        <v>5</v>
      </c>
      <c r="H613" s="98"/>
      <c r="I613" s="98"/>
      <c r="J613" s="98"/>
    </row>
    <row r="614" spans="1:10" ht="15.75" x14ac:dyDescent="0.25">
      <c r="A614" s="96" t="s">
        <v>195</v>
      </c>
      <c r="B614" s="187">
        <f>B445</f>
        <v>-17800000</v>
      </c>
      <c r="C614" s="96"/>
      <c r="D614" s="96"/>
      <c r="E614" s="96"/>
      <c r="F614" s="96"/>
      <c r="G614" s="96"/>
      <c r="H614" s="98"/>
      <c r="I614" s="98"/>
      <c r="J614" s="98"/>
    </row>
    <row r="615" spans="1:10" ht="15.75" x14ac:dyDescent="0.25">
      <c r="A615" s="401" t="s">
        <v>253</v>
      </c>
      <c r="B615" s="402" t="s">
        <v>31</v>
      </c>
      <c r="C615" s="96"/>
      <c r="D615" s="96"/>
      <c r="E615" s="96"/>
      <c r="F615" s="370" t="s">
        <v>31</v>
      </c>
      <c r="G615" s="96"/>
      <c r="H615" s="98"/>
      <c r="I615" s="98"/>
      <c r="J615" s="98"/>
    </row>
    <row r="616" spans="1:10" ht="15.75" x14ac:dyDescent="0.25">
      <c r="A616" s="372" t="s">
        <v>196</v>
      </c>
      <c r="B616" s="187">
        <f>B517</f>
        <v>-126782047.35333335</v>
      </c>
      <c r="C616" s="187">
        <f>$C$606</f>
        <v>-7681955.8988163471</v>
      </c>
      <c r="D616" s="187">
        <f>$C$606</f>
        <v>-7681955.8988163471</v>
      </c>
      <c r="E616" s="187">
        <f>$C$606</f>
        <v>-7681955.8988163471</v>
      </c>
      <c r="F616" s="187">
        <f>$C$606</f>
        <v>-7681955.8988163471</v>
      </c>
      <c r="G616" s="187">
        <f>SUM(B616:F616)</f>
        <v>-157509870.94859874</v>
      </c>
      <c r="H616" s="98"/>
      <c r="I616" s="98"/>
      <c r="J616" s="98"/>
    </row>
    <row r="617" spans="1:10" ht="15.75" x14ac:dyDescent="0.25">
      <c r="A617" s="372" t="s">
        <v>254</v>
      </c>
      <c r="B617" s="96"/>
      <c r="C617" s="96"/>
      <c r="D617" s="96"/>
      <c r="E617" s="96"/>
      <c r="F617" s="96"/>
      <c r="G617" s="96"/>
      <c r="H617" s="98"/>
      <c r="I617" s="98"/>
      <c r="J617" s="98"/>
    </row>
    <row r="618" spans="1:10" ht="15.75" x14ac:dyDescent="0.25">
      <c r="A618" s="372" t="s">
        <v>226</v>
      </c>
      <c r="B618" s="187">
        <f t="shared" ref="B618:G618" si="36">SUM(B614:B616)</f>
        <v>-144582047.35333335</v>
      </c>
      <c r="C618" s="187">
        <f t="shared" si="36"/>
        <v>-7681955.8988163471</v>
      </c>
      <c r="D618" s="187">
        <f t="shared" si="36"/>
        <v>-7681955.8988163471</v>
      </c>
      <c r="E618" s="187">
        <f t="shared" si="36"/>
        <v>-7681955.8988163471</v>
      </c>
      <c r="F618" s="187">
        <f t="shared" si="36"/>
        <v>-7681955.8988163471</v>
      </c>
      <c r="G618" s="187">
        <f t="shared" si="36"/>
        <v>-157509870.94859874</v>
      </c>
      <c r="H618" s="98"/>
      <c r="I618" s="98"/>
      <c r="J618" s="98"/>
    </row>
    <row r="619" spans="1:10" ht="15.75" x14ac:dyDescent="0.25">
      <c r="A619" s="98"/>
      <c r="B619" s="98"/>
      <c r="C619" s="98"/>
      <c r="D619" s="98"/>
      <c r="E619" s="98"/>
      <c r="F619" s="98"/>
      <c r="G619" s="98"/>
      <c r="H619" s="98"/>
      <c r="I619" s="98"/>
      <c r="J619" s="98"/>
    </row>
    <row r="620" spans="1:10" ht="15.75" x14ac:dyDescent="0.25">
      <c r="A620" s="98"/>
      <c r="B620" s="98"/>
      <c r="C620" s="98"/>
      <c r="D620" s="98"/>
      <c r="E620" s="98"/>
      <c r="F620" s="98"/>
      <c r="G620" s="98"/>
      <c r="H620" s="98"/>
      <c r="I620" s="98"/>
      <c r="J620" s="98"/>
    </row>
    <row r="621" spans="1:10" ht="15.75" x14ac:dyDescent="0.25">
      <c r="A621" s="81" t="s">
        <v>399</v>
      </c>
      <c r="B621" s="81"/>
      <c r="C621" s="81"/>
      <c r="D621" s="81"/>
      <c r="E621" s="81"/>
      <c r="F621" s="81"/>
      <c r="G621" s="403"/>
      <c r="H621" s="98"/>
      <c r="I621" s="98"/>
      <c r="J621" s="98"/>
    </row>
    <row r="622" spans="1:10" ht="15.75" x14ac:dyDescent="0.25">
      <c r="A622" s="366" t="s">
        <v>147</v>
      </c>
      <c r="B622" s="83" t="s">
        <v>132</v>
      </c>
      <c r="C622" s="84"/>
      <c r="D622" s="84"/>
      <c r="E622" s="84"/>
      <c r="F622" s="85"/>
      <c r="G622" s="403"/>
      <c r="H622" s="98"/>
      <c r="I622" s="98"/>
      <c r="J622" s="98"/>
    </row>
    <row r="623" spans="1:10" ht="15.75" x14ac:dyDescent="0.25">
      <c r="A623" s="367"/>
      <c r="B623" s="82">
        <v>1</v>
      </c>
      <c r="C623" s="82">
        <v>2</v>
      </c>
      <c r="D623" s="82">
        <v>3</v>
      </c>
      <c r="E623" s="82">
        <v>4</v>
      </c>
      <c r="F623" s="82">
        <v>5</v>
      </c>
      <c r="G623" s="404"/>
      <c r="H623" s="98"/>
      <c r="I623" s="98"/>
      <c r="J623" s="98"/>
    </row>
    <row r="624" spans="1:10" ht="15.75" x14ac:dyDescent="0.25">
      <c r="A624" s="96" t="s">
        <v>255</v>
      </c>
      <c r="B624" s="187">
        <f t="shared" ref="B624:F625" si="37">B591</f>
        <v>3456000000</v>
      </c>
      <c r="C624" s="187">
        <f t="shared" si="37"/>
        <v>3678912000</v>
      </c>
      <c r="D624" s="187">
        <f t="shared" si="37"/>
        <v>3678912000</v>
      </c>
      <c r="E624" s="187">
        <f t="shared" si="37"/>
        <v>3678912000</v>
      </c>
      <c r="F624" s="187">
        <f t="shared" si="37"/>
        <v>3678912000</v>
      </c>
      <c r="G624" s="98"/>
      <c r="H624" s="98"/>
      <c r="I624" s="98"/>
      <c r="J624" s="98"/>
    </row>
    <row r="625" spans="1:10" ht="15.75" x14ac:dyDescent="0.25">
      <c r="A625" s="372" t="s">
        <v>256</v>
      </c>
      <c r="B625" s="187">
        <f t="shared" si="37"/>
        <v>1524630569.24</v>
      </c>
      <c r="C625" s="187">
        <f t="shared" si="37"/>
        <v>1622969240.9559801</v>
      </c>
      <c r="D625" s="187">
        <f t="shared" si="37"/>
        <v>1622969240.9559801</v>
      </c>
      <c r="E625" s="187">
        <f t="shared" si="37"/>
        <v>1622969240.9559801</v>
      </c>
      <c r="F625" s="187">
        <f t="shared" si="37"/>
        <v>1622969240.9559801</v>
      </c>
      <c r="G625" s="98"/>
      <c r="H625" s="98"/>
      <c r="I625" s="98"/>
      <c r="J625" s="98"/>
    </row>
    <row r="626" spans="1:10" ht="15.75" x14ac:dyDescent="0.25">
      <c r="A626" s="98"/>
      <c r="B626" s="98"/>
      <c r="C626" s="98"/>
      <c r="D626" s="98"/>
      <c r="E626" s="98"/>
      <c r="F626" s="131"/>
      <c r="G626" s="98"/>
      <c r="H626" s="98"/>
      <c r="I626" s="98"/>
      <c r="J626" s="98"/>
    </row>
    <row r="627" spans="1:10" ht="15.75" x14ac:dyDescent="0.25">
      <c r="A627" s="372" t="s">
        <v>244</v>
      </c>
      <c r="B627" s="187">
        <f>B624-B625</f>
        <v>1931369430.76</v>
      </c>
      <c r="C627" s="187">
        <f>C624-C625</f>
        <v>2055942759.0440199</v>
      </c>
      <c r="D627" s="187">
        <f>D624-D625</f>
        <v>2055942759.0440199</v>
      </c>
      <c r="E627" s="187">
        <f>E624-E625</f>
        <v>2055942759.0440199</v>
      </c>
      <c r="F627" s="187">
        <f>F624-F625</f>
        <v>2055942759.0440199</v>
      </c>
      <c r="G627" s="98"/>
      <c r="H627" s="98"/>
      <c r="I627" s="98"/>
      <c r="J627" s="98"/>
    </row>
    <row r="628" spans="1:10" ht="15.75" x14ac:dyDescent="0.25">
      <c r="A628" s="96" t="s">
        <v>257</v>
      </c>
      <c r="B628" s="187">
        <f>B584</f>
        <v>19452363.383696012</v>
      </c>
      <c r="C628" s="187">
        <f>C584</f>
        <v>15997469.801890362</v>
      </c>
      <c r="D628" s="187">
        <f>D584</f>
        <v>12379419.566863498</v>
      </c>
      <c r="E628" s="187">
        <f>E584</f>
        <v>8547141.7351830658</v>
      </c>
      <c r="F628" s="187">
        <f>F584</f>
        <v>4442684.5586449662</v>
      </c>
      <c r="G628" s="98"/>
      <c r="H628" s="98"/>
      <c r="I628" s="98"/>
      <c r="J628" s="98"/>
    </row>
    <row r="629" spans="1:10" ht="15.75" x14ac:dyDescent="0.25">
      <c r="A629" s="98"/>
      <c r="B629" s="98"/>
      <c r="C629" s="98"/>
      <c r="D629" s="98"/>
      <c r="E629" s="98"/>
      <c r="F629" s="131"/>
      <c r="G629" s="98"/>
      <c r="H629" s="98"/>
      <c r="I629" s="98"/>
      <c r="J629" s="98"/>
    </row>
    <row r="630" spans="1:10" ht="15.75" x14ac:dyDescent="0.25">
      <c r="A630" s="96" t="s">
        <v>258</v>
      </c>
      <c r="B630" s="187">
        <f>B627-B628</f>
        <v>1911917067.3763039</v>
      </c>
      <c r="C630" s="187">
        <f>C627-C628</f>
        <v>2039945289.2421296</v>
      </c>
      <c r="D630" s="187">
        <f>D627-D628</f>
        <v>2043563339.4771564</v>
      </c>
      <c r="E630" s="187">
        <f>E627-E628</f>
        <v>2047395617.3088369</v>
      </c>
      <c r="F630" s="187">
        <f>F627-F628</f>
        <v>2051500074.4853749</v>
      </c>
      <c r="G630" s="98"/>
      <c r="H630" s="98"/>
      <c r="I630" s="98"/>
      <c r="J630" s="98"/>
    </row>
    <row r="631" spans="1:10" ht="15.75" x14ac:dyDescent="0.25">
      <c r="A631" s="96" t="s">
        <v>245</v>
      </c>
      <c r="B631" s="187">
        <f>B630*0.33</f>
        <v>630932632.23418033</v>
      </c>
      <c r="C631" s="187">
        <f>C630*0.33</f>
        <v>673181945.44990277</v>
      </c>
      <c r="D631" s="187">
        <f>D630*0.33</f>
        <v>674375902.02746165</v>
      </c>
      <c r="E631" s="187">
        <f>E630*0.33</f>
        <v>675640553.71191621</v>
      </c>
      <c r="F631" s="187">
        <f>F630*0.33</f>
        <v>676995024.58017373</v>
      </c>
      <c r="G631" s="98"/>
      <c r="H631" s="98"/>
      <c r="I631" s="98"/>
      <c r="J631" s="98"/>
    </row>
    <row r="632" spans="1:10" ht="15.75" x14ac:dyDescent="0.25">
      <c r="A632" s="98"/>
      <c r="B632" s="98"/>
      <c r="C632" s="98"/>
      <c r="D632" s="98"/>
      <c r="E632" s="98"/>
      <c r="F632" s="131"/>
      <c r="G632" s="98"/>
      <c r="H632" s="98"/>
      <c r="I632" s="98"/>
      <c r="J632" s="98"/>
    </row>
    <row r="633" spans="1:10" ht="15.75" x14ac:dyDescent="0.25">
      <c r="A633" s="96" t="s">
        <v>246</v>
      </c>
      <c r="B633" s="187">
        <f>B630-B631</f>
        <v>1280984435.1421237</v>
      </c>
      <c r="C633" s="187">
        <f>C630-C631</f>
        <v>1366763343.7922268</v>
      </c>
      <c r="D633" s="187">
        <f>D630-D631</f>
        <v>1369187437.4496946</v>
      </c>
      <c r="E633" s="187">
        <f>E630-E631</f>
        <v>1371755063.5969207</v>
      </c>
      <c r="F633" s="187">
        <f>F630-F631</f>
        <v>1374505049.9052012</v>
      </c>
      <c r="G633" s="98"/>
      <c r="H633" s="98"/>
      <c r="I633" s="98"/>
      <c r="J633" s="98"/>
    </row>
    <row r="634" spans="1:10" ht="15.75" x14ac:dyDescent="0.25">
      <c r="A634" s="96" t="s">
        <v>247</v>
      </c>
      <c r="B634" s="187">
        <f>$B$598</f>
        <v>1110001</v>
      </c>
      <c r="C634" s="187">
        <f>$B$598</f>
        <v>1110001</v>
      </c>
      <c r="D634" s="187">
        <f>$B$598</f>
        <v>1110001</v>
      </c>
      <c r="E634" s="187">
        <f>$B$598</f>
        <v>1110001</v>
      </c>
      <c r="F634" s="187">
        <f>$B$598</f>
        <v>1110001</v>
      </c>
      <c r="G634" s="98"/>
      <c r="H634" s="98"/>
      <c r="I634" s="98"/>
      <c r="J634" s="98"/>
    </row>
    <row r="635" spans="1:10" ht="15.75" x14ac:dyDescent="0.25">
      <c r="A635" s="96" t="s">
        <v>248</v>
      </c>
      <c r="B635" s="187">
        <f>$B$599</f>
        <v>2136000</v>
      </c>
      <c r="C635" s="187">
        <f>$B$599</f>
        <v>2136000</v>
      </c>
      <c r="D635" s="187">
        <f>$B$599</f>
        <v>2136000</v>
      </c>
      <c r="E635" s="187">
        <f>$B$599</f>
        <v>2136000</v>
      </c>
      <c r="F635" s="187">
        <f>$B$599</f>
        <v>2136000</v>
      </c>
      <c r="G635" s="98"/>
      <c r="H635" s="98"/>
      <c r="I635" s="98"/>
      <c r="J635" s="98"/>
    </row>
    <row r="636" spans="1:10" ht="15.75" x14ac:dyDescent="0.25">
      <c r="A636" s="98"/>
      <c r="B636" s="135"/>
      <c r="C636" s="98"/>
      <c r="D636" s="98"/>
      <c r="E636" s="98"/>
      <c r="F636" s="98"/>
      <c r="G636" s="405"/>
      <c r="H636" s="98"/>
      <c r="I636" s="98"/>
      <c r="J636" s="98"/>
    </row>
    <row r="637" spans="1:10" ht="15.75" x14ac:dyDescent="0.25">
      <c r="A637" s="82" t="s">
        <v>259</v>
      </c>
      <c r="B637" s="363">
        <f>SUM(B633:B635)</f>
        <v>1284230436.1421237</v>
      </c>
      <c r="C637" s="363">
        <f>SUM(C633:C635)</f>
        <v>1370009344.7922268</v>
      </c>
      <c r="D637" s="363">
        <f>SUM(D633:D635)</f>
        <v>1372433438.4496946</v>
      </c>
      <c r="E637" s="363">
        <f>SUM(E633:E635)</f>
        <v>1375001064.5969207</v>
      </c>
      <c r="F637" s="363">
        <f>SUM(F633:F635)</f>
        <v>1377751050.9052012</v>
      </c>
      <c r="G637" s="98"/>
      <c r="H637" s="98"/>
      <c r="I637" s="98"/>
      <c r="J637" s="98"/>
    </row>
    <row r="638" spans="1:10" ht="15.75" x14ac:dyDescent="0.25">
      <c r="A638" s="98"/>
      <c r="B638" s="98"/>
      <c r="C638" s="98"/>
      <c r="D638" s="98"/>
      <c r="E638" s="98"/>
      <c r="F638" s="98"/>
      <c r="G638" s="98"/>
      <c r="H638" s="98"/>
      <c r="I638" s="98"/>
      <c r="J638" s="98"/>
    </row>
    <row r="639" spans="1:10" ht="15.75" x14ac:dyDescent="0.25">
      <c r="A639" s="98"/>
      <c r="B639" s="98"/>
      <c r="C639" s="98"/>
      <c r="D639" s="98"/>
      <c r="E639" s="98"/>
      <c r="F639" s="98"/>
      <c r="G639" s="98"/>
      <c r="H639" s="98"/>
      <c r="I639" s="98"/>
      <c r="J639" s="98"/>
    </row>
    <row r="640" spans="1:10" ht="15.75" x14ac:dyDescent="0.25">
      <c r="A640" s="81" t="s">
        <v>411</v>
      </c>
      <c r="B640" s="81"/>
      <c r="C640" s="81"/>
      <c r="D640" s="81"/>
      <c r="E640" s="81"/>
      <c r="F640" s="81"/>
      <c r="G640" s="81"/>
      <c r="H640" s="98"/>
      <c r="I640" s="98"/>
      <c r="J640" s="98"/>
    </row>
    <row r="641" spans="1:10" ht="15.75" x14ac:dyDescent="0.25">
      <c r="A641" s="366" t="s">
        <v>147</v>
      </c>
      <c r="B641" s="83" t="s">
        <v>132</v>
      </c>
      <c r="C641" s="84"/>
      <c r="D641" s="84"/>
      <c r="E641" s="84"/>
      <c r="F641" s="84"/>
      <c r="G641" s="85"/>
      <c r="H641" s="98"/>
      <c r="I641" s="98"/>
      <c r="J641" s="98"/>
    </row>
    <row r="642" spans="1:10" ht="15.75" x14ac:dyDescent="0.25">
      <c r="A642" s="367"/>
      <c r="B642" s="82">
        <v>0</v>
      </c>
      <c r="C642" s="82">
        <v>1</v>
      </c>
      <c r="D642" s="82">
        <v>2</v>
      </c>
      <c r="E642" s="82">
        <v>3</v>
      </c>
      <c r="F642" s="82">
        <v>4</v>
      </c>
      <c r="G642" s="82">
        <v>5</v>
      </c>
      <c r="H642" s="98"/>
      <c r="I642" s="98"/>
      <c r="J642" s="98"/>
    </row>
    <row r="643" spans="1:10" ht="15.75" x14ac:dyDescent="0.25">
      <c r="A643" s="96" t="s">
        <v>250</v>
      </c>
      <c r="B643" s="187">
        <f>B618</f>
        <v>-144582047.35333335</v>
      </c>
      <c r="C643" s="187">
        <f>$C$618</f>
        <v>-7681955.8988163471</v>
      </c>
      <c r="D643" s="187">
        <f>$C$618</f>
        <v>-7681955.8988163471</v>
      </c>
      <c r="E643" s="187">
        <f>$C$618</f>
        <v>-7681955.8988163471</v>
      </c>
      <c r="F643" s="187">
        <f>$C$618</f>
        <v>-7681955.8988163471</v>
      </c>
      <c r="G643" s="187">
        <f>G459</f>
        <v>157509870.94859874</v>
      </c>
      <c r="H643" s="135"/>
      <c r="I643" s="98"/>
      <c r="J643" s="98"/>
    </row>
    <row r="644" spans="1:10" ht="15.75" x14ac:dyDescent="0.25">
      <c r="A644" s="96" t="s">
        <v>272</v>
      </c>
      <c r="B644" s="96"/>
      <c r="C644" s="187">
        <f>B637</f>
        <v>1284230436.1421237</v>
      </c>
      <c r="D644" s="187">
        <f>C637</f>
        <v>1370009344.7922268</v>
      </c>
      <c r="E644" s="187">
        <f>D637</f>
        <v>1372433438.4496946</v>
      </c>
      <c r="F644" s="187">
        <f>E637</f>
        <v>1375001064.5969207</v>
      </c>
      <c r="G644" s="187">
        <f>F637</f>
        <v>1377751050.9052012</v>
      </c>
      <c r="H644" s="98"/>
      <c r="I644" s="98"/>
      <c r="J644" s="98"/>
    </row>
    <row r="645" spans="1:10" ht="15.75" x14ac:dyDescent="0.25">
      <c r="A645" s="98"/>
      <c r="B645" s="98"/>
      <c r="C645" s="98"/>
      <c r="D645" s="98"/>
      <c r="E645" s="98"/>
      <c r="F645" s="98"/>
      <c r="G645" s="131"/>
      <c r="H645" s="98"/>
      <c r="I645" s="98"/>
      <c r="J645" s="98"/>
    </row>
    <row r="646" spans="1:10" ht="31.5" x14ac:dyDescent="0.25">
      <c r="A646" s="132" t="s">
        <v>260</v>
      </c>
      <c r="B646" s="187">
        <f>B643</f>
        <v>-144582047.35333335</v>
      </c>
      <c r="C646" s="187">
        <f>SUM(C643:C644)</f>
        <v>1276548480.2433074</v>
      </c>
      <c r="D646" s="187">
        <f>SUM(D643:D644)</f>
        <v>1362327388.8934104</v>
      </c>
      <c r="E646" s="187">
        <f>SUM(E643:E644)</f>
        <v>1364751482.5508783</v>
      </c>
      <c r="F646" s="187">
        <f>SUM(F643:F644)</f>
        <v>1367319108.6981044</v>
      </c>
      <c r="G646" s="187">
        <f>SUM(G643:G644)</f>
        <v>1535260921.8537998</v>
      </c>
      <c r="H646" s="98"/>
      <c r="I646" s="98"/>
      <c r="J646" s="98"/>
    </row>
    <row r="647" spans="1:10" ht="15.75" x14ac:dyDescent="0.25">
      <c r="A647" s="98"/>
      <c r="B647" s="98"/>
      <c r="C647" s="98"/>
      <c r="D647" s="98"/>
      <c r="E647" s="98"/>
      <c r="F647" s="98"/>
      <c r="G647" s="98"/>
      <c r="H647" s="98"/>
      <c r="I647" s="98"/>
      <c r="J647" s="98"/>
    </row>
    <row r="648" spans="1:10" ht="15.75" x14ac:dyDescent="0.25">
      <c r="A648" s="98"/>
      <c r="B648" s="98"/>
      <c r="C648" s="98"/>
      <c r="D648" s="98"/>
      <c r="E648" s="98"/>
      <c r="F648" s="98"/>
      <c r="G648" s="98"/>
      <c r="H648" s="98"/>
      <c r="I648" s="98"/>
      <c r="J648" s="98"/>
    </row>
    <row r="649" spans="1:10" ht="15.75" x14ac:dyDescent="0.25">
      <c r="A649" s="81" t="s">
        <v>261</v>
      </c>
      <c r="B649" s="81"/>
      <c r="C649" s="81"/>
      <c r="D649" s="81"/>
      <c r="E649" s="81"/>
      <c r="F649" s="81"/>
      <c r="G649" s="81"/>
      <c r="H649" s="98"/>
      <c r="I649" s="98"/>
      <c r="J649" s="98"/>
    </row>
    <row r="650" spans="1:10" ht="15.75" x14ac:dyDescent="0.25">
      <c r="A650" s="366" t="s">
        <v>147</v>
      </c>
      <c r="B650" s="83" t="s">
        <v>132</v>
      </c>
      <c r="C650" s="84"/>
      <c r="D650" s="84"/>
      <c r="E650" s="84"/>
      <c r="F650" s="84"/>
      <c r="G650" s="85"/>
      <c r="H650" s="98"/>
      <c r="I650" s="98"/>
      <c r="J650" s="98"/>
    </row>
    <row r="651" spans="1:10" ht="15.75" x14ac:dyDescent="0.25">
      <c r="A651" s="367"/>
      <c r="B651" s="82">
        <v>0</v>
      </c>
      <c r="C651" s="82">
        <v>1</v>
      </c>
      <c r="D651" s="82">
        <v>2</v>
      </c>
      <c r="E651" s="82">
        <v>3</v>
      </c>
      <c r="F651" s="82">
        <v>4</v>
      </c>
      <c r="G651" s="82">
        <v>5</v>
      </c>
      <c r="H651" s="98"/>
      <c r="I651" s="98"/>
      <c r="J651" s="98"/>
    </row>
    <row r="652" spans="1:10" ht="15.75" x14ac:dyDescent="0.25">
      <c r="A652" s="96" t="s">
        <v>262</v>
      </c>
      <c r="B652" s="187">
        <f>B614</f>
        <v>-17800000</v>
      </c>
      <c r="C652" s="96"/>
      <c r="D652" s="96"/>
      <c r="E652" s="96"/>
      <c r="F652" s="96"/>
      <c r="G652" s="96"/>
      <c r="H652" s="98"/>
      <c r="I652" s="98"/>
      <c r="J652" s="98"/>
    </row>
    <row r="653" spans="1:10" ht="15.75" x14ac:dyDescent="0.25">
      <c r="A653" s="406" t="s">
        <v>263</v>
      </c>
      <c r="B653" s="385" t="s">
        <v>31</v>
      </c>
      <c r="C653" s="98"/>
      <c r="D653" s="98"/>
      <c r="E653" s="98"/>
      <c r="F653" s="98"/>
      <c r="G653" s="131"/>
      <c r="H653" s="98"/>
      <c r="I653" s="98"/>
      <c r="J653" s="98"/>
    </row>
    <row r="654" spans="1:10" ht="15.75" x14ac:dyDescent="0.25">
      <c r="A654" s="96" t="s">
        <v>196</v>
      </c>
      <c r="B654" s="187">
        <f>B616</f>
        <v>-126782047.35333335</v>
      </c>
      <c r="C654" s="187">
        <f>$C$618</f>
        <v>-7681955.8988163471</v>
      </c>
      <c r="D654" s="187">
        <f>$C$618</f>
        <v>-7681955.8988163471</v>
      </c>
      <c r="E654" s="187">
        <f>$C$618</f>
        <v>-7681955.8988163471</v>
      </c>
      <c r="F654" s="187">
        <f>$C$618</f>
        <v>-7681955.8988163471</v>
      </c>
      <c r="G654" s="187">
        <f>-SUM(B654:F654)</f>
        <v>157509870.94859874</v>
      </c>
      <c r="H654" s="98"/>
      <c r="I654" s="98"/>
      <c r="J654" s="98"/>
    </row>
    <row r="655" spans="1:10" ht="15.75" x14ac:dyDescent="0.25">
      <c r="A655" s="96" t="s">
        <v>254</v>
      </c>
      <c r="B655" s="96"/>
      <c r="C655" s="96"/>
      <c r="D655" s="96"/>
      <c r="E655" s="96"/>
      <c r="F655" s="96"/>
      <c r="G655" s="187">
        <f>G518</f>
        <v>159479870.94859874</v>
      </c>
      <c r="H655" s="98"/>
      <c r="I655" s="98"/>
      <c r="J655" s="98"/>
    </row>
    <row r="656" spans="1:10" ht="15.75" x14ac:dyDescent="0.25">
      <c r="A656" s="96" t="s">
        <v>264</v>
      </c>
      <c r="B656" s="187">
        <f>C552</f>
        <v>86749228.412000015</v>
      </c>
      <c r="C656" s="96"/>
      <c r="D656" s="96"/>
      <c r="E656" s="96"/>
      <c r="F656" s="96"/>
      <c r="G656" s="96"/>
      <c r="H656" s="98"/>
      <c r="I656" s="98"/>
      <c r="J656" s="98"/>
    </row>
    <row r="657" spans="1:10" ht="15.75" x14ac:dyDescent="0.25">
      <c r="A657" s="96" t="s">
        <v>265</v>
      </c>
      <c r="B657" s="96"/>
      <c r="C657" s="187">
        <f>-B585</f>
        <v>-10151054.795072155</v>
      </c>
      <c r="D657" s="187">
        <f>-C585</f>
        <v>-11812223.179573392</v>
      </c>
      <c r="E657" s="187">
        <f>-D585</f>
        <v>-13745233.304403534</v>
      </c>
      <c r="F657" s="187">
        <f>-E585</f>
        <v>-15994570.684983237</v>
      </c>
      <c r="G657" s="187">
        <f>-F585</f>
        <v>-18612000.664620701</v>
      </c>
      <c r="H657" s="98"/>
      <c r="I657" s="98"/>
      <c r="J657" s="98"/>
    </row>
    <row r="658" spans="1:10" ht="15.75" x14ac:dyDescent="0.25">
      <c r="A658" s="96" t="s">
        <v>266</v>
      </c>
      <c r="B658" s="187">
        <f>SUM(B652:B656)</f>
        <v>-57832818.941333339</v>
      </c>
      <c r="C658" s="187">
        <f>C654+C657</f>
        <v>-17833010.6938885</v>
      </c>
      <c r="D658" s="187">
        <f>D654+D657</f>
        <v>-19494179.078389741</v>
      </c>
      <c r="E658" s="187">
        <f>E654+E657</f>
        <v>-21427189.203219883</v>
      </c>
      <c r="F658" s="187">
        <f>F654+F657</f>
        <v>-23676526.583799586</v>
      </c>
      <c r="G658" s="187">
        <f>SUM(G654:G657)</f>
        <v>298377741.23257679</v>
      </c>
      <c r="H658" s="98"/>
      <c r="I658" s="98"/>
      <c r="J658" s="98"/>
    </row>
    <row r="659" spans="1:10" ht="15.75" x14ac:dyDescent="0.25">
      <c r="A659" s="98"/>
      <c r="B659" s="98"/>
      <c r="C659" s="98"/>
      <c r="D659" s="98"/>
      <c r="E659" s="98"/>
      <c r="F659" s="98"/>
      <c r="G659" s="98"/>
      <c r="H659" s="98"/>
      <c r="I659" s="98"/>
      <c r="J659" s="98"/>
    </row>
    <row r="660" spans="1:10" ht="15.75" x14ac:dyDescent="0.25">
      <c r="A660" s="98"/>
      <c r="B660" s="98"/>
      <c r="C660" s="98"/>
      <c r="D660" s="98"/>
      <c r="E660" s="98"/>
      <c r="F660" s="98"/>
      <c r="G660" s="98"/>
      <c r="H660" s="98"/>
      <c r="I660" s="98"/>
      <c r="J660" s="98"/>
    </row>
    <row r="661" spans="1:10" ht="15.75" x14ac:dyDescent="0.25">
      <c r="A661" s="83" t="s">
        <v>267</v>
      </c>
      <c r="B661" s="84"/>
      <c r="C661" s="84"/>
      <c r="D661" s="84"/>
      <c r="E661" s="84"/>
      <c r="F661" s="85"/>
      <c r="G661" s="345"/>
      <c r="H661" s="98"/>
      <c r="I661" s="98"/>
      <c r="J661" s="98"/>
    </row>
    <row r="662" spans="1:10" ht="15.75" x14ac:dyDescent="0.25">
      <c r="A662" s="366" t="s">
        <v>147</v>
      </c>
      <c r="B662" s="83" t="s">
        <v>132</v>
      </c>
      <c r="C662" s="84"/>
      <c r="D662" s="84"/>
      <c r="E662" s="84"/>
      <c r="F662" s="85"/>
      <c r="G662" s="345"/>
      <c r="H662" s="98"/>
      <c r="I662" s="98"/>
      <c r="J662" s="98"/>
    </row>
    <row r="663" spans="1:10" ht="15.75" x14ac:dyDescent="0.25">
      <c r="A663" s="367"/>
      <c r="B663" s="82">
        <v>1</v>
      </c>
      <c r="C663" s="82">
        <v>2</v>
      </c>
      <c r="D663" s="82">
        <v>3</v>
      </c>
      <c r="E663" s="82">
        <v>4</v>
      </c>
      <c r="F663" s="82">
        <v>5</v>
      </c>
      <c r="G663" s="347"/>
      <c r="H663" s="98"/>
      <c r="I663" s="98"/>
      <c r="J663" s="98"/>
    </row>
    <row r="664" spans="1:10" ht="15.75" x14ac:dyDescent="0.25">
      <c r="A664" s="372" t="s">
        <v>242</v>
      </c>
      <c r="B664" s="407">
        <f t="shared" ref="B664:F665" si="38">B624</f>
        <v>3456000000</v>
      </c>
      <c r="C664" s="407">
        <f t="shared" si="38"/>
        <v>3678912000</v>
      </c>
      <c r="D664" s="407">
        <f t="shared" si="38"/>
        <v>3678912000</v>
      </c>
      <c r="E664" s="407">
        <f t="shared" si="38"/>
        <v>3678912000</v>
      </c>
      <c r="F664" s="407">
        <f t="shared" si="38"/>
        <v>3678912000</v>
      </c>
      <c r="G664" s="135"/>
      <c r="H664" s="98"/>
      <c r="I664" s="98"/>
      <c r="J664" s="98"/>
    </row>
    <row r="665" spans="1:10" ht="15.75" x14ac:dyDescent="0.25">
      <c r="A665" s="372" t="s">
        <v>256</v>
      </c>
      <c r="B665" s="407">
        <f t="shared" si="38"/>
        <v>1524630569.24</v>
      </c>
      <c r="C665" s="407">
        <f t="shared" si="38"/>
        <v>1622969240.9559801</v>
      </c>
      <c r="D665" s="407">
        <f t="shared" si="38"/>
        <v>1622969240.9559801</v>
      </c>
      <c r="E665" s="407">
        <f t="shared" si="38"/>
        <v>1622969240.9559801</v>
      </c>
      <c r="F665" s="407">
        <f t="shared" si="38"/>
        <v>1622969240.9559801</v>
      </c>
      <c r="G665" s="135"/>
      <c r="H665" s="98"/>
      <c r="I665" s="98"/>
      <c r="J665" s="98"/>
    </row>
    <row r="666" spans="1:10" ht="15.75" x14ac:dyDescent="0.25">
      <c r="A666" s="98"/>
      <c r="B666" s="98"/>
      <c r="C666" s="98"/>
      <c r="D666" s="98"/>
      <c r="E666" s="98"/>
      <c r="F666" s="131"/>
      <c r="G666" s="98"/>
      <c r="H666" s="98"/>
      <c r="I666" s="98"/>
      <c r="J666" s="98"/>
    </row>
    <row r="667" spans="1:10" ht="15.75" x14ac:dyDescent="0.25">
      <c r="A667" s="372" t="s">
        <v>244</v>
      </c>
      <c r="B667" s="187">
        <f>B664-B665</f>
        <v>1931369430.76</v>
      </c>
      <c r="C667" s="187">
        <f>C664-C665</f>
        <v>2055942759.0440199</v>
      </c>
      <c r="D667" s="187">
        <f>D664-D665</f>
        <v>2055942759.0440199</v>
      </c>
      <c r="E667" s="187">
        <f>E664-E665</f>
        <v>2055942759.0440199</v>
      </c>
      <c r="F667" s="187">
        <f>F664-F665</f>
        <v>2055942759.0440199</v>
      </c>
      <c r="G667" s="135"/>
      <c r="H667" s="98"/>
      <c r="I667" s="98"/>
      <c r="J667" s="98"/>
    </row>
    <row r="668" spans="1:10" ht="15.75" x14ac:dyDescent="0.25">
      <c r="A668" s="96" t="s">
        <v>268</v>
      </c>
      <c r="B668" s="187">
        <f>B584</f>
        <v>19452363.383696012</v>
      </c>
      <c r="C668" s="187">
        <f>C584</f>
        <v>15997469.801890362</v>
      </c>
      <c r="D668" s="187">
        <f>D585</f>
        <v>13745233.304403534</v>
      </c>
      <c r="E668" s="187">
        <f>E584</f>
        <v>8547141.7351830658</v>
      </c>
      <c r="F668" s="187">
        <f>F584</f>
        <v>4442684.5586449662</v>
      </c>
      <c r="G668" s="98"/>
      <c r="H668" s="98"/>
      <c r="I668" s="98"/>
      <c r="J668" s="98"/>
    </row>
    <row r="669" spans="1:10" ht="15.75" x14ac:dyDescent="0.25">
      <c r="A669" s="98"/>
      <c r="B669" s="98"/>
      <c r="C669" s="98"/>
      <c r="D669" s="98"/>
      <c r="E669" s="98"/>
      <c r="F669" s="408"/>
      <c r="G669" s="98"/>
      <c r="H669" s="98"/>
      <c r="I669" s="98"/>
      <c r="J669" s="98"/>
    </row>
    <row r="670" spans="1:10" ht="15.75" x14ac:dyDescent="0.25">
      <c r="A670" s="96" t="s">
        <v>258</v>
      </c>
      <c r="B670" s="187">
        <f>B667-B668</f>
        <v>1911917067.3763039</v>
      </c>
      <c r="C670" s="187">
        <f>C667-C668</f>
        <v>2039945289.2421296</v>
      </c>
      <c r="D670" s="187">
        <f>D667-D668</f>
        <v>2042197525.7396164</v>
      </c>
      <c r="E670" s="187">
        <f>E667-E668</f>
        <v>2047395617.3088369</v>
      </c>
      <c r="F670" s="187">
        <f>F667-F668</f>
        <v>2051500074.4853749</v>
      </c>
      <c r="G670" s="98"/>
      <c r="H670" s="98"/>
      <c r="I670" s="98"/>
      <c r="J670" s="98"/>
    </row>
    <row r="671" spans="1:10" ht="15.75" x14ac:dyDescent="0.25">
      <c r="A671" s="96" t="s">
        <v>245</v>
      </c>
      <c r="B671" s="187">
        <f>B670*0.33</f>
        <v>630932632.23418033</v>
      </c>
      <c r="C671" s="187">
        <f>C670*0.33</f>
        <v>673181945.44990277</v>
      </c>
      <c r="D671" s="187">
        <f>D670*0.33</f>
        <v>673925183.49407339</v>
      </c>
      <c r="E671" s="187">
        <f>E670*0.33</f>
        <v>675640553.71191621</v>
      </c>
      <c r="F671" s="187">
        <f>F670*0.33</f>
        <v>676995024.58017373</v>
      </c>
      <c r="G671" s="98"/>
      <c r="H671" s="98"/>
      <c r="I671" s="98"/>
      <c r="J671" s="98"/>
    </row>
    <row r="672" spans="1:10" ht="15.75" x14ac:dyDescent="0.25">
      <c r="A672" s="98"/>
      <c r="B672" s="98"/>
      <c r="C672" s="98"/>
      <c r="D672" s="98"/>
      <c r="E672" s="98"/>
      <c r="F672" s="131"/>
      <c r="G672" s="98"/>
      <c r="H672" s="98"/>
      <c r="I672" s="98"/>
      <c r="J672" s="98"/>
    </row>
    <row r="673" spans="1:10" ht="15.75" x14ac:dyDescent="0.25">
      <c r="A673" s="96" t="s">
        <v>246</v>
      </c>
      <c r="B673" s="187">
        <f>B670-B671</f>
        <v>1280984435.1421237</v>
      </c>
      <c r="C673" s="187">
        <f>C670-C671</f>
        <v>1366763343.7922268</v>
      </c>
      <c r="D673" s="187">
        <f>D670-D671</f>
        <v>1368272342.245543</v>
      </c>
      <c r="E673" s="187">
        <f>E670-E671</f>
        <v>1371755063.5969207</v>
      </c>
      <c r="F673" s="187">
        <f>F670-F671</f>
        <v>1374505049.9052012</v>
      </c>
      <c r="G673" s="98"/>
      <c r="H673" s="98"/>
      <c r="I673" s="98"/>
      <c r="J673" s="98"/>
    </row>
    <row r="674" spans="1:10" ht="15.75" x14ac:dyDescent="0.25">
      <c r="A674" s="96" t="s">
        <v>269</v>
      </c>
      <c r="B674" s="187">
        <f>$B$634</f>
        <v>1110001</v>
      </c>
      <c r="C674" s="187">
        <f>$B$634</f>
        <v>1110001</v>
      </c>
      <c r="D674" s="187">
        <f>$B$634</f>
        <v>1110001</v>
      </c>
      <c r="E674" s="187">
        <f>$B$634</f>
        <v>1110001</v>
      </c>
      <c r="F674" s="187">
        <f>$B$634</f>
        <v>1110001</v>
      </c>
      <c r="G674" s="98"/>
      <c r="H674" s="98"/>
      <c r="I674" s="98"/>
      <c r="J674" s="98"/>
    </row>
    <row r="675" spans="1:10" ht="15.75" x14ac:dyDescent="0.25">
      <c r="A675" s="96" t="s">
        <v>248</v>
      </c>
      <c r="B675" s="187">
        <f>$B$635</f>
        <v>2136000</v>
      </c>
      <c r="C675" s="187">
        <f>$B$635</f>
        <v>2136000</v>
      </c>
      <c r="D675" s="187">
        <f>$B$635</f>
        <v>2136000</v>
      </c>
      <c r="E675" s="187">
        <f>$B$635</f>
        <v>2136000</v>
      </c>
      <c r="F675" s="187">
        <f>$B$635</f>
        <v>2136000</v>
      </c>
      <c r="G675" s="98"/>
      <c r="H675" s="98"/>
      <c r="I675" s="98"/>
      <c r="J675" s="98"/>
    </row>
    <row r="676" spans="1:10" ht="15.75" x14ac:dyDescent="0.25">
      <c r="A676" s="98"/>
      <c r="B676" s="98"/>
      <c r="C676" s="98"/>
      <c r="D676" s="98"/>
      <c r="E676" s="98"/>
      <c r="F676" s="408"/>
      <c r="G676" s="98"/>
      <c r="H676" s="98"/>
      <c r="I676" s="98"/>
      <c r="J676" s="98"/>
    </row>
    <row r="677" spans="1:10" ht="15.75" x14ac:dyDescent="0.25">
      <c r="A677" s="82" t="s">
        <v>270</v>
      </c>
      <c r="B677" s="363">
        <f>SUM(B673:B676)</f>
        <v>1284230436.1421237</v>
      </c>
      <c r="C677" s="363">
        <f>SUM(C673:C676)</f>
        <v>1370009344.7922268</v>
      </c>
      <c r="D677" s="363">
        <f>SUM(D673:D676)</f>
        <v>1371518343.245543</v>
      </c>
      <c r="E677" s="363">
        <f>SUM(E673:E676)</f>
        <v>1375001064.5969207</v>
      </c>
      <c r="F677" s="363">
        <f>SUM(F673:F676)</f>
        <v>1377751050.9052012</v>
      </c>
      <c r="G677" s="98"/>
      <c r="H677" s="98"/>
      <c r="I677" s="98"/>
      <c r="J677" s="98"/>
    </row>
    <row r="678" spans="1:10" ht="15.75" x14ac:dyDescent="0.25">
      <c r="A678" s="98"/>
      <c r="B678" s="98"/>
      <c r="C678" s="98"/>
      <c r="D678" s="98"/>
      <c r="E678" s="98"/>
      <c r="F678" s="98"/>
      <c r="G678" s="98"/>
      <c r="H678" s="98"/>
      <c r="I678" s="98"/>
      <c r="J678" s="98"/>
    </row>
    <row r="679" spans="1:10" ht="15.75" x14ac:dyDescent="0.25">
      <c r="A679" s="98"/>
      <c r="B679" s="98"/>
      <c r="C679" s="98"/>
      <c r="D679" s="98"/>
      <c r="E679" s="98"/>
      <c r="F679" s="98"/>
      <c r="G679" s="98"/>
      <c r="H679" s="98"/>
      <c r="I679" s="98"/>
      <c r="J679" s="98"/>
    </row>
    <row r="680" spans="1:10" ht="15.75" x14ac:dyDescent="0.25">
      <c r="A680" s="83" t="s">
        <v>271</v>
      </c>
      <c r="B680" s="84"/>
      <c r="C680" s="84"/>
      <c r="D680" s="84"/>
      <c r="E680" s="84"/>
      <c r="F680" s="84"/>
      <c r="G680" s="85"/>
      <c r="H680" s="98"/>
      <c r="I680" s="98"/>
      <c r="J680" s="98"/>
    </row>
    <row r="681" spans="1:10" ht="15.75" x14ac:dyDescent="0.25">
      <c r="A681" s="366" t="s">
        <v>147</v>
      </c>
      <c r="B681" s="83" t="s">
        <v>132</v>
      </c>
      <c r="C681" s="84"/>
      <c r="D681" s="84"/>
      <c r="E681" s="84"/>
      <c r="F681" s="84"/>
      <c r="G681" s="85"/>
      <c r="H681" s="98"/>
      <c r="I681" s="98"/>
      <c r="J681" s="98"/>
    </row>
    <row r="682" spans="1:10" ht="15.75" x14ac:dyDescent="0.25">
      <c r="A682" s="367"/>
      <c r="B682" s="82">
        <v>0</v>
      </c>
      <c r="C682" s="82">
        <v>1</v>
      </c>
      <c r="D682" s="82">
        <v>2</v>
      </c>
      <c r="E682" s="82">
        <v>3</v>
      </c>
      <c r="F682" s="82">
        <v>4</v>
      </c>
      <c r="G682" s="82">
        <v>5</v>
      </c>
      <c r="H682" s="98"/>
      <c r="I682" s="98"/>
      <c r="J682" s="98"/>
    </row>
    <row r="683" spans="1:10" ht="15.75" x14ac:dyDescent="0.25">
      <c r="A683" s="96" t="s">
        <v>250</v>
      </c>
      <c r="B683" s="187">
        <f t="shared" ref="B683:G683" si="39">B658</f>
        <v>-57832818.941333339</v>
      </c>
      <c r="C683" s="187">
        <f t="shared" si="39"/>
        <v>-17833010.6938885</v>
      </c>
      <c r="D683" s="187">
        <f t="shared" si="39"/>
        <v>-19494179.078389741</v>
      </c>
      <c r="E683" s="187">
        <f t="shared" si="39"/>
        <v>-21427189.203219883</v>
      </c>
      <c r="F683" s="187">
        <f t="shared" si="39"/>
        <v>-23676526.583799586</v>
      </c>
      <c r="G683" s="187">
        <f t="shared" si="39"/>
        <v>298377741.23257679</v>
      </c>
      <c r="H683" s="98"/>
      <c r="I683" s="98"/>
      <c r="J683" s="98"/>
    </row>
    <row r="684" spans="1:10" ht="15.75" x14ac:dyDescent="0.25">
      <c r="A684" s="372" t="s">
        <v>272</v>
      </c>
      <c r="B684" s="96"/>
      <c r="C684" s="187">
        <f>B677</f>
        <v>1284230436.1421237</v>
      </c>
      <c r="D684" s="187">
        <f>C677</f>
        <v>1370009344.7922268</v>
      </c>
      <c r="E684" s="187">
        <f>D677</f>
        <v>1371518343.245543</v>
      </c>
      <c r="F684" s="187">
        <f>E677</f>
        <v>1375001064.5969207</v>
      </c>
      <c r="G684" s="187">
        <f>F677</f>
        <v>1377751050.9052012</v>
      </c>
      <c r="H684" s="98"/>
      <c r="I684" s="98"/>
      <c r="J684" s="98"/>
    </row>
    <row r="685" spans="1:10" ht="15.75" x14ac:dyDescent="0.25">
      <c r="A685" s="98"/>
      <c r="B685" s="98"/>
      <c r="C685" s="98"/>
      <c r="D685" s="98"/>
      <c r="E685" s="98"/>
      <c r="F685" s="98"/>
      <c r="G685" s="131"/>
      <c r="H685" s="98"/>
      <c r="I685" s="98"/>
      <c r="J685" s="98"/>
    </row>
    <row r="686" spans="1:10" ht="15.75" x14ac:dyDescent="0.25">
      <c r="A686" s="372" t="s">
        <v>273</v>
      </c>
      <c r="B686" s="187">
        <f t="shared" ref="B686:G686" si="40">SUM(B683:B685)</f>
        <v>-57832818.941333339</v>
      </c>
      <c r="C686" s="187">
        <f t="shared" si="40"/>
        <v>1266397425.4482353</v>
      </c>
      <c r="D686" s="187">
        <f t="shared" si="40"/>
        <v>1350515165.7138371</v>
      </c>
      <c r="E686" s="187">
        <f t="shared" si="40"/>
        <v>1350091154.0423231</v>
      </c>
      <c r="F686" s="187">
        <f t="shared" si="40"/>
        <v>1351324538.0131211</v>
      </c>
      <c r="G686" s="187">
        <f t="shared" si="40"/>
        <v>1676128792.137778</v>
      </c>
      <c r="H686" s="98"/>
      <c r="I686" s="98"/>
      <c r="J686" s="98"/>
    </row>
    <row r="687" spans="1:10" ht="15.75" x14ac:dyDescent="0.25">
      <c r="A687" s="98"/>
      <c r="B687" s="98"/>
      <c r="C687" s="98"/>
      <c r="D687" s="98"/>
      <c r="E687" s="98"/>
      <c r="F687" s="98"/>
      <c r="G687" s="98"/>
      <c r="H687" s="98"/>
      <c r="I687" s="98"/>
      <c r="J687" s="98"/>
    </row>
    <row r="688" spans="1:10" ht="15.75" x14ac:dyDescent="0.25">
      <c r="A688" s="98"/>
      <c r="B688" s="98"/>
      <c r="C688" s="98"/>
      <c r="D688" s="98"/>
      <c r="E688" s="98"/>
      <c r="F688" s="98"/>
      <c r="G688" s="98"/>
      <c r="H688" s="98"/>
      <c r="I688" s="98"/>
      <c r="J688" s="98"/>
    </row>
    <row r="689" spans="1:10" ht="15.75" x14ac:dyDescent="0.25">
      <c r="A689" s="83" t="s">
        <v>277</v>
      </c>
      <c r="B689" s="84"/>
      <c r="C689" s="84"/>
      <c r="D689" s="84"/>
      <c r="E689" s="84"/>
      <c r="F689" s="84"/>
      <c r="G689" s="85"/>
      <c r="H689" s="98"/>
      <c r="I689" s="98"/>
      <c r="J689" s="98"/>
    </row>
    <row r="690" spans="1:10" ht="30" customHeight="1" x14ac:dyDescent="0.25">
      <c r="A690" s="366" t="s">
        <v>276</v>
      </c>
      <c r="B690" s="45" t="s">
        <v>274</v>
      </c>
      <c r="C690" s="83" t="s">
        <v>275</v>
      </c>
      <c r="D690" s="84"/>
      <c r="E690" s="84"/>
      <c r="F690" s="84"/>
      <c r="G690" s="85"/>
      <c r="H690" s="98"/>
      <c r="I690" s="98"/>
      <c r="J690" s="98"/>
    </row>
    <row r="691" spans="1:10" ht="15.75" x14ac:dyDescent="0.25">
      <c r="A691" s="367"/>
      <c r="B691" s="82">
        <v>0</v>
      </c>
      <c r="C691" s="82">
        <v>1</v>
      </c>
      <c r="D691" s="82">
        <v>2</v>
      </c>
      <c r="E691" s="82">
        <v>3</v>
      </c>
      <c r="F691" s="82">
        <v>4</v>
      </c>
      <c r="G691" s="82">
        <v>5</v>
      </c>
      <c r="H691" s="98"/>
      <c r="I691" s="98"/>
      <c r="J691" s="98"/>
    </row>
    <row r="692" spans="1:10" ht="15.75" x14ac:dyDescent="0.25">
      <c r="A692" s="96" t="s">
        <v>278</v>
      </c>
      <c r="B692" s="187">
        <f>C529</f>
        <v>-7120000</v>
      </c>
      <c r="C692" s="96"/>
      <c r="D692" s="96"/>
      <c r="E692" s="96"/>
      <c r="F692" s="96"/>
      <c r="G692" s="96"/>
      <c r="H692" s="98"/>
      <c r="I692" s="98"/>
      <c r="J692" s="98"/>
    </row>
    <row r="693" spans="1:10" ht="15.75" x14ac:dyDescent="0.25">
      <c r="A693" s="372" t="s">
        <v>179</v>
      </c>
      <c r="B693" s="187">
        <f>C531</f>
        <v>-9750000</v>
      </c>
      <c r="C693" s="96"/>
      <c r="D693" s="96"/>
      <c r="E693" s="96"/>
      <c r="F693" s="96"/>
      <c r="G693" s="96"/>
      <c r="H693" s="98"/>
      <c r="I693" s="98"/>
      <c r="J693" s="98"/>
    </row>
    <row r="694" spans="1:10" ht="15.75" x14ac:dyDescent="0.25">
      <c r="A694" s="372" t="s">
        <v>279</v>
      </c>
      <c r="B694" s="187">
        <f>C532</f>
        <v>-930000</v>
      </c>
      <c r="C694" s="96"/>
      <c r="D694" s="96"/>
      <c r="E694" s="96"/>
      <c r="F694" s="96"/>
      <c r="G694" s="96"/>
      <c r="H694" s="98"/>
      <c r="I694" s="98"/>
      <c r="J694" s="98"/>
    </row>
    <row r="695" spans="1:10" ht="15.75" x14ac:dyDescent="0.25">
      <c r="A695" s="372" t="s">
        <v>196</v>
      </c>
      <c r="B695" s="187">
        <f>B654</f>
        <v>-126782047.35333335</v>
      </c>
      <c r="C695" s="187">
        <f>$C$654</f>
        <v>-7681955.8988163471</v>
      </c>
      <c r="D695" s="187">
        <f>$C$654</f>
        <v>-7681955.8988163471</v>
      </c>
      <c r="E695" s="187">
        <f>$C$654</f>
        <v>-7681955.8988163471</v>
      </c>
      <c r="F695" s="187">
        <f>$C$654</f>
        <v>-7681955.8988163471</v>
      </c>
      <c r="G695" s="370" t="s">
        <v>31</v>
      </c>
      <c r="H695" s="98"/>
      <c r="I695" s="98"/>
      <c r="J695" s="98"/>
    </row>
    <row r="696" spans="1:10" ht="15.75" x14ac:dyDescent="0.25">
      <c r="A696" s="409"/>
      <c r="B696" s="135"/>
      <c r="C696" s="135"/>
      <c r="D696" s="135"/>
      <c r="E696" s="135"/>
      <c r="F696" s="135"/>
      <c r="G696" s="131"/>
      <c r="H696" s="98"/>
      <c r="I696" s="98"/>
      <c r="J696" s="98"/>
    </row>
    <row r="697" spans="1:10" ht="15.75" x14ac:dyDescent="0.25">
      <c r="A697" s="410" t="s">
        <v>280</v>
      </c>
      <c r="B697" s="187">
        <f>SUM(B692:B695)</f>
        <v>-144582047.35333335</v>
      </c>
      <c r="C697" s="187">
        <f>SUM(C692:C695)</f>
        <v>-7681955.8988163471</v>
      </c>
      <c r="D697" s="187">
        <f>SUM(D692:D695)</f>
        <v>-7681955.8988163471</v>
      </c>
      <c r="E697" s="187">
        <f>SUM(E692:E695)</f>
        <v>-7681955.8988163471</v>
      </c>
      <c r="F697" s="187">
        <f>SUM(F692:F695)</f>
        <v>-7681955.8988163471</v>
      </c>
      <c r="G697" s="370" t="s">
        <v>31</v>
      </c>
      <c r="H697" s="98"/>
      <c r="I697" s="98"/>
      <c r="J697" s="98"/>
    </row>
    <row r="698" spans="1:10" ht="15.75" x14ac:dyDescent="0.25">
      <c r="A698" s="401" t="s">
        <v>281</v>
      </c>
      <c r="B698" s="187">
        <f>C552</f>
        <v>86749228.412000015</v>
      </c>
      <c r="C698" s="96"/>
      <c r="D698" s="96"/>
      <c r="E698" s="96"/>
      <c r="F698" s="96"/>
      <c r="G698" s="96"/>
      <c r="H698" s="98"/>
      <c r="I698" s="98"/>
      <c r="J698" s="98"/>
    </row>
    <row r="699" spans="1:10" ht="15.75" x14ac:dyDescent="0.25">
      <c r="A699" s="98"/>
      <c r="B699" s="98"/>
      <c r="C699" s="98"/>
      <c r="D699" s="98"/>
      <c r="E699" s="98"/>
      <c r="F699" s="98"/>
      <c r="G699" s="131"/>
      <c r="H699" s="98"/>
      <c r="I699" s="98"/>
      <c r="J699" s="98"/>
    </row>
    <row r="700" spans="1:10" ht="15.75" x14ac:dyDescent="0.25">
      <c r="A700" s="410" t="s">
        <v>282</v>
      </c>
      <c r="B700" s="187">
        <f t="shared" ref="B700:G700" si="41">SUM(B697:B698)</f>
        <v>-57832818.941333339</v>
      </c>
      <c r="C700" s="187">
        <f t="shared" si="41"/>
        <v>-7681955.8988163471</v>
      </c>
      <c r="D700" s="187">
        <f t="shared" si="41"/>
        <v>-7681955.8988163471</v>
      </c>
      <c r="E700" s="187">
        <f t="shared" si="41"/>
        <v>-7681955.8988163471</v>
      </c>
      <c r="F700" s="187">
        <f t="shared" si="41"/>
        <v>-7681955.8988163471</v>
      </c>
      <c r="G700" s="187">
        <f t="shared" si="41"/>
        <v>0</v>
      </c>
      <c r="H700" s="98"/>
      <c r="I700" s="98"/>
      <c r="J700" s="98"/>
    </row>
    <row r="701" spans="1:10" ht="15.75" x14ac:dyDescent="0.25">
      <c r="A701" s="96" t="s">
        <v>283</v>
      </c>
      <c r="B701" s="96"/>
      <c r="C701" s="187">
        <f>-B585</f>
        <v>-10151054.795072155</v>
      </c>
      <c r="D701" s="187">
        <f>-C585</f>
        <v>-11812223.179573392</v>
      </c>
      <c r="E701" s="187">
        <f>-D585</f>
        <v>-13745233.304403534</v>
      </c>
      <c r="F701" s="187">
        <f>-E585</f>
        <v>-15994570.684983237</v>
      </c>
      <c r="G701" s="187">
        <f>-F585</f>
        <v>-18612000.664620701</v>
      </c>
      <c r="H701" s="98"/>
      <c r="I701" s="98"/>
      <c r="J701" s="98"/>
    </row>
    <row r="702" spans="1:10" ht="15.75" x14ac:dyDescent="0.25">
      <c r="A702" s="96" t="s">
        <v>225</v>
      </c>
      <c r="B702" s="96"/>
      <c r="C702" s="96"/>
      <c r="D702" s="96"/>
      <c r="E702" s="96"/>
      <c r="F702" s="96"/>
      <c r="G702" s="370" t="s">
        <v>31</v>
      </c>
      <c r="H702" s="98"/>
      <c r="I702" s="98"/>
      <c r="J702" s="98"/>
    </row>
    <row r="703" spans="1:10" ht="15.75" x14ac:dyDescent="0.25">
      <c r="A703" s="96" t="s">
        <v>196</v>
      </c>
      <c r="B703" s="96"/>
      <c r="C703" s="96"/>
      <c r="D703" s="96"/>
      <c r="E703" s="96"/>
      <c r="F703" s="96"/>
      <c r="G703" s="187">
        <f>G654</f>
        <v>157509870.94859874</v>
      </c>
      <c r="H703" s="98"/>
      <c r="I703" s="98"/>
      <c r="J703" s="98"/>
    </row>
    <row r="704" spans="1:10" ht="15.75" x14ac:dyDescent="0.25">
      <c r="A704" s="96" t="s">
        <v>284</v>
      </c>
      <c r="B704" s="96"/>
      <c r="C704" s="96"/>
      <c r="D704" s="96"/>
      <c r="E704" s="96"/>
      <c r="F704" s="96"/>
      <c r="G704" s="187">
        <f>G518</f>
        <v>159479870.94859874</v>
      </c>
      <c r="H704" s="98"/>
      <c r="I704" s="98"/>
      <c r="J704" s="98"/>
    </row>
    <row r="705" spans="1:10" ht="15.75" x14ac:dyDescent="0.25">
      <c r="A705" s="98"/>
      <c r="B705" s="98"/>
      <c r="C705" s="98"/>
      <c r="D705" s="98"/>
      <c r="E705" s="98"/>
      <c r="F705" s="98"/>
      <c r="G705" s="408"/>
      <c r="H705" s="98"/>
      <c r="I705" s="98"/>
      <c r="J705" s="98"/>
    </row>
    <row r="706" spans="1:10" ht="15.75" x14ac:dyDescent="0.25">
      <c r="A706" s="411" t="s">
        <v>285</v>
      </c>
      <c r="B706" s="187">
        <f t="shared" ref="B706:G706" si="42">SUM(B700:B704)</f>
        <v>-57832818.941333339</v>
      </c>
      <c r="C706" s="187">
        <f t="shared" si="42"/>
        <v>-17833010.6938885</v>
      </c>
      <c r="D706" s="187">
        <f t="shared" si="42"/>
        <v>-19494179.078389741</v>
      </c>
      <c r="E706" s="187">
        <f t="shared" si="42"/>
        <v>-21427189.203219883</v>
      </c>
      <c r="F706" s="187">
        <f t="shared" si="42"/>
        <v>-23676526.583799586</v>
      </c>
      <c r="G706" s="187">
        <f t="shared" si="42"/>
        <v>298377741.23257679</v>
      </c>
      <c r="H706" s="98"/>
      <c r="I706" s="98"/>
      <c r="J706" s="98"/>
    </row>
    <row r="707" spans="1:10" ht="15.75" x14ac:dyDescent="0.25">
      <c r="A707" s="96" t="s">
        <v>286</v>
      </c>
      <c r="B707" s="96"/>
      <c r="C707" s="96"/>
      <c r="D707" s="96"/>
      <c r="E707" s="96"/>
      <c r="F707" s="96"/>
      <c r="G707" s="96"/>
      <c r="H707" s="98"/>
      <c r="I707" s="98"/>
      <c r="J707" s="98"/>
    </row>
    <row r="708" spans="1:10" ht="15.75" x14ac:dyDescent="0.25">
      <c r="A708" s="96" t="s">
        <v>287</v>
      </c>
      <c r="B708" s="96"/>
      <c r="C708" s="96"/>
      <c r="D708" s="96"/>
      <c r="E708" s="96"/>
      <c r="F708" s="96"/>
      <c r="G708" s="96"/>
      <c r="H708" s="98"/>
      <c r="I708" s="98"/>
      <c r="J708" s="98"/>
    </row>
    <row r="709" spans="1:10" ht="15.75" x14ac:dyDescent="0.25">
      <c r="A709" s="96" t="s">
        <v>288</v>
      </c>
      <c r="B709" s="96"/>
      <c r="C709" s="187">
        <f>B664</f>
        <v>3456000000</v>
      </c>
      <c r="D709" s="187">
        <f>C664</f>
        <v>3678912000</v>
      </c>
      <c r="E709" s="187">
        <f>D664</f>
        <v>3678912000</v>
      </c>
      <c r="F709" s="187">
        <f>E664</f>
        <v>3678912000</v>
      </c>
      <c r="G709" s="187">
        <f>F664</f>
        <v>3678912000</v>
      </c>
      <c r="H709" s="98"/>
      <c r="I709" s="98"/>
      <c r="J709" s="98"/>
    </row>
    <row r="710" spans="1:10" ht="15.75" x14ac:dyDescent="0.25">
      <c r="A710" s="411" t="s">
        <v>242</v>
      </c>
      <c r="B710" s="96"/>
      <c r="C710" s="187">
        <f>C709</f>
        <v>3456000000</v>
      </c>
      <c r="D710" s="187">
        <f>D709</f>
        <v>3678912000</v>
      </c>
      <c r="E710" s="187">
        <f>E709</f>
        <v>3678912000</v>
      </c>
      <c r="F710" s="187">
        <f>F709</f>
        <v>3678912000</v>
      </c>
      <c r="G710" s="187">
        <f>G709</f>
        <v>3678912000</v>
      </c>
      <c r="H710" s="98"/>
      <c r="I710" s="98"/>
      <c r="J710" s="98"/>
    </row>
    <row r="711" spans="1:10" ht="15.75" x14ac:dyDescent="0.25">
      <c r="A711" s="96" t="s">
        <v>289</v>
      </c>
      <c r="B711" s="96"/>
      <c r="C711" s="96"/>
      <c r="D711" s="96"/>
      <c r="E711" s="96"/>
      <c r="F711" s="96"/>
      <c r="G711" s="96"/>
      <c r="H711" s="98"/>
      <c r="I711" s="98"/>
      <c r="J711" s="98"/>
    </row>
    <row r="712" spans="1:10" ht="15.75" x14ac:dyDescent="0.25">
      <c r="A712" s="96" t="s">
        <v>156</v>
      </c>
      <c r="B712" s="96"/>
      <c r="C712" s="187">
        <f>B348</f>
        <v>1397987435.71</v>
      </c>
      <c r="D712" s="187">
        <f>$C$482</f>
        <v>1481597237.71</v>
      </c>
      <c r="E712" s="187">
        <f>$C$482</f>
        <v>1481597237.71</v>
      </c>
      <c r="F712" s="187">
        <f>$C$482</f>
        <v>1481597237.71</v>
      </c>
      <c r="G712" s="187">
        <f>$C$482</f>
        <v>1481597237.71</v>
      </c>
      <c r="H712" s="98"/>
      <c r="I712" s="98"/>
      <c r="J712" s="98"/>
    </row>
    <row r="713" spans="1:10" ht="15.75" x14ac:dyDescent="0.25">
      <c r="A713" s="96" t="s">
        <v>159</v>
      </c>
      <c r="B713" s="96"/>
      <c r="C713" s="187">
        <f>$B$493</f>
        <v>87293133.530000001</v>
      </c>
      <c r="D713" s="187">
        <f>$B$493</f>
        <v>87293133.530000001</v>
      </c>
      <c r="E713" s="187">
        <f>$B$493</f>
        <v>87293133.530000001</v>
      </c>
      <c r="F713" s="187">
        <f>$B$493</f>
        <v>87293133.530000001</v>
      </c>
      <c r="G713" s="187">
        <f>$B$493</f>
        <v>87293133.530000001</v>
      </c>
      <c r="H713" s="98"/>
      <c r="I713" s="98"/>
      <c r="J713" s="98"/>
    </row>
    <row r="714" spans="1:10" ht="15.75" x14ac:dyDescent="0.25">
      <c r="A714" s="96" t="s">
        <v>290</v>
      </c>
      <c r="B714" s="96"/>
      <c r="C714" s="187">
        <f>$E$206</f>
        <v>39350000</v>
      </c>
      <c r="D714" s="187">
        <f>$E$206</f>
        <v>39350000</v>
      </c>
      <c r="E714" s="187">
        <f>$E$206</f>
        <v>39350000</v>
      </c>
      <c r="F714" s="187">
        <f>$E$206</f>
        <v>39350000</v>
      </c>
      <c r="G714" s="187">
        <f>$E$206</f>
        <v>39350000</v>
      </c>
      <c r="H714" s="98"/>
      <c r="I714" s="98"/>
      <c r="J714" s="98"/>
    </row>
    <row r="715" spans="1:10" ht="15.75" x14ac:dyDescent="0.25">
      <c r="A715" s="411" t="s">
        <v>243</v>
      </c>
      <c r="B715" s="96"/>
      <c r="C715" s="412">
        <f>SUM(C712:C714)</f>
        <v>1524630569.24</v>
      </c>
      <c r="D715" s="412">
        <f>SUM(D712:D714)</f>
        <v>1608240371.24</v>
      </c>
      <c r="E715" s="412">
        <f>SUM(E712:E714)</f>
        <v>1608240371.24</v>
      </c>
      <c r="F715" s="412">
        <f>SUM(F712:F714)</f>
        <v>1608240371.24</v>
      </c>
      <c r="G715" s="412">
        <f>SUM(G712:G714)</f>
        <v>1608240371.24</v>
      </c>
      <c r="H715" s="98"/>
      <c r="I715" s="98"/>
      <c r="J715" s="98"/>
    </row>
    <row r="716" spans="1:10" ht="15.75" x14ac:dyDescent="0.25">
      <c r="A716" s="411" t="s">
        <v>292</v>
      </c>
      <c r="B716" s="96"/>
      <c r="C716" s="187">
        <f>C710-C715</f>
        <v>1931369430.76</v>
      </c>
      <c r="D716" s="187">
        <f>D710-D715</f>
        <v>2070671628.76</v>
      </c>
      <c r="E716" s="187">
        <f>E710-E715</f>
        <v>2070671628.76</v>
      </c>
      <c r="F716" s="187">
        <f>F710-F715</f>
        <v>2070671628.76</v>
      </c>
      <c r="G716" s="187">
        <f>G710-G715</f>
        <v>2070671628.76</v>
      </c>
      <c r="H716" s="98"/>
      <c r="I716" s="98"/>
      <c r="J716" s="98"/>
    </row>
    <row r="717" spans="1:10" ht="15.75" x14ac:dyDescent="0.25">
      <c r="A717" s="96" t="s">
        <v>293</v>
      </c>
      <c r="B717" s="96"/>
      <c r="C717" s="187">
        <f>B584</f>
        <v>19452363.383696012</v>
      </c>
      <c r="D717" s="187">
        <f>C584</f>
        <v>15997469.801890362</v>
      </c>
      <c r="E717" s="187">
        <f>D584</f>
        <v>12379419.566863498</v>
      </c>
      <c r="F717" s="187">
        <f>E584</f>
        <v>8547141.7351830658</v>
      </c>
      <c r="G717" s="187">
        <f>F584</f>
        <v>4442684.5586449662</v>
      </c>
      <c r="H717" s="98"/>
      <c r="I717" s="98"/>
      <c r="J717" s="98"/>
    </row>
    <row r="718" spans="1:10" ht="15.75" x14ac:dyDescent="0.25">
      <c r="A718" s="411" t="s">
        <v>258</v>
      </c>
      <c r="B718" s="96"/>
      <c r="C718" s="412">
        <f>C716-C717</f>
        <v>1911917067.3763039</v>
      </c>
      <c r="D718" s="412">
        <f>D716-D717</f>
        <v>2054674158.9581096</v>
      </c>
      <c r="E718" s="412">
        <f>E716-E717</f>
        <v>2058292209.1931365</v>
      </c>
      <c r="F718" s="412">
        <f>F716-F717</f>
        <v>2062124487.024817</v>
      </c>
      <c r="G718" s="412">
        <f>G716-G717</f>
        <v>2066228944.201355</v>
      </c>
      <c r="H718" s="98"/>
      <c r="I718" s="98"/>
      <c r="J718" s="98"/>
    </row>
    <row r="719" spans="1:10" ht="15.75" x14ac:dyDescent="0.25">
      <c r="A719" s="96" t="s">
        <v>291</v>
      </c>
      <c r="B719" s="96"/>
      <c r="C719" s="187">
        <f>-C718*0.33</f>
        <v>-630932632.23418033</v>
      </c>
      <c r="D719" s="187">
        <f>-D718*0.33</f>
        <v>-678042472.45617616</v>
      </c>
      <c r="E719" s="187">
        <f>-E718*0.33</f>
        <v>-679236429.03373504</v>
      </c>
      <c r="F719" s="187">
        <f>-F718*0.33</f>
        <v>-680501080.7181896</v>
      </c>
      <c r="G719" s="187">
        <f>-G718*0.33</f>
        <v>-681855551.58644712</v>
      </c>
      <c r="H719" s="98"/>
      <c r="I719" s="98"/>
      <c r="J719" s="98"/>
    </row>
    <row r="720" spans="1:10" ht="15.75" x14ac:dyDescent="0.25">
      <c r="A720" s="96" t="s">
        <v>246</v>
      </c>
      <c r="B720" s="96"/>
      <c r="C720" s="412">
        <f>SUM(C718:C719)</f>
        <v>1280984435.1421237</v>
      </c>
      <c r="D720" s="412">
        <f>SUM(D718:D719)</f>
        <v>1376631686.5019336</v>
      </c>
      <c r="E720" s="412">
        <f>SUM(E718:E719)</f>
        <v>1379055780.1594014</v>
      </c>
      <c r="F720" s="412">
        <f>SUM(F718:F719)</f>
        <v>1381623406.3066273</v>
      </c>
      <c r="G720" s="412">
        <f>SUM(G718:G719)</f>
        <v>1384373392.6149077</v>
      </c>
      <c r="H720" s="98"/>
      <c r="I720" s="98"/>
      <c r="J720" s="98"/>
    </row>
    <row r="721" spans="1:10" ht="15.75" x14ac:dyDescent="0.25">
      <c r="A721" s="96" t="s">
        <v>294</v>
      </c>
      <c r="B721" s="96"/>
      <c r="C721" s="187">
        <f>$B$674</f>
        <v>1110001</v>
      </c>
      <c r="D721" s="187">
        <f>$B$674</f>
        <v>1110001</v>
      </c>
      <c r="E721" s="187">
        <f>$B$674</f>
        <v>1110001</v>
      </c>
      <c r="F721" s="187">
        <f>$B$674</f>
        <v>1110001</v>
      </c>
      <c r="G721" s="187">
        <f>$B$674</f>
        <v>1110001</v>
      </c>
      <c r="H721" s="98"/>
      <c r="I721" s="98"/>
      <c r="J721" s="98"/>
    </row>
    <row r="722" spans="1:10" ht="15.75" x14ac:dyDescent="0.25">
      <c r="A722" s="96" t="s">
        <v>218</v>
      </c>
      <c r="B722" s="96"/>
      <c r="C722" s="187">
        <f>$B$675</f>
        <v>2136000</v>
      </c>
      <c r="D722" s="187">
        <f>$B$675</f>
        <v>2136000</v>
      </c>
      <c r="E722" s="187">
        <f>$B$675</f>
        <v>2136000</v>
      </c>
      <c r="F722" s="187">
        <f>$B$675</f>
        <v>2136000</v>
      </c>
      <c r="G722" s="187">
        <f>$B$675</f>
        <v>2136000</v>
      </c>
      <c r="H722" s="98"/>
      <c r="I722" s="98"/>
      <c r="J722" s="98"/>
    </row>
    <row r="723" spans="1:10" ht="15.75" x14ac:dyDescent="0.25">
      <c r="A723" s="96" t="s">
        <v>272</v>
      </c>
      <c r="B723" s="96"/>
      <c r="C723" s="187">
        <f>SUM(C720:C722)</f>
        <v>1284230436.1421237</v>
      </c>
      <c r="D723" s="187">
        <f>SUM(D720:D722)</f>
        <v>1379877687.5019336</v>
      </c>
      <c r="E723" s="187">
        <f>SUM(E720:E722)</f>
        <v>1382301781.1594014</v>
      </c>
      <c r="F723" s="187">
        <f>SUM(F720:F722)</f>
        <v>1384869407.3066273</v>
      </c>
      <c r="G723" s="187">
        <f>SUM(G720:G722)</f>
        <v>1387619393.6149077</v>
      </c>
      <c r="H723" s="98"/>
      <c r="I723" s="98"/>
      <c r="J723" s="98"/>
    </row>
    <row r="724" spans="1:10" ht="31.5" x14ac:dyDescent="0.25">
      <c r="A724" s="53" t="s">
        <v>295</v>
      </c>
      <c r="B724" s="363">
        <f>SUM(B706:B723)</f>
        <v>-57832818.941333339</v>
      </c>
      <c r="C724" s="363">
        <f>C706+C723</f>
        <v>1266397425.4482353</v>
      </c>
      <c r="D724" s="363">
        <f>D706+D723</f>
        <v>1360383508.4235439</v>
      </c>
      <c r="E724" s="363">
        <f>E706+E723</f>
        <v>1360874591.9561815</v>
      </c>
      <c r="F724" s="363">
        <f>F706+F723</f>
        <v>1361192880.7228277</v>
      </c>
      <c r="G724" s="363">
        <f>G706+G723</f>
        <v>1685997134.8474846</v>
      </c>
      <c r="H724" s="98"/>
      <c r="I724" s="98"/>
      <c r="J724" s="98"/>
    </row>
  </sheetData>
  <mergeCells count="136">
    <mergeCell ref="A17:D17"/>
    <mergeCell ref="A323:E323"/>
    <mergeCell ref="B376:F376"/>
    <mergeCell ref="A27:E27"/>
    <mergeCell ref="A39:E39"/>
    <mergeCell ref="A47:E47"/>
    <mergeCell ref="A61:D61"/>
    <mergeCell ref="A72:C72"/>
    <mergeCell ref="B88:E88"/>
    <mergeCell ref="B89:E89"/>
    <mergeCell ref="B90:E90"/>
    <mergeCell ref="A83:B83"/>
    <mergeCell ref="B91:E91"/>
    <mergeCell ref="A75:E75"/>
    <mergeCell ref="A86:E86"/>
    <mergeCell ref="B95:E95"/>
    <mergeCell ref="B96:E96"/>
    <mergeCell ref="B97:E97"/>
    <mergeCell ref="A135:D135"/>
    <mergeCell ref="A149:C149"/>
    <mergeCell ref="A164:B164"/>
    <mergeCell ref="A101:E101"/>
    <mergeCell ref="A126:E126"/>
    <mergeCell ref="A138:I138"/>
    <mergeCell ref="A67:C67"/>
    <mergeCell ref="A68:C68"/>
    <mergeCell ref="A69:C69"/>
    <mergeCell ref="A70:C70"/>
    <mergeCell ref="A71:C71"/>
    <mergeCell ref="A167:E167"/>
    <mergeCell ref="A24:C24"/>
    <mergeCell ref="A36:C36"/>
    <mergeCell ref="A44:C44"/>
    <mergeCell ref="A58:C58"/>
    <mergeCell ref="A63:C63"/>
    <mergeCell ref="A64:C64"/>
    <mergeCell ref="B92:E92"/>
    <mergeCell ref="B93:E93"/>
    <mergeCell ref="B94:E94"/>
    <mergeCell ref="A152:I152"/>
    <mergeCell ref="A66:C66"/>
    <mergeCell ref="A65:C65"/>
    <mergeCell ref="A177:E177"/>
    <mergeCell ref="A522:H522"/>
    <mergeCell ref="A270:D270"/>
    <mergeCell ref="A285:E285"/>
    <mergeCell ref="A311:E311"/>
    <mergeCell ref="A329:G329"/>
    <mergeCell ref="A344:B344"/>
    <mergeCell ref="A373:F373"/>
    <mergeCell ref="A384:F384"/>
    <mergeCell ref="B387:F387"/>
    <mergeCell ref="A187:H187"/>
    <mergeCell ref="A184:D184"/>
    <mergeCell ref="A197:B197"/>
    <mergeCell ref="A206:D206"/>
    <mergeCell ref="A200:E200"/>
    <mergeCell ref="A209:C209"/>
    <mergeCell ref="A450:G450"/>
    <mergeCell ref="A469:G469"/>
    <mergeCell ref="A485:F485"/>
    <mergeCell ref="A442:F442"/>
    <mergeCell ref="A451:A452"/>
    <mergeCell ref="A245:E245"/>
    <mergeCell ref="A262:D262"/>
    <mergeCell ref="A297:E297"/>
    <mergeCell ref="B413:F413"/>
    <mergeCell ref="A412:F412"/>
    <mergeCell ref="A496:F496"/>
    <mergeCell ref="A504:F504"/>
    <mergeCell ref="A464:G464"/>
    <mergeCell ref="A461:F461"/>
    <mergeCell ref="A513:G513"/>
    <mergeCell ref="H349:I349"/>
    <mergeCell ref="A375:F375"/>
    <mergeCell ref="A420:F420"/>
    <mergeCell ref="A421:F421"/>
    <mergeCell ref="A422:C422"/>
    <mergeCell ref="D422:F422"/>
    <mergeCell ref="D348:E348"/>
    <mergeCell ref="H344:J344"/>
    <mergeCell ref="H345:I345"/>
    <mergeCell ref="H346:I346"/>
    <mergeCell ref="H347:I347"/>
    <mergeCell ref="H348:I348"/>
    <mergeCell ref="A258:E258"/>
    <mergeCell ref="B401:F401"/>
    <mergeCell ref="A400:F400"/>
    <mergeCell ref="A327:E327"/>
    <mergeCell ref="D344:F344"/>
    <mergeCell ref="D345:E345"/>
    <mergeCell ref="B650:G650"/>
    <mergeCell ref="A534:B534"/>
    <mergeCell ref="A589:A590"/>
    <mergeCell ref="B589:F589"/>
    <mergeCell ref="A604:A605"/>
    <mergeCell ref="B604:G604"/>
    <mergeCell ref="A470:A471"/>
    <mergeCell ref="B470:G470"/>
    <mergeCell ref="A486:A487"/>
    <mergeCell ref="B486:F486"/>
    <mergeCell ref="A497:A498"/>
    <mergeCell ref="B497:F497"/>
    <mergeCell ref="A505:A506"/>
    <mergeCell ref="B505:F505"/>
    <mergeCell ref="A514:A515"/>
    <mergeCell ref="B514:G514"/>
    <mergeCell ref="A523:A524"/>
    <mergeCell ref="B523:H523"/>
    <mergeCell ref="B550:G550"/>
    <mergeCell ref="A543:B543"/>
    <mergeCell ref="A537:E537"/>
    <mergeCell ref="B681:G681"/>
    <mergeCell ref="A581:F581"/>
    <mergeCell ref="A582:F582"/>
    <mergeCell ref="A690:A691"/>
    <mergeCell ref="A689:G689"/>
    <mergeCell ref="C690:G690"/>
    <mergeCell ref="A661:F661"/>
    <mergeCell ref="A662:A663"/>
    <mergeCell ref="B662:F662"/>
    <mergeCell ref="A680:G680"/>
    <mergeCell ref="A681:A682"/>
    <mergeCell ref="A640:G640"/>
    <mergeCell ref="A588:F588"/>
    <mergeCell ref="A603:G603"/>
    <mergeCell ref="A611:G611"/>
    <mergeCell ref="A621:F621"/>
    <mergeCell ref="A612:A613"/>
    <mergeCell ref="B612:G612"/>
    <mergeCell ref="A622:A623"/>
    <mergeCell ref="B622:F622"/>
    <mergeCell ref="A641:A642"/>
    <mergeCell ref="B641:G641"/>
    <mergeCell ref="A649:G649"/>
    <mergeCell ref="A650:A65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53"/>
  <sheetViews>
    <sheetView tabSelected="1" zoomScale="82" zoomScaleNormal="82" workbookViewId="0">
      <selection activeCell="F15" sqref="F15"/>
    </sheetView>
  </sheetViews>
  <sheetFormatPr baseColWidth="10" defaultRowHeight="15" x14ac:dyDescent="0.25"/>
  <cols>
    <col min="1" max="1" width="11.42578125" style="20"/>
    <col min="2" max="2" width="21.5703125" style="20" customWidth="1"/>
    <col min="3" max="3" width="18.85546875" style="20" customWidth="1"/>
    <col min="4" max="4" width="19.28515625" style="20" customWidth="1"/>
    <col min="5" max="5" width="20.5703125" style="20" customWidth="1"/>
    <col min="6" max="6" width="17.5703125" style="20" customWidth="1"/>
    <col min="7" max="16384" width="11.42578125" style="20"/>
  </cols>
  <sheetData>
    <row r="1" spans="2:18" ht="15.75" x14ac:dyDescent="0.25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2:18" ht="15.75" x14ac:dyDescent="0.25">
      <c r="B2" s="98" t="s">
        <v>500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</row>
    <row r="3" spans="2:18" ht="15.75" x14ac:dyDescent="0.25">
      <c r="B3" s="98" t="s">
        <v>501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</row>
    <row r="4" spans="2:18" ht="15.75" x14ac:dyDescent="0.2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</row>
    <row r="5" spans="2:18" ht="15.75" x14ac:dyDescent="0.25">
      <c r="B5" s="81" t="s">
        <v>140</v>
      </c>
      <c r="C5" s="81"/>
      <c r="D5" s="81"/>
      <c r="E5" s="81"/>
      <c r="F5" s="81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</row>
    <row r="6" spans="2:18" ht="15.75" x14ac:dyDescent="0.25">
      <c r="B6" s="47" t="s">
        <v>100</v>
      </c>
      <c r="C6" s="47" t="s">
        <v>101</v>
      </c>
      <c r="D6" s="47" t="s">
        <v>86</v>
      </c>
      <c r="E6" s="47" t="s">
        <v>2</v>
      </c>
      <c r="F6" s="47" t="s">
        <v>102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</row>
    <row r="7" spans="2:18" ht="15.75" x14ac:dyDescent="0.25">
      <c r="B7" s="413">
        <f>' Momento Dos'!A247</f>
        <v>0</v>
      </c>
      <c r="C7" s="413">
        <f>' Momento Dos'!B247</f>
        <v>127375134.53</v>
      </c>
      <c r="D7" s="413">
        <f>' Momento Dos'!C247</f>
        <v>0</v>
      </c>
      <c r="E7" s="413">
        <f>' Momento Dos'!D247</f>
        <v>127375134.53</v>
      </c>
      <c r="F7" s="413">
        <f>' Momento Dos'!E247</f>
        <v>0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2:18" ht="15.75" x14ac:dyDescent="0.25">
      <c r="B8" s="413">
        <f>' Momento Dos'!A248</f>
        <v>593.95483641058365</v>
      </c>
      <c r="C8" s="413">
        <f>' Momento Dos'!B248</f>
        <v>127375134.53</v>
      </c>
      <c r="D8" s="413">
        <f>' Momento Dos'!C248</f>
        <v>21612151.644452527</v>
      </c>
      <c r="E8" s="413">
        <f>' Momento Dos'!D248</f>
        <v>148987286.17445254</v>
      </c>
      <c r="F8" s="413">
        <f>' Momento Dos'!E248</f>
        <v>53455935.276952527</v>
      </c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2:18" ht="15.75" x14ac:dyDescent="0.25">
      <c r="B9" s="413">
        <f>' Momento Dos'!A249</f>
        <v>1187.9096728211673</v>
      </c>
      <c r="C9" s="413">
        <f>' Momento Dos'!B249</f>
        <v>127375134.53</v>
      </c>
      <c r="D9" s="413">
        <f>' Momento Dos'!C249</f>
        <v>43224303.288905054</v>
      </c>
      <c r="E9" s="413">
        <f>' Momento Dos'!D249</f>
        <v>170599437.81890506</v>
      </c>
      <c r="F9" s="413">
        <f>' Momento Dos'!E249</f>
        <v>106911870.55390505</v>
      </c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</row>
    <row r="10" spans="2:18" ht="15.75" x14ac:dyDescent="0.25">
      <c r="B10" s="413">
        <f>' Momento Dos'!A250</f>
        <v>1781.8645092317511</v>
      </c>
      <c r="C10" s="413">
        <f>' Momento Dos'!B250</f>
        <v>127375134.53</v>
      </c>
      <c r="D10" s="413">
        <f>' Momento Dos'!C250</f>
        <v>64836454.933357581</v>
      </c>
      <c r="E10" s="413">
        <f>' Momento Dos'!D250</f>
        <v>192211589.46335757</v>
      </c>
      <c r="F10" s="413">
        <f>' Momento Dos'!E250</f>
        <v>160367805.8308576</v>
      </c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</row>
    <row r="11" spans="2:18" ht="15.75" x14ac:dyDescent="0.25">
      <c r="B11" s="413">
        <f>' Momento Dos'!A251</f>
        <v>2375.8193456423346</v>
      </c>
      <c r="C11" s="413">
        <f>' Momento Dos'!B251</f>
        <v>127375134.53</v>
      </c>
      <c r="D11" s="413">
        <f>' Momento Dos'!C251</f>
        <v>86448606.577810109</v>
      </c>
      <c r="E11" s="413">
        <f>' Momento Dos'!D251</f>
        <v>213823741.10781011</v>
      </c>
      <c r="F11" s="413">
        <f>' Momento Dos'!E251</f>
        <v>213823741.10781011</v>
      </c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</row>
    <row r="12" spans="2:18" ht="15.75" x14ac:dyDescent="0.25">
      <c r="B12" s="413">
        <f>' Momento Dos'!A252</f>
        <v>2969.7741820529181</v>
      </c>
      <c r="C12" s="413">
        <f>' Momento Dos'!B252</f>
        <v>127375134.53</v>
      </c>
      <c r="D12" s="413">
        <f>' Momento Dos'!C252</f>
        <v>108060758.22226262</v>
      </c>
      <c r="E12" s="413">
        <f>' Momento Dos'!D252</f>
        <v>235435892.75226262</v>
      </c>
      <c r="F12" s="413">
        <f>' Momento Dos'!E252</f>
        <v>267279676.38476264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</row>
    <row r="13" spans="2:18" ht="15.75" x14ac:dyDescent="0.25">
      <c r="B13" s="413">
        <f>' Momento Dos'!A253</f>
        <v>3563.7290184635021</v>
      </c>
      <c r="C13" s="413">
        <f>' Momento Dos'!B253</f>
        <v>127375134.53</v>
      </c>
      <c r="D13" s="413">
        <f>' Momento Dos'!C253</f>
        <v>129672909.86671516</v>
      </c>
      <c r="E13" s="413">
        <f>' Momento Dos'!D253</f>
        <v>257048044.39671516</v>
      </c>
      <c r="F13" s="413">
        <f>' Momento Dos'!E253</f>
        <v>320735611.66171521</v>
      </c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</row>
    <row r="14" spans="2:18" ht="15.75" x14ac:dyDescent="0.25">
      <c r="B14" s="413">
        <f>' Momento Dos'!A254</f>
        <v>4157.6838548740852</v>
      </c>
      <c r="C14" s="413">
        <f>' Momento Dos'!B254</f>
        <v>127375134.53</v>
      </c>
      <c r="D14" s="413">
        <f>' Momento Dos'!C254</f>
        <v>151285061.51116768</v>
      </c>
      <c r="E14" s="413">
        <f>' Momento Dos'!D254</f>
        <v>278660196.04116768</v>
      </c>
      <c r="F14" s="413">
        <f>' Momento Dos'!E254</f>
        <v>374191546.93866765</v>
      </c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</row>
    <row r="15" spans="2:18" ht="15.75" x14ac:dyDescent="0.25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</row>
    <row r="16" spans="2:18" ht="15.75" x14ac:dyDescent="0.25">
      <c r="B16" s="98" t="s">
        <v>482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</row>
    <row r="17" spans="2:18" ht="15.75" x14ac:dyDescent="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</row>
    <row r="18" spans="2:18" ht="15.75" x14ac:dyDescent="0.25">
      <c r="B18" s="98" t="s">
        <v>502</v>
      </c>
      <c r="C18" s="414">
        <f>' Momento Dos'!B238</f>
        <v>90000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</row>
    <row r="19" spans="2:18" ht="15.75" x14ac:dyDescent="0.25">
      <c r="B19" s="98" t="s">
        <v>503</v>
      </c>
      <c r="C19" s="414">
        <f>' Momento Dos'!B242</f>
        <v>36386.86027890625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</row>
    <row r="20" spans="2:18" ht="15.75" x14ac:dyDescent="0.25">
      <c r="B20" s="98" t="s">
        <v>504</v>
      </c>
      <c r="C20" s="414">
        <f>' Momento Dos'!B240</f>
        <v>127375134.53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</row>
    <row r="21" spans="2:18" ht="15.75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</row>
    <row r="22" spans="2:18" ht="15.75" x14ac:dyDescent="0.25">
      <c r="B22" s="98" t="s">
        <v>505</v>
      </c>
      <c r="C22" s="414">
        <f>+C20/(C18-C19)</f>
        <v>2375.8193456423346</v>
      </c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</row>
    <row r="23" spans="2:18" ht="15.75" x14ac:dyDescent="0.25">
      <c r="B23" s="98" t="s">
        <v>506</v>
      </c>
      <c r="C23" s="415">
        <f>+C22*C18</f>
        <v>213823741.10781011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</row>
    <row r="24" spans="2:18" ht="15.75" x14ac:dyDescent="0.2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2:18" ht="15.75" x14ac:dyDescent="0.2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2:18" ht="15.75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2:18" ht="15.75" x14ac:dyDescent="0.25">
      <c r="B27" s="416" t="s">
        <v>296</v>
      </c>
      <c r="C27" s="417">
        <f>' Momento Dos'!B238</f>
        <v>90000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</row>
    <row r="28" spans="2:18" ht="15.75" x14ac:dyDescent="0.25">
      <c r="B28" s="416" t="s">
        <v>297</v>
      </c>
      <c r="C28" s="417">
        <f>' Momento Dos'!B239</f>
        <v>38400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2:18" ht="15.75" x14ac:dyDescent="0.25">
      <c r="B29" s="416" t="s">
        <v>298</v>
      </c>
      <c r="C29" s="417">
        <f>' Momento Dos'!B240</f>
        <v>127375134.53</v>
      </c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</row>
    <row r="30" spans="2:18" ht="15.75" x14ac:dyDescent="0.25">
      <c r="B30" s="416" t="s">
        <v>300</v>
      </c>
      <c r="C30" s="417">
        <f>' Momento Dos'!B241</f>
        <v>1397255434.71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</row>
    <row r="31" spans="2:18" ht="15.75" x14ac:dyDescent="0.25">
      <c r="B31" s="416" t="s">
        <v>299</v>
      </c>
      <c r="C31" s="417">
        <f>' Momento Dos'!B242</f>
        <v>36386.86027890625</v>
      </c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</row>
    <row r="32" spans="2:18" ht="15.75" x14ac:dyDescent="0.25">
      <c r="B32" s="416" t="s">
        <v>301</v>
      </c>
      <c r="C32" s="417">
        <f>' Momento Dos'!B243</f>
        <v>2375.8193456423346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</row>
    <row r="33" spans="1:18" ht="15.75" x14ac:dyDescent="0.2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ht="15.75" x14ac:dyDescent="0.25">
      <c r="A34" s="21" t="s">
        <v>507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</row>
    <row r="35" spans="1:18" ht="15.75" x14ac:dyDescent="0.2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1:18" ht="15.75" x14ac:dyDescent="0.25">
      <c r="A36" s="20" t="s">
        <v>485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1:18" ht="15.75" x14ac:dyDescent="0.25">
      <c r="A37" s="20" t="s">
        <v>484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ht="15.75" x14ac:dyDescent="0.25">
      <c r="A38" s="20" t="s">
        <v>483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</row>
    <row r="39" spans="1:18" ht="15.75" x14ac:dyDescent="0.2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</row>
    <row r="40" spans="1:18" ht="15.75" x14ac:dyDescent="0.2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1:18" ht="15.75" x14ac:dyDescent="0.2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1:18" ht="15.75" x14ac:dyDescent="0.2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</row>
    <row r="43" spans="1:18" ht="15.75" x14ac:dyDescent="0.2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ht="15.75" x14ac:dyDescent="0.2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</row>
    <row r="45" spans="1:18" ht="15.75" x14ac:dyDescent="0.2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ht="15.75" x14ac:dyDescent="0.2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</row>
    <row r="47" spans="1:18" ht="15.75" x14ac:dyDescent="0.2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</row>
    <row r="48" spans="1:18" ht="15.75" x14ac:dyDescent="0.2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</row>
    <row r="49" spans="2:18" ht="15.75" x14ac:dyDescent="0.2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</row>
    <row r="50" spans="2:18" ht="15.75" x14ac:dyDescent="0.2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</row>
    <row r="51" spans="2:18" ht="15.75" x14ac:dyDescent="0.2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</row>
    <row r="52" spans="2:18" ht="15.75" x14ac:dyDescent="0.2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</row>
    <row r="53" spans="2:18" ht="15.75" x14ac:dyDescent="0.2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</row>
  </sheetData>
  <mergeCells count="1">
    <mergeCell ref="B5:F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6" workbookViewId="0">
      <selection activeCell="F52" sqref="F52"/>
    </sheetView>
  </sheetViews>
  <sheetFormatPr baseColWidth="10" defaultRowHeight="15" x14ac:dyDescent="0.25"/>
  <cols>
    <col min="1" max="1" width="31" style="20" bestFit="1" customWidth="1"/>
    <col min="2" max="2" width="15.85546875" style="20" customWidth="1"/>
    <col min="3" max="3" width="17.5703125" style="20" customWidth="1"/>
    <col min="4" max="4" width="17.7109375" style="20" customWidth="1"/>
    <col min="5" max="16384" width="11.42578125" style="20"/>
  </cols>
  <sheetData>
    <row r="1" spans="1:4" x14ac:dyDescent="0.25">
      <c r="A1" s="23" t="s">
        <v>440</v>
      </c>
      <c r="B1" s="23"/>
      <c r="C1" s="23"/>
      <c r="D1" s="23"/>
    </row>
    <row r="2" spans="1:4" x14ac:dyDescent="0.25">
      <c r="A2" s="24" t="s">
        <v>441</v>
      </c>
      <c r="B2" s="24"/>
      <c r="C2" s="24"/>
      <c r="D2" s="24"/>
    </row>
    <row r="4" spans="1:4" x14ac:dyDescent="0.25">
      <c r="A4" s="21" t="s">
        <v>60</v>
      </c>
    </row>
    <row r="5" spans="1:4" x14ac:dyDescent="0.25">
      <c r="A5" s="21" t="s">
        <v>420</v>
      </c>
    </row>
    <row r="6" spans="1:4" x14ac:dyDescent="0.25">
      <c r="A6" s="20" t="s">
        <v>48</v>
      </c>
      <c r="B6" s="22">
        <f>' Momento Dos'!B363</f>
        <v>126782047.35333335</v>
      </c>
    </row>
    <row r="7" spans="1:4" x14ac:dyDescent="0.25">
      <c r="A7" s="20" t="s">
        <v>421</v>
      </c>
      <c r="B7" s="20">
        <v>0</v>
      </c>
    </row>
    <row r="8" spans="1:4" x14ac:dyDescent="0.25">
      <c r="A8" s="20" t="s">
        <v>422</v>
      </c>
      <c r="B8" s="10">
        <v>0</v>
      </c>
    </row>
    <row r="9" spans="1:4" x14ac:dyDescent="0.25">
      <c r="A9" s="21" t="s">
        <v>423</v>
      </c>
      <c r="C9" s="6">
        <f>SUM(B6:B7)</f>
        <v>126782047.35333335</v>
      </c>
    </row>
    <row r="12" spans="1:4" x14ac:dyDescent="0.25">
      <c r="A12" s="21" t="s">
        <v>424</v>
      </c>
    </row>
    <row r="13" spans="1:4" x14ac:dyDescent="0.25">
      <c r="A13" s="20" t="s">
        <v>425</v>
      </c>
      <c r="B13" s="1">
        <f>' Momento Dos'!D58</f>
        <v>2780000</v>
      </c>
    </row>
    <row r="14" spans="1:4" x14ac:dyDescent="0.25">
      <c r="A14" s="20" t="s">
        <v>426</v>
      </c>
      <c r="B14" s="20">
        <v>0</v>
      </c>
    </row>
    <row r="15" spans="1:4" x14ac:dyDescent="0.25">
      <c r="A15" s="20" t="s">
        <v>134</v>
      </c>
      <c r="B15" s="1">
        <f>' Momento Dos'!D36</f>
        <v>4340000</v>
      </c>
    </row>
    <row r="16" spans="1:4" x14ac:dyDescent="0.25">
      <c r="A16" s="20" t="s">
        <v>427</v>
      </c>
      <c r="B16" s="10">
        <v>0</v>
      </c>
    </row>
    <row r="17" spans="1:4" x14ac:dyDescent="0.25">
      <c r="A17" s="21" t="s">
        <v>428</v>
      </c>
      <c r="C17" s="4">
        <f>SUM(B13:B16)</f>
        <v>7120000</v>
      </c>
    </row>
    <row r="20" spans="1:4" x14ac:dyDescent="0.25">
      <c r="A20" s="21" t="s">
        <v>138</v>
      </c>
    </row>
    <row r="21" spans="1:4" x14ac:dyDescent="0.25">
      <c r="A21" s="20" t="s">
        <v>429</v>
      </c>
      <c r="B21" s="1">
        <f>' Momento Dos'!D24</f>
        <v>930000</v>
      </c>
    </row>
    <row r="22" spans="1:4" x14ac:dyDescent="0.25">
      <c r="A22" s="20" t="s">
        <v>430</v>
      </c>
      <c r="B22" s="11">
        <f>' Momento Dos'!D72</f>
        <v>9750000</v>
      </c>
    </row>
    <row r="23" spans="1:4" x14ac:dyDescent="0.25">
      <c r="A23" s="21" t="s">
        <v>431</v>
      </c>
      <c r="C23" s="11">
        <f>SUM(B21:B22)</f>
        <v>10680000</v>
      </c>
    </row>
    <row r="25" spans="1:4" ht="15.75" thickBot="1" x14ac:dyDescent="0.3">
      <c r="A25" s="21" t="s">
        <v>437</v>
      </c>
      <c r="D25" s="15">
        <f>SUM(C9:C23)</f>
        <v>144582047.35333335</v>
      </c>
    </row>
    <row r="26" spans="1:4" ht="15.75" thickTop="1" x14ac:dyDescent="0.25"/>
    <row r="27" spans="1:4" x14ac:dyDescent="0.25">
      <c r="A27" s="21" t="s">
        <v>432</v>
      </c>
    </row>
    <row r="28" spans="1:4" x14ac:dyDescent="0.25">
      <c r="A28" s="20" t="s">
        <v>433</v>
      </c>
    </row>
    <row r="29" spans="1:4" x14ac:dyDescent="0.25">
      <c r="A29" s="20" t="s">
        <v>434</v>
      </c>
      <c r="B29" s="13">
        <f>' Momento Dos'!C552</f>
        <v>86749228.412000015</v>
      </c>
    </row>
    <row r="30" spans="1:4" x14ac:dyDescent="0.25">
      <c r="A30" s="21" t="s">
        <v>435</v>
      </c>
      <c r="C30" s="12">
        <f>SUM(B29)</f>
        <v>86749228.412000015</v>
      </c>
    </row>
    <row r="33" spans="1:4" x14ac:dyDescent="0.25">
      <c r="A33" s="21" t="s">
        <v>436</v>
      </c>
    </row>
    <row r="34" spans="1:4" x14ac:dyDescent="0.25">
      <c r="A34" s="20" t="s">
        <v>413</v>
      </c>
      <c r="B34" s="11">
        <f>-' Momento Dos'!B658</f>
        <v>57832818.941333339</v>
      </c>
    </row>
    <row r="35" spans="1:4" x14ac:dyDescent="0.25">
      <c r="A35" s="21" t="s">
        <v>438</v>
      </c>
      <c r="C35" s="11">
        <f>SUM(B34)</f>
        <v>57832818.941333339</v>
      </c>
    </row>
    <row r="37" spans="1:4" ht="15.75" thickBot="1" x14ac:dyDescent="0.3">
      <c r="A37" s="21" t="s">
        <v>439</v>
      </c>
      <c r="D37" s="16">
        <f>SUM(C30:C35)</f>
        <v>144582047.35333335</v>
      </c>
    </row>
    <row r="38" spans="1:4" ht="15.75" thickTop="1" x14ac:dyDescent="0.25"/>
    <row r="41" spans="1:4" x14ac:dyDescent="0.25">
      <c r="A41" s="24" t="s">
        <v>442</v>
      </c>
      <c r="B41" s="24"/>
      <c r="C41" s="24"/>
      <c r="D41" s="24"/>
    </row>
    <row r="42" spans="1:4" x14ac:dyDescent="0.25">
      <c r="A42" s="24" t="s">
        <v>443</v>
      </c>
      <c r="B42" s="24"/>
      <c r="C42" s="24"/>
      <c r="D42" s="24"/>
    </row>
    <row r="45" spans="1:4" x14ac:dyDescent="0.25">
      <c r="A45" s="20" t="s">
        <v>288</v>
      </c>
      <c r="D45" s="6">
        <f>' Momento Dos'!B466</f>
        <v>3456000000</v>
      </c>
    </row>
    <row r="46" spans="1:4" x14ac:dyDescent="0.25">
      <c r="A46" s="20" t="s">
        <v>444</v>
      </c>
      <c r="D46" s="9">
        <f>' Momento Dos'!B348</f>
        <v>1397987435.71</v>
      </c>
    </row>
    <row r="47" spans="1:4" x14ac:dyDescent="0.25">
      <c r="A47" s="20" t="s">
        <v>445</v>
      </c>
      <c r="D47" s="14">
        <f>D45-D46</f>
        <v>2058012564.29</v>
      </c>
    </row>
    <row r="48" spans="1:4" x14ac:dyDescent="0.25">
      <c r="A48" s="20" t="s">
        <v>159</v>
      </c>
      <c r="B48" s="6">
        <f>' Momento Dos'!B349</f>
        <v>87293133.530000001</v>
      </c>
    </row>
    <row r="49" spans="1:4" x14ac:dyDescent="0.25">
      <c r="A49" s="20" t="s">
        <v>83</v>
      </c>
      <c r="B49" s="6">
        <f>' Momento Dos'!B350</f>
        <v>39350000</v>
      </c>
    </row>
    <row r="50" spans="1:4" x14ac:dyDescent="0.25">
      <c r="A50" s="21" t="s">
        <v>446</v>
      </c>
      <c r="D50" s="17">
        <f>SUM(B48:B49)</f>
        <v>126643133.53</v>
      </c>
    </row>
    <row r="51" spans="1:4" x14ac:dyDescent="0.25">
      <c r="A51" s="21" t="s">
        <v>447</v>
      </c>
      <c r="D51" s="14">
        <f>D47-D50</f>
        <v>1931369430.76</v>
      </c>
    </row>
    <row r="52" spans="1:4" x14ac:dyDescent="0.25">
      <c r="A52" s="20" t="s">
        <v>448</v>
      </c>
      <c r="D52" s="18">
        <f>' Momento Dos'!B584</f>
        <v>19452363.383696012</v>
      </c>
    </row>
    <row r="53" spans="1:4" x14ac:dyDescent="0.25">
      <c r="A53" s="21" t="s">
        <v>449</v>
      </c>
      <c r="D53" s="14">
        <f>D51-D52</f>
        <v>1911917067.3763039</v>
      </c>
    </row>
    <row r="54" spans="1:4" x14ac:dyDescent="0.25">
      <c r="A54" s="21" t="s">
        <v>450</v>
      </c>
      <c r="D54" s="11">
        <f>' Momento Dos'!B671</f>
        <v>630932632.23418033</v>
      </c>
    </row>
    <row r="55" spans="1:4" ht="15.75" thickBot="1" x14ac:dyDescent="0.3">
      <c r="A55" s="21" t="s">
        <v>451</v>
      </c>
      <c r="D55" s="19">
        <f>D53-D54</f>
        <v>1280984435.1421237</v>
      </c>
    </row>
    <row r="56" spans="1:4" ht="15.75" thickTop="1" x14ac:dyDescent="0.25"/>
  </sheetData>
  <mergeCells count="4">
    <mergeCell ref="A1:D1"/>
    <mergeCell ref="A2:D2"/>
    <mergeCell ref="A41:D41"/>
    <mergeCell ref="A42:D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 Momento Dos</vt:lpstr>
      <vt:lpstr>punto de equilibrio</vt:lpstr>
      <vt:lpstr>Estados Financieros</vt:lpstr>
    </vt:vector>
  </TitlesOfParts>
  <Company>WindowsWolf.com.ar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Microsoft</cp:lastModifiedBy>
  <dcterms:created xsi:type="dcterms:W3CDTF">2013-03-13T16:34:21Z</dcterms:created>
  <dcterms:modified xsi:type="dcterms:W3CDTF">2020-12-16T03:46:47Z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791933e7-71ed-4ff2-95b3-c1f8406f1755</vt:lpwstr>
  </property>
</Properties>
</file>