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040" yWindow="1995" windowWidth="21885" windowHeight="12495" tabRatio="500" activeTab="1"/>
  </bookViews>
  <sheets>
    <sheet name="Preliminary results" sheetId="1" r:id="rId1"/>
    <sheet name="Sheet1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"/>
  <c r="D24"/>
  <c r="J29" i="2"/>
  <c r="I29"/>
  <c r="C12" i="3"/>
  <c r="C16" s="1"/>
  <c r="G23"/>
  <c r="F39" i="2"/>
  <c r="F40" s="1"/>
  <c r="F38"/>
  <c r="F37"/>
  <c r="F36"/>
  <c r="F32"/>
  <c r="F31"/>
  <c r="F30"/>
  <c r="F29"/>
  <c r="F33" s="1"/>
  <c r="L29" l="1"/>
  <c r="R37"/>
  <c r="R32"/>
  <c r="R31"/>
  <c r="R29"/>
  <c r="H76"/>
  <c r="J76" s="1"/>
  <c r="L72"/>
  <c r="M72" s="1"/>
  <c r="I63"/>
  <c r="J63" s="1"/>
  <c r="I62"/>
  <c r="L62"/>
  <c r="F62"/>
  <c r="J62"/>
  <c r="I61"/>
  <c r="L61" s="1"/>
  <c r="F61"/>
  <c r="X56"/>
  <c r="V56" s="1"/>
  <c r="I56"/>
  <c r="L56"/>
  <c r="F56"/>
  <c r="J56" s="1"/>
  <c r="X55"/>
  <c r="I55"/>
  <c r="L55" s="1"/>
  <c r="F55"/>
  <c r="J55"/>
  <c r="X54"/>
  <c r="V54" s="1"/>
  <c r="I54"/>
  <c r="J54" s="1"/>
  <c r="F54"/>
  <c r="X53"/>
  <c r="I53"/>
  <c r="V53" s="1"/>
  <c r="F53"/>
  <c r="F44"/>
  <c r="I44"/>
  <c r="R44" s="1"/>
  <c r="L44"/>
  <c r="J44"/>
  <c r="R43"/>
  <c r="I43"/>
  <c r="J43" s="1"/>
  <c r="F43"/>
  <c r="R15"/>
  <c r="R19"/>
  <c r="I42"/>
  <c r="R42" s="1"/>
  <c r="L42"/>
  <c r="F42"/>
  <c r="I39"/>
  <c r="J39" s="1"/>
  <c r="I38"/>
  <c r="R38" s="1"/>
  <c r="I37"/>
  <c r="L37" s="1"/>
  <c r="J37"/>
  <c r="I36"/>
  <c r="R36" s="1"/>
  <c r="I32"/>
  <c r="J32" s="1"/>
  <c r="L32"/>
  <c r="I31"/>
  <c r="J31" s="1"/>
  <c r="L31"/>
  <c r="I30"/>
  <c r="J30" s="1"/>
  <c r="I24"/>
  <c r="J24" s="1"/>
  <c r="L24"/>
  <c r="F24"/>
  <c r="I23"/>
  <c r="J23" s="1"/>
  <c r="F23"/>
  <c r="I22"/>
  <c r="J22" s="1"/>
  <c r="L22"/>
  <c r="F22"/>
  <c r="L20"/>
  <c r="I20"/>
  <c r="R20" s="1"/>
  <c r="F20"/>
  <c r="I19"/>
  <c r="J19" s="1"/>
  <c r="F19"/>
  <c r="F18"/>
  <c r="I18"/>
  <c r="J18" s="1"/>
  <c r="I17"/>
  <c r="J17" s="1"/>
  <c r="F17"/>
  <c r="I16"/>
  <c r="J16" s="1"/>
  <c r="F15"/>
  <c r="I15"/>
  <c r="J15" s="1"/>
  <c r="I14"/>
  <c r="L14"/>
  <c r="J14"/>
  <c r="F14"/>
  <c r="I13"/>
  <c r="J13" s="1"/>
  <c r="F13"/>
  <c r="G70" i="1"/>
  <c r="T9"/>
  <c r="T8"/>
  <c r="T7"/>
  <c r="T6"/>
  <c r="T5"/>
  <c r="T4"/>
  <c r="T3"/>
  <c r="R3"/>
  <c r="R4"/>
  <c r="R5"/>
  <c r="R6"/>
  <c r="R7"/>
  <c r="R8"/>
  <c r="R9"/>
  <c r="I3"/>
  <c r="I4"/>
  <c r="I5"/>
  <c r="I6"/>
  <c r="I7"/>
  <c r="I8"/>
  <c r="I9"/>
  <c r="I10" i="2"/>
  <c r="L10" s="1"/>
  <c r="F10"/>
  <c r="J10"/>
  <c r="I9"/>
  <c r="J9" s="1"/>
  <c r="F9"/>
  <c r="L6"/>
  <c r="L7"/>
  <c r="L8"/>
  <c r="I8"/>
  <c r="J8" s="1"/>
  <c r="F8"/>
  <c r="I7"/>
  <c r="J7" s="1"/>
  <c r="F7"/>
  <c r="I6"/>
  <c r="J6" s="1"/>
  <c r="F6"/>
  <c r="I5"/>
  <c r="L5" s="1"/>
  <c r="F5"/>
  <c r="J3"/>
  <c r="F4"/>
  <c r="F3"/>
  <c r="I4"/>
  <c r="J4" s="1"/>
  <c r="G3" i="1"/>
  <c r="E9"/>
  <c r="G9"/>
  <c r="H9"/>
  <c r="D58"/>
  <c r="D53"/>
  <c r="D59"/>
  <c r="D60"/>
  <c r="I3" i="2"/>
  <c r="L3" s="1"/>
  <c r="D43" i="1"/>
  <c r="D42"/>
  <c r="D54"/>
  <c r="D45"/>
  <c r="D48"/>
  <c r="J3"/>
  <c r="M3"/>
  <c r="N3"/>
  <c r="M4"/>
  <c r="N4"/>
  <c r="S9"/>
  <c r="R12"/>
  <c r="F20"/>
  <c r="F21"/>
  <c r="F22"/>
  <c r="U9"/>
  <c r="E8"/>
  <c r="G8"/>
  <c r="H8"/>
  <c r="C22"/>
  <c r="D22"/>
  <c r="E22"/>
  <c r="G22"/>
  <c r="J22"/>
  <c r="D21"/>
  <c r="E21"/>
  <c r="G21"/>
  <c r="J21"/>
  <c r="D20"/>
  <c r="G20"/>
  <c r="J20"/>
  <c r="D19"/>
  <c r="G19"/>
  <c r="J19"/>
  <c r="H22"/>
  <c r="H21"/>
  <c r="H20"/>
  <c r="H19"/>
  <c r="U8"/>
  <c r="E7"/>
  <c r="G7"/>
  <c r="H7"/>
  <c r="U7"/>
  <c r="E6"/>
  <c r="G6"/>
  <c r="H6"/>
  <c r="U6"/>
  <c r="E5"/>
  <c r="G5"/>
  <c r="H5"/>
  <c r="U5"/>
  <c r="E4"/>
  <c r="G4"/>
  <c r="H4"/>
  <c r="U4"/>
  <c r="H3"/>
  <c r="U3"/>
  <c r="S8"/>
  <c r="S7"/>
  <c r="S6"/>
  <c r="S5"/>
  <c r="S4"/>
  <c r="S3"/>
  <c r="F3"/>
  <c r="F4"/>
  <c r="F5"/>
  <c r="F6"/>
  <c r="F7"/>
  <c r="F8"/>
  <c r="F9"/>
  <c r="E3"/>
  <c r="P8"/>
  <c r="L8"/>
  <c r="Q8"/>
  <c r="P7"/>
  <c r="L7"/>
  <c r="Q7"/>
  <c r="P6"/>
  <c r="Q6"/>
  <c r="P5"/>
  <c r="Q5"/>
  <c r="P4"/>
  <c r="Q4"/>
  <c r="P3"/>
  <c r="Q3"/>
  <c r="M8"/>
  <c r="N8"/>
  <c r="M7"/>
  <c r="N7"/>
  <c r="M6"/>
  <c r="N6"/>
  <c r="M5"/>
  <c r="N5"/>
  <c r="L23" i="2" l="1"/>
  <c r="R18"/>
  <c r="L9"/>
  <c r="J20"/>
  <c r="L36"/>
  <c r="J36"/>
  <c r="L63"/>
  <c r="J5"/>
  <c r="L13"/>
  <c r="L38"/>
  <c r="L43"/>
  <c r="J53"/>
  <c r="L54"/>
  <c r="V55"/>
  <c r="J61"/>
  <c r="R30"/>
  <c r="L16"/>
  <c r="L39"/>
  <c r="L18"/>
  <c r="L15"/>
  <c r="L17"/>
  <c r="L19"/>
  <c r="J38"/>
  <c r="L30"/>
  <c r="L33" s="1"/>
  <c r="L4"/>
  <c r="R39"/>
  <c r="L53"/>
  <c r="J42"/>
  <c r="L40" l="1"/>
</calcChain>
</file>

<file path=xl/sharedStrings.xml><?xml version="1.0" encoding="utf-8"?>
<sst xmlns="http://schemas.openxmlformats.org/spreadsheetml/2006/main" count="217" uniqueCount="190">
  <si>
    <t>PLL</t>
  </si>
  <si>
    <t>CS</t>
  </si>
  <si>
    <t>FF</t>
  </si>
  <si>
    <t>PLL-OCL</t>
  </si>
  <si>
    <t>FF-Praha</t>
  </si>
  <si>
    <t>Beam Energy</t>
  </si>
  <si>
    <t>/pll</t>
  </si>
  <si>
    <t>PLL-Tullio Grassi</t>
  </si>
  <si>
    <t>/bit</t>
  </si>
  <si>
    <t>uSRAM-OCL</t>
  </si>
  <si>
    <t>lSRAM-OCL</t>
  </si>
  <si>
    <t>Flux Max</t>
  </si>
  <si>
    <t>Flux min</t>
  </si>
  <si>
    <t>MTBF [s]</t>
  </si>
  <si>
    <t>Rate Max [SEU/s/bit or PLL]</t>
  </si>
  <si>
    <t>No Bits/FF/PLL</t>
  </si>
  <si>
    <t>LET [MeV cm2/g)</t>
  </si>
  <si>
    <t>TSL</t>
  </si>
  <si>
    <t>Ratio</t>
  </si>
  <si>
    <t>MeV/mm</t>
  </si>
  <si>
    <t>Ca Dose/p [Gy]</t>
  </si>
  <si>
    <t>Ca Dose/p [rad]</t>
  </si>
  <si>
    <t>Max dose [krad/min]</t>
  </si>
  <si>
    <t>Min dose [krad/min]</t>
  </si>
  <si>
    <t>#SEU</t>
  </si>
  <si>
    <t>uSRAM</t>
  </si>
  <si>
    <t>lSRAM</t>
  </si>
  <si>
    <t>CS/bit or PLL</t>
  </si>
  <si>
    <t>Bit</t>
  </si>
  <si>
    <t>Flux</t>
  </si>
  <si>
    <t>Time [s]</t>
  </si>
  <si>
    <t>Time [h]</t>
  </si>
  <si>
    <t>Dose kRad</t>
  </si>
  <si>
    <t>Max dose in 24 hrs</t>
  </si>
  <si>
    <t>22 MeV</t>
  </si>
  <si>
    <t>37 MeV</t>
  </si>
  <si>
    <t>230 MeV</t>
  </si>
  <si>
    <t>Assuming some increase in CS due to energy will also decrease the total dose.</t>
  </si>
  <si>
    <t>FF Design</t>
  </si>
  <si>
    <t>inv/Freq</t>
  </si>
  <si>
    <t>Max dose rate [krad/h]</t>
  </si>
  <si>
    <t>Min dose rate [krad/h]</t>
  </si>
  <si>
    <t>Calibration</t>
  </si>
  <si>
    <t>sec</t>
  </si>
  <si>
    <t>Dose</t>
  </si>
  <si>
    <t>Dose [rad]</t>
  </si>
  <si>
    <t>hours</t>
  </si>
  <si>
    <t>Run status</t>
  </si>
  <si>
    <t>fluence</t>
  </si>
  <si>
    <t>cnt 10</t>
  </si>
  <si>
    <t>Target error</t>
  </si>
  <si>
    <t>Time to target</t>
  </si>
  <si>
    <t>s</t>
  </si>
  <si>
    <t>hr</t>
  </si>
  <si>
    <t>Date</t>
  </si>
  <si>
    <t>start</t>
  </si>
  <si>
    <t>stop</t>
  </si>
  <si>
    <t>cnt10</t>
  </si>
  <si>
    <t>Comment</t>
  </si>
  <si>
    <t>Beam not on for the first 220 sec</t>
  </si>
  <si>
    <t>Fluence</t>
  </si>
  <si>
    <t>Dose rad/p</t>
  </si>
  <si>
    <t>Dose krad</t>
  </si>
  <si>
    <t>Target dose</t>
  </si>
  <si>
    <t>Dose/s</t>
  </si>
  <si>
    <t>rad</t>
  </si>
  <si>
    <t>Beam Hz</t>
  </si>
  <si>
    <t>Increase beam by x50</t>
  </si>
  <si>
    <t>cnt12 (100Hz)</t>
  </si>
  <si>
    <t>Total</t>
  </si>
  <si>
    <t>03:46 link down</t>
  </si>
  <si>
    <t>log file</t>
  </si>
  <si>
    <t>20140507-0245-rcu2-serdes-r1.txt</t>
  </si>
  <si>
    <t>20140507-0325-rcu2-serdes-r2.txt</t>
  </si>
  <si>
    <t>20140507-0344-rcu2-serdes-r3.txt</t>
  </si>
  <si>
    <t>Beam after roughly 10 seconds after pressing bean enable</t>
  </si>
  <si>
    <t>20140507-0400-rcu2-serdes-r4.txt</t>
  </si>
  <si>
    <t>0407 bit error,0412 bit error,0414 link down stop run</t>
  </si>
  <si>
    <t>20140507-0420-rcu2-serdes-r5.txt</t>
  </si>
  <si>
    <t>Beam on after 15 s, turned of to increase resolution of Voltage</t>
  </si>
  <si>
    <t>20140507-0426-rcu2-serdes-r6.txt</t>
  </si>
  <si>
    <t>Beam on after 9 sec,turned off to increase threshold again</t>
  </si>
  <si>
    <t>sum</t>
  </si>
  <si>
    <t>4:38 bit error,4:45 high jump and reset of counter, lost connection to computer, stopped beam</t>
  </si>
  <si>
    <t>20140507-0438-rcu2-serdes-r7.txt</t>
  </si>
  <si>
    <t>Beam on after 16 s, after this run the 1V2 is at 1.5mV after repower of rcu2 but down again to 1.45mV after some seconds</t>
  </si>
  <si>
    <t>Moved beam to optical link, beam on after 8 s</t>
  </si>
  <si>
    <t>05:12 bit error with loss of link afterwards, repowered and link is up. 05:!2 link down repowerd link up, 05:15 bit error, 05:16 link down and up again automatically followed ,by bit error and a reset of counter, 05:19 link down -&gt; repower -&gt; reset counter, 05:22 link down-&gt; repower-&gt;link up,05:20 no errors for a long while -&gt; repower board, 05:43 bit error noticed, 05:56 stopped beam (noticed that pc in hall runs on battery</t>
  </si>
  <si>
    <t>20140507-0510-rcu2-optical-r8.txt</t>
  </si>
  <si>
    <t>cycles</t>
  </si>
  <si>
    <t>length</t>
  </si>
  <si>
    <t>frequency</t>
  </si>
  <si>
    <t>period</t>
  </si>
  <si>
    <t>Time readout</t>
  </si>
  <si>
    <t>J</t>
  </si>
  <si>
    <t>eV</t>
  </si>
  <si>
    <t>Conv</t>
  </si>
  <si>
    <t>LET</t>
  </si>
  <si>
    <t>fluka</t>
  </si>
  <si>
    <t>calc</t>
  </si>
  <si>
    <t>Dose /p rad</t>
  </si>
  <si>
    <t>dE/dx * flux</t>
  </si>
  <si>
    <t>=</t>
  </si>
  <si>
    <t>(MeVcm2/mg)*cm2</t>
  </si>
  <si>
    <t>Dose(krad)</t>
  </si>
  <si>
    <t>1,6e-19*1e6*100/(1e-6*1000)</t>
  </si>
  <si>
    <t>*LET</t>
  </si>
  <si>
    <t>Beam on after 15s, we stopped the beam as the gui did no longer read values</t>
  </si>
  <si>
    <t>First run with trigger, beam on after 10 s, beam stopped due to problems on line</t>
  </si>
  <si>
    <t>Repowerd after &gt;220s as no contact with, repowered everytime we lost connection. Keep one continous log file. 10:40 stopped run when shifting to beam therapy</t>
  </si>
  <si>
    <t>20140508-0952-rcu2-trigger-r1.txt</t>
  </si>
  <si>
    <t>20140508-0956-rcu2-trigger-r2.txt</t>
  </si>
  <si>
    <t>20140508-1009-rcu2-trigger-r3.txt</t>
  </si>
  <si>
    <t>RCU2 comment</t>
  </si>
  <si>
    <t>Some fluence received in the process of switching to therapy. Problem with the beam controlling program.</t>
  </si>
  <si>
    <t>1s trigger rate</t>
  </si>
  <si>
    <t xml:space="preserve">Repowered in the beginning(probably forgot from end of previous run, 10:38 switch to teraphy keep running, </t>
  </si>
  <si>
    <t>1s trigger rate, 11:50 high increase in pll counting-&gt;repowerd to fix this problem,</t>
  </si>
  <si>
    <t>We reset the beam counters during proton therapy so added a new line (same log files),12:20 stopped to increase trigger rate</t>
  </si>
  <si>
    <t>20140508-1134-rcu2-trigger-r4.txt</t>
  </si>
  <si>
    <t>1ms trigger rate,12:25 possible bananas tigger counters -&gt; repower</t>
  </si>
  <si>
    <t>20140508-1221-rcu2-trigger-r5.txt</t>
  </si>
  <si>
    <t xml:space="preserve">0.1ms trigger </t>
  </si>
  <si>
    <t>stopped run at 12:59 to change trigger rate (also take lunch as proton therapy starts)</t>
  </si>
  <si>
    <t>20140508-1345-rcu2-trigger-r6.txt</t>
  </si>
  <si>
    <t>beam start after 30 s, stopped beam to reposition to optical link</t>
  </si>
  <si>
    <t>Probably run for ~5min with beam but without logging due to software problem when switching to therapy. Estimated additional dose ~0,5kRads</t>
  </si>
  <si>
    <t>Beam available after ~50 s in current log file., 14:47 shift beam to p therapy,15:05 beam back in blue hall ,</t>
  </si>
  <si>
    <t>20140508-1445-rcu2-ttc-r1.txt</t>
  </si>
  <si>
    <t>1ms trigger rate, new trigger rate to see if hamming errors increase.</t>
  </si>
  <si>
    <t>200hz tigger rate</t>
  </si>
  <si>
    <t>20140508-1515-rcu2-ttc-r2.txt</t>
  </si>
  <si>
    <t>15:50 repowered due to decrease updating frequency in the software gui-&gt; back to normal frequency after repowering.</t>
  </si>
  <si>
    <t>20140508-1533-rcu2-ttc-r3.txt</t>
  </si>
  <si>
    <t>beam on after 17 s,stopped to fix resetting of counters.</t>
  </si>
  <si>
    <t>19:29 reset after lots of errors in sram,19:32 current decrease-&gt;labview no function-&gt; repower,19:54 stopped to increase beam intensity (also added delay after repowering to see if this helps for the resetting of the plls)</t>
  </si>
  <si>
    <t>20:17 stopped to increase frequency</t>
  </si>
  <si>
    <t>20:38 stopped beam due to problems with current</t>
  </si>
  <si>
    <t>Starterkit 1</t>
  </si>
  <si>
    <t>Starterkit 2</t>
  </si>
  <si>
    <t>L2500 inv0 f160</t>
  </si>
  <si>
    <t>Change resistors to 0x025</t>
  </si>
  <si>
    <t>Beam stopped due to problemes with current -&gt; needed to go into the hall and repower.</t>
  </si>
  <si>
    <t>l2500 inv4 f80</t>
  </si>
  <si>
    <t>l2500 inv4 f40</t>
  </si>
  <si>
    <t>Stopped again due to problems with resetting power -&gt; acces to see if reg enable is proberly connected., forgot to solder pin</t>
  </si>
  <si>
    <t>Stopped beam due to problems with current, access to repower</t>
  </si>
  <si>
    <t>23:25 Changed to 80MHz after 943 s 23:37 changed to 40Mhz after 1671s,23:48 stopped beam for the night</t>
  </si>
  <si>
    <t>run different frequencies</t>
  </si>
  <si>
    <t>Beam on after 25 s in log file, stopped beam for proton therapy</t>
  </si>
  <si>
    <t>1khz, triggers are not working</t>
  </si>
  <si>
    <t>SEL</t>
  </si>
  <si>
    <t>11:02 current decreased to 1.7mV do not know why, 11:18 repowering seems to bring the current down to 2.9mV only and not 2mV. 11:22 problems repowering could be software catching of character,</t>
  </si>
  <si>
    <t>ESA</t>
  </si>
  <si>
    <t>Bits</t>
  </si>
  <si>
    <t>DIE0</t>
  </si>
  <si>
    <t>Die1</t>
  </si>
  <si>
    <t>Die2</t>
  </si>
  <si>
    <t>Die3</t>
  </si>
  <si>
    <t>20140409-tsl-r1.csv</t>
  </si>
  <si>
    <t>20140409-tsl-r2.csv</t>
  </si>
  <si>
    <t>20140409-tsl-r3.csv</t>
  </si>
  <si>
    <t>20140409-tsl-r4.csv</t>
  </si>
  <si>
    <t>Sk ES dose test</t>
  </si>
  <si>
    <t>Reprogramming at start Ok</t>
  </si>
  <si>
    <t>15:06: switchig to therapy,programming OK</t>
  </si>
  <si>
    <t>One failed programming, two failed programming, DONE!</t>
  </si>
  <si>
    <t xml:space="preserve"> </t>
  </si>
  <si>
    <t>20140-1912-sk-r1.txt</t>
  </si>
  <si>
    <t>20140-1924-sk-r2.txt</t>
  </si>
  <si>
    <t>20140-1956-sk-r3.txt</t>
  </si>
  <si>
    <t>20140-2020-sk-r4.txt</t>
  </si>
  <si>
    <t>20140-2215-sk2-r1.txt</t>
  </si>
  <si>
    <t>20140-2223-sk2-r2.txt</t>
  </si>
  <si>
    <t>20140-2250-sk2-r3.txt</t>
  </si>
  <si>
    <t>20140509-0950-trigger-r7.txt</t>
  </si>
  <si>
    <t>20140509-1035-trigger-r8.txt</t>
  </si>
  <si>
    <t>20140509-1100-trigger-r9.txt</t>
  </si>
  <si>
    <t>20140509-skdosetest-r1.txt</t>
  </si>
  <si>
    <t>20140-2308-sk2-r4.txt</t>
  </si>
  <si>
    <t>10 Hz</t>
  </si>
  <si>
    <t>40 Hz</t>
  </si>
  <si>
    <t>20 Hz</t>
  </si>
  <si>
    <t>RCU Trigger with lower resistor value</t>
  </si>
  <si>
    <t>(MeVcm2/g)</t>
  </si>
  <si>
    <t>1kRad</t>
  </si>
  <si>
    <t>J/g</t>
  </si>
  <si>
    <t>PLL1</t>
  </si>
  <si>
    <t>PLL2</t>
  </si>
  <si>
    <t>PLL3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</si>
</sst>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E+00"/>
  </numFmts>
  <fonts count="5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2" fontId="3" fillId="2" borderId="0" xfId="0" applyNumberFormat="1" applyFont="1" applyFill="1"/>
    <xf numFmtId="0" fontId="0" fillId="0" borderId="0" xfId="0" applyNumberFormat="1"/>
    <xf numFmtId="20" fontId="0" fillId="0" borderId="0" xfId="0" applyNumberForma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 applyFont="1"/>
    <xf numFmtId="11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  <xf numFmtId="16" fontId="0" fillId="0" borderId="0" xfId="0" applyNumberFormat="1"/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71"/>
  <sheetViews>
    <sheetView showRuler="0" topLeftCell="A28" zoomScale="85" zoomScaleNormal="85" zoomScalePageLayoutView="85" workbookViewId="0">
      <selection activeCell="H70" sqref="H70"/>
    </sheetView>
  </sheetViews>
  <sheetFormatPr defaultColWidth="11" defaultRowHeight="15.75"/>
  <cols>
    <col min="2" max="2" width="14.375" bestFit="1" customWidth="1"/>
    <col min="4" max="4" width="15.125" bestFit="1" customWidth="1"/>
    <col min="5" max="5" width="15.125" customWidth="1"/>
    <col min="7" max="7" width="13.5" bestFit="1" customWidth="1"/>
    <col min="8" max="9" width="13.5" customWidth="1"/>
    <col min="10" max="10" width="14" bestFit="1" customWidth="1"/>
    <col min="11" max="11" width="13" bestFit="1" customWidth="1"/>
    <col min="12" max="12" width="13.125" bestFit="1" customWidth="1"/>
    <col min="13" max="13" width="23.625" bestFit="1" customWidth="1"/>
    <col min="14" max="14" width="9.875" bestFit="1" customWidth="1"/>
    <col min="16" max="16" width="23.625" bestFit="1" customWidth="1"/>
    <col min="17" max="17" width="23.375" bestFit="1" customWidth="1"/>
    <col min="18" max="19" width="18.375" bestFit="1" customWidth="1"/>
    <col min="20" max="21" width="18" bestFit="1" customWidth="1"/>
  </cols>
  <sheetData>
    <row r="1" spans="2:21">
      <c r="G1" s="16" t="s">
        <v>98</v>
      </c>
      <c r="H1" s="16"/>
      <c r="I1" t="s">
        <v>99</v>
      </c>
    </row>
    <row r="2" spans="2:21">
      <c r="C2" t="s">
        <v>5</v>
      </c>
      <c r="D2" t="s">
        <v>16</v>
      </c>
      <c r="E2" t="s">
        <v>18</v>
      </c>
      <c r="F2" t="s">
        <v>19</v>
      </c>
      <c r="G2" t="s">
        <v>20</v>
      </c>
      <c r="H2" t="s">
        <v>21</v>
      </c>
      <c r="I2" t="s">
        <v>100</v>
      </c>
      <c r="J2" t="s">
        <v>1</v>
      </c>
      <c r="L2" t="s">
        <v>15</v>
      </c>
      <c r="M2" s="5" t="s">
        <v>14</v>
      </c>
      <c r="N2" t="s">
        <v>13</v>
      </c>
      <c r="P2" s="5" t="s">
        <v>14</v>
      </c>
      <c r="Q2" t="s">
        <v>13</v>
      </c>
      <c r="R2" t="s">
        <v>22</v>
      </c>
      <c r="S2" t="s">
        <v>40</v>
      </c>
      <c r="T2" t="s">
        <v>23</v>
      </c>
      <c r="U2" t="s">
        <v>41</v>
      </c>
    </row>
    <row r="3" spans="2:21">
      <c r="B3" t="s">
        <v>3</v>
      </c>
      <c r="C3">
        <v>22</v>
      </c>
      <c r="D3" s="1">
        <v>19.559999999999999</v>
      </c>
      <c r="E3" s="2">
        <f t="shared" ref="E3:E9" si="0">D3/$D$3</f>
        <v>1</v>
      </c>
      <c r="F3" s="2">
        <f t="shared" ref="F3:F9" si="1">D3*2.33/10</f>
        <v>4.55748</v>
      </c>
      <c r="G3" s="1">
        <f>0.000000000294</f>
        <v>2.9400000000000002E-10</v>
      </c>
      <c r="H3" s="1">
        <f t="shared" ref="H3:H9" si="2">G3*100</f>
        <v>2.9400000000000002E-8</v>
      </c>
      <c r="I3" s="1">
        <f t="shared" ref="I3:I9" si="3">1.602E-19*1000000*D3*100/(1000*0.000001)</f>
        <v>3.133512E-7</v>
      </c>
      <c r="J3" s="1">
        <f>0.00000000019/2</f>
        <v>9.4999999999999995E-11</v>
      </c>
      <c r="K3" t="s">
        <v>6</v>
      </c>
      <c r="L3">
        <v>1</v>
      </c>
      <c r="M3" s="1">
        <f t="shared" ref="M3:M8" si="4">J3*$C$13</f>
        <v>2.375E-2</v>
      </c>
      <c r="N3" s="4">
        <f t="shared" ref="N3:N8" si="5">1/(M3*L3)</f>
        <v>42.10526315789474</v>
      </c>
      <c r="O3" s="1"/>
      <c r="P3" s="1">
        <f t="shared" ref="P3:P8" si="6">J3*$C$14</f>
        <v>1.5199999999999998E-4</v>
      </c>
      <c r="Q3" s="4">
        <f t="shared" ref="Q3:Q8" si="7">1/(P3*L3)</f>
        <v>6578.9473684210534</v>
      </c>
      <c r="R3" s="2">
        <f t="shared" ref="R3:R9" si="8">$C$13*I3*60/1000</f>
        <v>4.7002680000000003</v>
      </c>
      <c r="S3" s="2">
        <f t="shared" ref="S3:S9" si="9">R3*60</f>
        <v>282.01608000000004</v>
      </c>
      <c r="T3" s="1">
        <f t="shared" ref="T3:T9" si="10">$C$14*I3*60/1000</f>
        <v>3.0081715200000001E-2</v>
      </c>
      <c r="U3" s="2">
        <f t="shared" ref="U3:U9" si="11">T3*60</f>
        <v>1.804902912</v>
      </c>
    </row>
    <row r="4" spans="2:21">
      <c r="B4" t="s">
        <v>7</v>
      </c>
      <c r="C4">
        <v>230</v>
      </c>
      <c r="D4">
        <v>3.4319999999999999</v>
      </c>
      <c r="E4" s="2">
        <f t="shared" si="0"/>
        <v>0.17546012269938652</v>
      </c>
      <c r="F4" s="2">
        <f t="shared" si="1"/>
        <v>0.79965599999999992</v>
      </c>
      <c r="G4" s="1">
        <f t="shared" ref="G4:G9" si="12">$G$3*E4</f>
        <v>5.1585276073619637E-11</v>
      </c>
      <c r="H4" s="1">
        <f t="shared" si="2"/>
        <v>5.1585276073619637E-9</v>
      </c>
      <c r="I4" s="1">
        <f t="shared" si="3"/>
        <v>5.4980639999999999E-8</v>
      </c>
      <c r="J4" s="1">
        <v>2.0000000000000001E-10</v>
      </c>
      <c r="K4" t="s">
        <v>6</v>
      </c>
      <c r="L4">
        <v>1</v>
      </c>
      <c r="M4" s="1">
        <f t="shared" si="4"/>
        <v>0.05</v>
      </c>
      <c r="N4" s="4">
        <f t="shared" si="5"/>
        <v>20</v>
      </c>
      <c r="O4" s="1"/>
      <c r="P4" s="1">
        <f t="shared" si="6"/>
        <v>3.2000000000000003E-4</v>
      </c>
      <c r="Q4" s="4">
        <f t="shared" si="7"/>
        <v>3124.9999999999995</v>
      </c>
      <c r="R4" s="2">
        <f t="shared" si="8"/>
        <v>0.82470960000000004</v>
      </c>
      <c r="S4" s="2">
        <f t="shared" si="9"/>
        <v>49.482576000000002</v>
      </c>
      <c r="T4" s="1">
        <f t="shared" si="10"/>
        <v>5.2781414400000001E-3</v>
      </c>
      <c r="U4" s="2">
        <f t="shared" si="11"/>
        <v>0.31668848640000002</v>
      </c>
    </row>
    <row r="5" spans="2:21">
      <c r="B5" t="s">
        <v>4</v>
      </c>
      <c r="C5">
        <v>37</v>
      </c>
      <c r="D5" s="1">
        <v>12.95</v>
      </c>
      <c r="E5" s="2">
        <f t="shared" si="0"/>
        <v>0.66206543967280163</v>
      </c>
      <c r="F5" s="2">
        <f t="shared" si="1"/>
        <v>3.01735</v>
      </c>
      <c r="G5" s="1">
        <f t="shared" si="12"/>
        <v>1.946472392638037E-10</v>
      </c>
      <c r="H5" s="1">
        <f t="shared" si="2"/>
        <v>1.946472392638037E-8</v>
      </c>
      <c r="I5" s="1">
        <f t="shared" si="3"/>
        <v>2.0745899999999995E-7</v>
      </c>
      <c r="J5" s="1">
        <v>1.4999999999999999E-14</v>
      </c>
      <c r="K5" t="s">
        <v>8</v>
      </c>
      <c r="L5">
        <v>2000</v>
      </c>
      <c r="M5" s="1">
        <f t="shared" si="4"/>
        <v>3.7499999999999997E-6</v>
      </c>
      <c r="N5" s="4">
        <f t="shared" si="5"/>
        <v>133.33333333333334</v>
      </c>
      <c r="O5" s="1"/>
      <c r="P5" s="1">
        <f t="shared" si="6"/>
        <v>2.4E-8</v>
      </c>
      <c r="Q5" s="4">
        <f t="shared" si="7"/>
        <v>20833.333333333332</v>
      </c>
      <c r="R5" s="2">
        <f t="shared" si="8"/>
        <v>3.1118849999999991</v>
      </c>
      <c r="S5" s="2">
        <f t="shared" si="9"/>
        <v>186.71309999999994</v>
      </c>
      <c r="T5" s="1">
        <f t="shared" si="10"/>
        <v>1.9916063999999994E-2</v>
      </c>
      <c r="U5" s="2">
        <f t="shared" si="11"/>
        <v>1.1949638399999996</v>
      </c>
    </row>
    <row r="6" spans="2:21">
      <c r="B6" t="s">
        <v>4</v>
      </c>
      <c r="C6">
        <v>28</v>
      </c>
      <c r="D6" s="1">
        <v>16.059999999999999</v>
      </c>
      <c r="E6" s="2">
        <f t="shared" si="0"/>
        <v>0.82106339468302658</v>
      </c>
      <c r="F6" s="2">
        <f t="shared" si="1"/>
        <v>3.7419799999999994</v>
      </c>
      <c r="G6" s="1">
        <f t="shared" si="12"/>
        <v>2.4139263803680981E-10</v>
      </c>
      <c r="H6" s="1">
        <f t="shared" si="2"/>
        <v>2.413926380368098E-8</v>
      </c>
      <c r="I6" s="1">
        <f t="shared" si="3"/>
        <v>2.572812E-7</v>
      </c>
      <c r="J6" s="1">
        <v>1.2199999999999999E-14</v>
      </c>
      <c r="K6" t="s">
        <v>8</v>
      </c>
      <c r="L6">
        <v>2000</v>
      </c>
      <c r="M6" s="1">
        <f t="shared" si="4"/>
        <v>3.05E-6</v>
      </c>
      <c r="N6" s="4">
        <f t="shared" si="5"/>
        <v>163.93442622950818</v>
      </c>
      <c r="O6" s="1"/>
      <c r="P6" s="1">
        <f t="shared" si="6"/>
        <v>1.9519999999999999E-8</v>
      </c>
      <c r="Q6" s="4">
        <f t="shared" si="7"/>
        <v>25614.754098360656</v>
      </c>
      <c r="R6" s="2">
        <f t="shared" si="8"/>
        <v>3.8592180000000003</v>
      </c>
      <c r="S6" s="2">
        <f t="shared" si="9"/>
        <v>231.55308000000002</v>
      </c>
      <c r="T6" s="1">
        <f t="shared" si="10"/>
        <v>2.4698995199999997E-2</v>
      </c>
      <c r="U6" s="2">
        <f t="shared" si="11"/>
        <v>1.4819397119999997</v>
      </c>
    </row>
    <row r="7" spans="2:21">
      <c r="B7" t="s">
        <v>9</v>
      </c>
      <c r="C7">
        <v>22</v>
      </c>
      <c r="D7" s="1">
        <v>19.559999999999999</v>
      </c>
      <c r="E7" s="2">
        <f t="shared" si="0"/>
        <v>1</v>
      </c>
      <c r="F7" s="2">
        <f t="shared" si="1"/>
        <v>4.55748</v>
      </c>
      <c r="G7" s="1">
        <f t="shared" si="12"/>
        <v>2.9400000000000002E-10</v>
      </c>
      <c r="H7" s="1">
        <f t="shared" si="2"/>
        <v>2.9400000000000002E-8</v>
      </c>
      <c r="I7" s="1">
        <f t="shared" si="3"/>
        <v>3.133512E-7</v>
      </c>
      <c r="J7" s="1">
        <v>1.1E-14</v>
      </c>
      <c r="K7" t="s">
        <v>8</v>
      </c>
      <c r="L7">
        <f>2048*32</f>
        <v>65536</v>
      </c>
      <c r="M7" s="1">
        <f t="shared" si="4"/>
        <v>2.7499999999999999E-6</v>
      </c>
      <c r="N7" s="4">
        <f t="shared" si="5"/>
        <v>5.5486505681818183</v>
      </c>
      <c r="O7" s="1"/>
      <c r="P7" s="1">
        <f t="shared" si="6"/>
        <v>1.7600000000000002E-8</v>
      </c>
      <c r="Q7" s="4">
        <f t="shared" si="7"/>
        <v>866.97665127840901</v>
      </c>
      <c r="R7" s="2">
        <f t="shared" si="8"/>
        <v>4.7002680000000003</v>
      </c>
      <c r="S7" s="2">
        <f t="shared" si="9"/>
        <v>282.01608000000004</v>
      </c>
      <c r="T7" s="1">
        <f t="shared" si="10"/>
        <v>3.0081715200000001E-2</v>
      </c>
      <c r="U7" s="2">
        <f t="shared" si="11"/>
        <v>1.804902912</v>
      </c>
    </row>
    <row r="8" spans="2:21">
      <c r="B8" t="s">
        <v>10</v>
      </c>
      <c r="C8">
        <v>22</v>
      </c>
      <c r="D8" s="1">
        <v>19.559999999999999</v>
      </c>
      <c r="E8" s="2">
        <f t="shared" si="0"/>
        <v>1</v>
      </c>
      <c r="F8" s="2">
        <f t="shared" si="1"/>
        <v>4.55748</v>
      </c>
      <c r="G8" s="1">
        <f t="shared" si="12"/>
        <v>2.9400000000000002E-10</v>
      </c>
      <c r="H8" s="1">
        <f t="shared" si="2"/>
        <v>2.9400000000000002E-8</v>
      </c>
      <c r="I8" s="1">
        <f t="shared" si="3"/>
        <v>3.133512E-7</v>
      </c>
      <c r="J8" s="1">
        <v>2E-14</v>
      </c>
      <c r="K8" t="s">
        <v>8</v>
      </c>
      <c r="L8">
        <f>16384*68</f>
        <v>1114112</v>
      </c>
      <c r="M8" s="1">
        <f t="shared" si="4"/>
        <v>5.0000000000000004E-6</v>
      </c>
      <c r="N8" s="3">
        <f t="shared" si="5"/>
        <v>0.17951516544117646</v>
      </c>
      <c r="O8" s="1"/>
      <c r="P8" s="1">
        <f t="shared" si="6"/>
        <v>3.2000000000000002E-8</v>
      </c>
      <c r="Q8" s="4">
        <f t="shared" si="7"/>
        <v>28.049244600183822</v>
      </c>
      <c r="R8" s="2">
        <f t="shared" si="8"/>
        <v>4.7002680000000003</v>
      </c>
      <c r="S8" s="2">
        <f t="shared" si="9"/>
        <v>282.01608000000004</v>
      </c>
      <c r="T8" s="1">
        <f t="shared" si="10"/>
        <v>3.0081715200000001E-2</v>
      </c>
      <c r="U8" s="2">
        <f t="shared" si="11"/>
        <v>1.804902912</v>
      </c>
    </row>
    <row r="9" spans="2:21">
      <c r="B9" t="s">
        <v>17</v>
      </c>
      <c r="C9">
        <v>180</v>
      </c>
      <c r="D9" s="1">
        <v>4.0069999999999997</v>
      </c>
      <c r="E9" s="2">
        <f t="shared" si="0"/>
        <v>0.20485685071574641</v>
      </c>
      <c r="F9" s="2">
        <f t="shared" si="1"/>
        <v>0.93363099999999988</v>
      </c>
      <c r="G9" s="1">
        <f t="shared" si="12"/>
        <v>6.0227914110429445E-11</v>
      </c>
      <c r="H9" s="1">
        <f t="shared" si="2"/>
        <v>6.0227914110429448E-9</v>
      </c>
      <c r="I9" s="1">
        <f t="shared" si="3"/>
        <v>6.4192139999999975E-8</v>
      </c>
      <c r="R9" s="2">
        <f t="shared" si="8"/>
        <v>0.96288209999999974</v>
      </c>
      <c r="S9" s="6">
        <f t="shared" si="9"/>
        <v>57.772925999999984</v>
      </c>
      <c r="T9" s="1">
        <f t="shared" si="10"/>
        <v>6.1624454399999981E-3</v>
      </c>
      <c r="U9" s="6">
        <f t="shared" si="11"/>
        <v>0.36974672639999989</v>
      </c>
    </row>
    <row r="10" spans="2:21">
      <c r="D10" s="1"/>
    </row>
    <row r="11" spans="2:21">
      <c r="D11" s="1"/>
      <c r="E11" s="1"/>
      <c r="F11" s="1"/>
      <c r="G11" s="1"/>
      <c r="H11" s="1"/>
      <c r="I11" s="1"/>
    </row>
    <row r="12" spans="2:21">
      <c r="Q12" t="s">
        <v>33</v>
      </c>
      <c r="R12">
        <f>24*S9</f>
        <v>1386.5502239999996</v>
      </c>
    </row>
    <row r="13" spans="2:21">
      <c r="B13" t="s">
        <v>11</v>
      </c>
      <c r="C13" s="1">
        <v>250000000</v>
      </c>
      <c r="D13" s="1"/>
      <c r="E13" s="1"/>
      <c r="F13" s="1"/>
      <c r="G13" s="1"/>
      <c r="H13" s="1"/>
      <c r="I13" s="1"/>
    </row>
    <row r="14" spans="2:21">
      <c r="B14" t="s">
        <v>12</v>
      </c>
      <c r="C14" s="1">
        <v>1600000</v>
      </c>
      <c r="D14" s="1"/>
      <c r="E14" s="1"/>
      <c r="F14" s="1"/>
      <c r="G14" s="1"/>
      <c r="H14" s="1"/>
      <c r="I14" s="1"/>
    </row>
    <row r="17" spans="2:12">
      <c r="C17" t="s">
        <v>24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J17" t="s">
        <v>32</v>
      </c>
    </row>
    <row r="18" spans="2:12">
      <c r="C18">
        <v>200</v>
      </c>
    </row>
    <row r="19" spans="2:12">
      <c r="B19" t="s">
        <v>0</v>
      </c>
      <c r="C19">
        <v>200</v>
      </c>
      <c r="D19" s="1">
        <f>$J$4</f>
        <v>2.0000000000000001E-10</v>
      </c>
      <c r="E19">
        <v>1</v>
      </c>
      <c r="F19" s="1">
        <v>250000000</v>
      </c>
      <c r="G19" s="2">
        <f>C19/(D19*E19*F19)</f>
        <v>4000</v>
      </c>
      <c r="H19" s="2">
        <f>G19/3600</f>
        <v>1.1111111111111112</v>
      </c>
      <c r="I19" s="2"/>
      <c r="J19" s="2">
        <f>F19*G19*$H$9/1000</f>
        <v>6.0227914110429444</v>
      </c>
      <c r="L19" t="s">
        <v>36</v>
      </c>
    </row>
    <row r="20" spans="2:12">
      <c r="B20" t="s">
        <v>2</v>
      </c>
      <c r="C20">
        <v>200</v>
      </c>
      <c r="D20" s="1">
        <f>$J$5</f>
        <v>1.4999999999999999E-14</v>
      </c>
      <c r="E20">
        <v>2000</v>
      </c>
      <c r="F20" s="1">
        <f>F19</f>
        <v>250000000</v>
      </c>
      <c r="G20" s="2">
        <f>C20/(D20*E20*F20)</f>
        <v>26666.666666666668</v>
      </c>
      <c r="H20" s="2">
        <f>G20/3600</f>
        <v>7.4074074074074074</v>
      </c>
      <c r="I20" s="2"/>
      <c r="J20" s="2">
        <f>F20*G20*$H$9/1000</f>
        <v>40.151942740286302</v>
      </c>
      <c r="L20" t="s">
        <v>35</v>
      </c>
    </row>
    <row r="21" spans="2:12">
      <c r="B21" t="s">
        <v>25</v>
      </c>
      <c r="C21">
        <v>1000</v>
      </c>
      <c r="D21" s="1">
        <f>$J7</f>
        <v>1.1E-14</v>
      </c>
      <c r="E21">
        <f>2048*32</f>
        <v>65536</v>
      </c>
      <c r="F21" s="1">
        <f>F20</f>
        <v>250000000</v>
      </c>
      <c r="G21" s="2">
        <f>C21/(D21*E21*F21)</f>
        <v>5548.650568181818</v>
      </c>
      <c r="H21" s="2">
        <f>G21/3600</f>
        <v>1.5412918244949494</v>
      </c>
      <c r="I21" s="2"/>
      <c r="J21" s="2">
        <f>F21*G21*$H$9/1000</f>
        <v>8.3545912462310028</v>
      </c>
      <c r="L21" t="s">
        <v>34</v>
      </c>
    </row>
    <row r="22" spans="2:12">
      <c r="B22" t="s">
        <v>26</v>
      </c>
      <c r="C22">
        <f>C21</f>
        <v>1000</v>
      </c>
      <c r="D22" s="1">
        <f>$J$8</f>
        <v>2E-14</v>
      </c>
      <c r="E22">
        <f>16384*68</f>
        <v>1114112</v>
      </c>
      <c r="F22" s="1">
        <f>F21</f>
        <v>250000000</v>
      </c>
      <c r="G22" s="2">
        <f>C22/(D22*E22*F22)</f>
        <v>179.51516544117646</v>
      </c>
      <c r="H22" s="2">
        <f>G22/3600</f>
        <v>4.9865323733660129E-2</v>
      </c>
      <c r="I22" s="2"/>
      <c r="J22" s="2">
        <f>F22*G22*$H$9/1000</f>
        <v>0.27029559914276768</v>
      </c>
      <c r="L22" t="s">
        <v>34</v>
      </c>
    </row>
    <row r="25" spans="2:12">
      <c r="B25" t="s">
        <v>37</v>
      </c>
    </row>
    <row r="31" spans="2:12">
      <c r="B31" t="s">
        <v>38</v>
      </c>
      <c r="D31">
        <v>40</v>
      </c>
      <c r="E31">
        <v>80</v>
      </c>
      <c r="F31">
        <v>160</v>
      </c>
    </row>
    <row r="32" spans="2:12">
      <c r="C32" t="s">
        <v>39</v>
      </c>
    </row>
    <row r="33" spans="2:9">
      <c r="C33">
        <v>0</v>
      </c>
      <c r="D33">
        <v>100</v>
      </c>
      <c r="E33">
        <v>100</v>
      </c>
      <c r="F33">
        <v>100</v>
      </c>
    </row>
    <row r="34" spans="2:9">
      <c r="C34">
        <v>4</v>
      </c>
      <c r="D34">
        <v>100</v>
      </c>
      <c r="E34">
        <v>100</v>
      </c>
      <c r="F34">
        <v>100</v>
      </c>
    </row>
    <row r="35" spans="2:9">
      <c r="C35">
        <v>8</v>
      </c>
      <c r="D35">
        <v>100</v>
      </c>
      <c r="E35">
        <v>100</v>
      </c>
      <c r="F35">
        <v>100</v>
      </c>
    </row>
    <row r="38" spans="2:9">
      <c r="B38" t="s">
        <v>47</v>
      </c>
    </row>
    <row r="40" spans="2:9">
      <c r="B40" t="s">
        <v>42</v>
      </c>
      <c r="D40" s="1">
        <v>78500</v>
      </c>
      <c r="H40" s="1">
        <v>1E-10</v>
      </c>
      <c r="I40" s="1"/>
    </row>
    <row r="41" spans="2:9">
      <c r="B41" t="s">
        <v>49</v>
      </c>
      <c r="C41" s="1"/>
      <c r="D41">
        <v>35000</v>
      </c>
      <c r="E41" s="1"/>
      <c r="H41" s="1"/>
      <c r="I41" s="1"/>
    </row>
    <row r="42" spans="2:9">
      <c r="B42" t="s">
        <v>29</v>
      </c>
      <c r="D42" s="1">
        <f>D43/D44</f>
        <v>1990942.0289855073</v>
      </c>
      <c r="E42" s="1"/>
      <c r="H42" s="1"/>
      <c r="I42" s="1"/>
    </row>
    <row r="43" spans="2:9">
      <c r="B43" t="s">
        <v>48</v>
      </c>
      <c r="C43" s="1"/>
      <c r="D43" s="1">
        <f>D41*D40</f>
        <v>2747500000</v>
      </c>
      <c r="E43" s="1"/>
      <c r="H43" s="1"/>
      <c r="I43" s="1"/>
    </row>
    <row r="44" spans="2:9">
      <c r="B44" t="s">
        <v>43</v>
      </c>
      <c r="D44">
        <v>1380</v>
      </c>
    </row>
    <row r="45" spans="2:9">
      <c r="B45" t="s">
        <v>46</v>
      </c>
      <c r="D45" s="2">
        <f>D44/3600</f>
        <v>0.38333333333333336</v>
      </c>
    </row>
    <row r="48" spans="2:9">
      <c r="B48" t="s">
        <v>45</v>
      </c>
      <c r="D48" s="7">
        <f>D43*H9</f>
        <v>16.547619401840493</v>
      </c>
    </row>
    <row r="50" spans="2:5">
      <c r="B50" t="s">
        <v>29</v>
      </c>
      <c r="D50" s="1">
        <v>100000000</v>
      </c>
    </row>
    <row r="51" spans="2:5">
      <c r="B51" t="s">
        <v>1</v>
      </c>
      <c r="D51" s="1">
        <v>1E-10</v>
      </c>
    </row>
    <row r="52" spans="2:5">
      <c r="B52" t="s">
        <v>50</v>
      </c>
      <c r="D52">
        <v>100</v>
      </c>
    </row>
    <row r="53" spans="2:5">
      <c r="B53" t="s">
        <v>51</v>
      </c>
      <c r="D53" s="7">
        <f>D52/(D51*D50)</f>
        <v>10000</v>
      </c>
      <c r="E53" t="s">
        <v>52</v>
      </c>
    </row>
    <row r="54" spans="2:5">
      <c r="D54" s="2">
        <f>D53/3600</f>
        <v>2.7777777777777777</v>
      </c>
      <c r="E54" t="s">
        <v>53</v>
      </c>
    </row>
    <row r="56" spans="2:5">
      <c r="D56" s="1"/>
    </row>
    <row r="57" spans="2:5">
      <c r="B57" t="s">
        <v>63</v>
      </c>
      <c r="D57">
        <v>10000</v>
      </c>
      <c r="E57" t="s">
        <v>65</v>
      </c>
    </row>
    <row r="58" spans="2:5">
      <c r="B58" t="s">
        <v>64</v>
      </c>
      <c r="D58" s="1">
        <f>H9*D50</f>
        <v>0.60227914110429448</v>
      </c>
      <c r="E58" t="s">
        <v>65</v>
      </c>
    </row>
    <row r="59" spans="2:5">
      <c r="B59" t="s">
        <v>51</v>
      </c>
      <c r="D59">
        <f>D57/D58</f>
        <v>16603.596766882445</v>
      </c>
      <c r="E59" t="s">
        <v>52</v>
      </c>
    </row>
    <row r="60" spans="2:5">
      <c r="D60">
        <f>D59/3600</f>
        <v>4.612110213022901</v>
      </c>
      <c r="E60" t="s">
        <v>53</v>
      </c>
    </row>
    <row r="67" spans="2:7">
      <c r="B67" s="1"/>
    </row>
    <row r="70" spans="2:7">
      <c r="D70" s="1"/>
      <c r="E70" s="1">
        <v>1.6019999999999999E-7</v>
      </c>
      <c r="F70" s="1">
        <v>1.833E-3</v>
      </c>
      <c r="G70" s="1">
        <f>F70*E70</f>
        <v>2.9364659999999996E-10</v>
      </c>
    </row>
    <row r="71" spans="2:7">
      <c r="D71" s="1"/>
    </row>
  </sheetData>
  <mergeCells count="1">
    <mergeCell ref="G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76"/>
  <sheetViews>
    <sheetView tabSelected="1" showRuler="0" topLeftCell="A16" workbookViewId="0">
      <selection activeCell="M31" sqref="M31"/>
    </sheetView>
  </sheetViews>
  <sheetFormatPr defaultColWidth="11" defaultRowHeight="15.75"/>
  <cols>
    <col min="5" max="5" width="12.5" bestFit="1" customWidth="1"/>
    <col min="9" max="9" width="14" style="13" customWidth="1"/>
    <col min="10" max="11" width="14" customWidth="1"/>
    <col min="12" max="12" width="14" style="13" customWidth="1"/>
    <col min="13" max="13" width="29.125" bestFit="1" customWidth="1"/>
    <col min="14" max="14" width="29.125" customWidth="1"/>
    <col min="15" max="17" width="4.625" bestFit="1" customWidth="1"/>
    <col min="18" max="18" width="29.125" customWidth="1"/>
    <col min="19" max="19" width="15.625" bestFit="1" customWidth="1"/>
  </cols>
  <sheetData>
    <row r="1" spans="1:20">
      <c r="H1" t="s">
        <v>82</v>
      </c>
      <c r="I1" s="12"/>
      <c r="L1" s="12"/>
      <c r="N1" t="s">
        <v>151</v>
      </c>
      <c r="O1" t="s">
        <v>187</v>
      </c>
      <c r="P1" t="s">
        <v>188</v>
      </c>
      <c r="Q1" t="s">
        <v>189</v>
      </c>
    </row>
    <row r="2" spans="1:20">
      <c r="A2" t="s">
        <v>54</v>
      </c>
      <c r="B2" t="s">
        <v>55</v>
      </c>
      <c r="C2" t="s">
        <v>56</v>
      </c>
      <c r="D2" t="s">
        <v>57</v>
      </c>
      <c r="E2" t="s">
        <v>68</v>
      </c>
      <c r="F2" t="s">
        <v>30</v>
      </c>
      <c r="G2" t="s">
        <v>66</v>
      </c>
      <c r="H2" t="s">
        <v>42</v>
      </c>
      <c r="I2" s="13" t="s">
        <v>60</v>
      </c>
      <c r="J2" t="s">
        <v>29</v>
      </c>
      <c r="K2" t="s">
        <v>61</v>
      </c>
      <c r="L2" s="13" t="s">
        <v>62</v>
      </c>
      <c r="M2" t="s">
        <v>71</v>
      </c>
      <c r="S2" t="s">
        <v>113</v>
      </c>
      <c r="T2" t="s">
        <v>58</v>
      </c>
    </row>
    <row r="3" spans="1:20">
      <c r="A3">
        <v>20140507</v>
      </c>
      <c r="B3" s="8">
        <v>0.1111111111111111</v>
      </c>
      <c r="C3" s="8">
        <v>0.12847222222222224</v>
      </c>
      <c r="D3">
        <v>35431</v>
      </c>
      <c r="E3">
        <v>134000</v>
      </c>
      <c r="F3">
        <f t="shared" ref="F3:F10" si="0">E3/100</f>
        <v>1340</v>
      </c>
      <c r="G3">
        <v>1</v>
      </c>
      <c r="H3" s="1">
        <v>78500</v>
      </c>
      <c r="I3" s="12">
        <f t="shared" ref="I3:I10" si="1">H3*D3</f>
        <v>2781333500</v>
      </c>
      <c r="J3" s="1">
        <f t="shared" ref="J3:J10" si="2">I3/F3</f>
        <v>2075622.014925373</v>
      </c>
      <c r="K3">
        <v>6.4560599999999996E-8</v>
      </c>
      <c r="L3" s="14">
        <f t="shared" ref="L3:L10" si="3">K3*I3/1000</f>
        <v>0.17956455956009998</v>
      </c>
      <c r="M3" s="2" t="s">
        <v>72</v>
      </c>
      <c r="N3" s="2"/>
      <c r="O3" s="2"/>
      <c r="P3" s="2"/>
      <c r="Q3" s="2"/>
      <c r="R3" s="2"/>
      <c r="S3" s="2"/>
      <c r="T3" t="s">
        <v>59</v>
      </c>
    </row>
    <row r="4" spans="1:20">
      <c r="A4">
        <v>20140507</v>
      </c>
      <c r="B4" s="8">
        <v>0.1423611111111111</v>
      </c>
      <c r="C4" s="8">
        <v>0.14722222222222223</v>
      </c>
      <c r="D4">
        <v>177453</v>
      </c>
      <c r="E4">
        <v>14235</v>
      </c>
      <c r="F4" s="4">
        <f t="shared" si="0"/>
        <v>142.35</v>
      </c>
      <c r="G4">
        <v>50</v>
      </c>
      <c r="H4" s="1">
        <v>78500</v>
      </c>
      <c r="I4" s="12">
        <f t="shared" si="1"/>
        <v>13930060500</v>
      </c>
      <c r="J4" s="1">
        <f t="shared" si="2"/>
        <v>97857818.756585881</v>
      </c>
      <c r="K4">
        <v>6.4560599999999996E-8</v>
      </c>
      <c r="L4" s="14">
        <f t="shared" si="3"/>
        <v>0.89933306391629997</v>
      </c>
      <c r="M4" s="2" t="s">
        <v>73</v>
      </c>
      <c r="N4" s="2"/>
      <c r="O4" s="2"/>
      <c r="P4" s="2"/>
      <c r="Q4" s="2"/>
      <c r="R4" s="2"/>
      <c r="S4" s="2"/>
      <c r="T4" t="s">
        <v>67</v>
      </c>
    </row>
    <row r="5" spans="1:20">
      <c r="A5">
        <v>20140507</v>
      </c>
      <c r="B5" s="8">
        <v>0.15555555555555556</v>
      </c>
      <c r="C5" s="8">
        <v>0.15833333333333333</v>
      </c>
      <c r="D5">
        <v>252633</v>
      </c>
      <c r="E5">
        <v>16000</v>
      </c>
      <c r="F5" s="4">
        <f t="shared" si="0"/>
        <v>160</v>
      </c>
      <c r="G5">
        <v>50</v>
      </c>
      <c r="H5" s="1">
        <v>78500</v>
      </c>
      <c r="I5" s="12">
        <f t="shared" si="1"/>
        <v>19831690500</v>
      </c>
      <c r="J5" s="1">
        <f t="shared" si="2"/>
        <v>123948065.625</v>
      </c>
      <c r="K5">
        <v>6.4560599999999996E-8</v>
      </c>
      <c r="L5" s="14">
        <f t="shared" si="3"/>
        <v>1.2803458376943</v>
      </c>
      <c r="M5" s="2" t="s">
        <v>74</v>
      </c>
      <c r="N5" s="2"/>
      <c r="O5" s="2"/>
      <c r="P5" s="2"/>
      <c r="Q5" s="2"/>
      <c r="R5" s="2"/>
      <c r="S5" t="s">
        <v>70</v>
      </c>
    </row>
    <row r="6" spans="1:20">
      <c r="A6">
        <v>20140507</v>
      </c>
      <c r="B6" s="8">
        <v>0.16666666666666666</v>
      </c>
      <c r="C6" s="8">
        <v>0.1763888888888889</v>
      </c>
      <c r="D6">
        <v>1356473</v>
      </c>
      <c r="E6">
        <v>83854</v>
      </c>
      <c r="F6" s="4">
        <f t="shared" si="0"/>
        <v>838.54</v>
      </c>
      <c r="G6">
        <v>50</v>
      </c>
      <c r="H6" s="1">
        <v>78500</v>
      </c>
      <c r="I6" s="12">
        <f t="shared" si="1"/>
        <v>106483130500</v>
      </c>
      <c r="J6" s="1">
        <f t="shared" si="2"/>
        <v>126986345.91074964</v>
      </c>
      <c r="K6">
        <v>6.4560599999999996E-8</v>
      </c>
      <c r="L6" s="14">
        <f t="shared" si="3"/>
        <v>6.8746147949582994</v>
      </c>
      <c r="M6" t="s">
        <v>76</v>
      </c>
      <c r="S6" t="s">
        <v>77</v>
      </c>
      <c r="T6" t="s">
        <v>75</v>
      </c>
    </row>
    <row r="7" spans="1:20">
      <c r="A7">
        <v>20140507</v>
      </c>
      <c r="B7" s="8">
        <v>0.18055555555555555</v>
      </c>
      <c r="C7" s="8">
        <v>0.18263888888888891</v>
      </c>
      <c r="D7">
        <v>338464</v>
      </c>
      <c r="E7">
        <v>21260</v>
      </c>
      <c r="F7" s="4">
        <f t="shared" si="0"/>
        <v>212.6</v>
      </c>
      <c r="G7">
        <v>50</v>
      </c>
      <c r="H7" s="1">
        <v>78500</v>
      </c>
      <c r="I7" s="12">
        <f t="shared" si="1"/>
        <v>26569424000</v>
      </c>
      <c r="J7" s="1">
        <f t="shared" si="2"/>
        <v>124973772.34242709</v>
      </c>
      <c r="K7">
        <v>6.4560599999999996E-8</v>
      </c>
      <c r="L7" s="14">
        <f t="shared" si="3"/>
        <v>1.7153379550943999</v>
      </c>
      <c r="M7" t="s">
        <v>78</v>
      </c>
      <c r="T7" t="s">
        <v>79</v>
      </c>
    </row>
    <row r="8" spans="1:20">
      <c r="A8">
        <v>20140507</v>
      </c>
      <c r="B8" s="8">
        <v>0.18472222222222223</v>
      </c>
      <c r="C8" s="8">
        <v>0.19097222222222221</v>
      </c>
      <c r="D8">
        <v>857977</v>
      </c>
      <c r="E8">
        <v>53453</v>
      </c>
      <c r="F8" s="4">
        <f t="shared" si="0"/>
        <v>534.53</v>
      </c>
      <c r="G8">
        <v>50</v>
      </c>
      <c r="H8" s="1">
        <v>78500</v>
      </c>
      <c r="I8" s="12">
        <f t="shared" si="1"/>
        <v>67351194500</v>
      </c>
      <c r="J8" s="1">
        <f t="shared" si="2"/>
        <v>126000775.44758947</v>
      </c>
      <c r="K8">
        <v>6.4560599999999996E-8</v>
      </c>
      <c r="L8" s="14">
        <f t="shared" si="3"/>
        <v>4.3482335276366992</v>
      </c>
      <c r="M8" t="s">
        <v>80</v>
      </c>
      <c r="T8" t="s">
        <v>81</v>
      </c>
    </row>
    <row r="9" spans="1:20">
      <c r="A9">
        <v>20140507</v>
      </c>
      <c r="B9" s="8">
        <v>0.19305555555555554</v>
      </c>
      <c r="C9" s="8">
        <v>0.19999999999999998</v>
      </c>
      <c r="D9">
        <v>1028015</v>
      </c>
      <c r="E9">
        <v>63151</v>
      </c>
      <c r="F9" s="4">
        <f t="shared" si="0"/>
        <v>631.51</v>
      </c>
      <c r="G9">
        <v>50</v>
      </c>
      <c r="H9" s="1">
        <v>78500</v>
      </c>
      <c r="I9" s="12">
        <f t="shared" si="1"/>
        <v>80699177500</v>
      </c>
      <c r="J9" s="1">
        <f t="shared" si="2"/>
        <v>127787647.85989137</v>
      </c>
      <c r="K9">
        <v>6.4560599999999996E-8</v>
      </c>
      <c r="L9" s="14">
        <f t="shared" si="3"/>
        <v>5.2099873189065002</v>
      </c>
      <c r="M9" t="s">
        <v>84</v>
      </c>
      <c r="S9" t="s">
        <v>83</v>
      </c>
      <c r="T9" t="s">
        <v>85</v>
      </c>
    </row>
    <row r="10" spans="1:20">
      <c r="A10">
        <v>20140507</v>
      </c>
      <c r="B10" s="8">
        <v>0.21527777777777779</v>
      </c>
      <c r="C10" s="8">
        <v>0.24652777777777779</v>
      </c>
      <c r="D10">
        <v>4587151</v>
      </c>
      <c r="E10">
        <v>277505</v>
      </c>
      <c r="F10" s="4">
        <f t="shared" si="0"/>
        <v>2775.05</v>
      </c>
      <c r="G10">
        <v>50</v>
      </c>
      <c r="H10" s="1">
        <v>78500</v>
      </c>
      <c r="I10" s="12">
        <f t="shared" si="1"/>
        <v>360091353500</v>
      </c>
      <c r="J10" s="1">
        <f t="shared" si="2"/>
        <v>129760311.88627231</v>
      </c>
      <c r="K10">
        <v>6.4560599999999996E-8</v>
      </c>
      <c r="L10" s="14">
        <f t="shared" si="3"/>
        <v>23.2477138367721</v>
      </c>
      <c r="M10" t="s">
        <v>88</v>
      </c>
      <c r="S10" t="s">
        <v>87</v>
      </c>
      <c r="T10" t="s">
        <v>86</v>
      </c>
    </row>
    <row r="13" spans="1:20">
      <c r="A13">
        <v>20140508</v>
      </c>
      <c r="B13" s="8">
        <v>0.41111111111111115</v>
      </c>
      <c r="C13" s="8">
        <v>0.41250000000000003</v>
      </c>
      <c r="D13">
        <v>14641</v>
      </c>
      <c r="E13">
        <v>5207</v>
      </c>
      <c r="F13" s="4">
        <f>E13/100</f>
        <v>52.07</v>
      </c>
      <c r="G13">
        <v>11</v>
      </c>
      <c r="H13" s="1">
        <v>78500</v>
      </c>
      <c r="I13" s="12">
        <f t="shared" ref="I13:I20" si="4">H13*D13</f>
        <v>1149318500</v>
      </c>
      <c r="J13" s="1">
        <f t="shared" ref="J13:J20" si="5">I13/F13</f>
        <v>22072565.776838869</v>
      </c>
      <c r="K13">
        <v>6.4560599999999996E-8</v>
      </c>
      <c r="L13" s="14">
        <f t="shared" ref="L13:L20" si="6">K13*I13/1000</f>
        <v>7.4200691951100003E-2</v>
      </c>
      <c r="M13" t="s">
        <v>110</v>
      </c>
      <c r="S13" t="s">
        <v>115</v>
      </c>
      <c r="T13" t="s">
        <v>108</v>
      </c>
    </row>
    <row r="14" spans="1:20">
      <c r="A14">
        <v>20140508</v>
      </c>
      <c r="B14" s="8">
        <v>0.41388888888888892</v>
      </c>
      <c r="C14" s="8">
        <v>0.41805555555555557</v>
      </c>
      <c r="D14">
        <v>19768</v>
      </c>
      <c r="E14">
        <v>7364</v>
      </c>
      <c r="F14" s="4">
        <f>E14/100</f>
        <v>73.64</v>
      </c>
      <c r="G14">
        <v>11</v>
      </c>
      <c r="H14" s="1">
        <v>78500</v>
      </c>
      <c r="I14" s="12">
        <f t="shared" si="4"/>
        <v>1551788000</v>
      </c>
      <c r="J14" s="1">
        <f t="shared" si="5"/>
        <v>21072623.574144486</v>
      </c>
      <c r="K14">
        <v>6.4560599999999996E-8</v>
      </c>
      <c r="L14" s="14">
        <f t="shared" si="6"/>
        <v>0.1001843643528</v>
      </c>
      <c r="M14" t="s">
        <v>111</v>
      </c>
      <c r="S14" t="s">
        <v>115</v>
      </c>
      <c r="T14" t="s">
        <v>107</v>
      </c>
    </row>
    <row r="15" spans="1:20">
      <c r="A15">
        <v>20140508</v>
      </c>
      <c r="B15" s="8">
        <v>0.42291666666666666</v>
      </c>
      <c r="C15" s="8">
        <v>0.44444444444444442</v>
      </c>
      <c r="D15">
        <v>621703</v>
      </c>
      <c r="E15" s="1">
        <v>183654</v>
      </c>
      <c r="F15" s="4">
        <f>E15/100</f>
        <v>1836.54</v>
      </c>
      <c r="G15">
        <v>11</v>
      </c>
      <c r="H15" s="1">
        <v>78500</v>
      </c>
      <c r="I15" s="12">
        <f t="shared" si="4"/>
        <v>48803685500</v>
      </c>
      <c r="J15" s="1">
        <f t="shared" si="5"/>
        <v>26573712.252387643</v>
      </c>
      <c r="K15">
        <v>6.4560599999999996E-8</v>
      </c>
      <c r="L15" s="14">
        <f t="shared" si="6"/>
        <v>3.1507952180912997</v>
      </c>
      <c r="M15" t="s">
        <v>112</v>
      </c>
      <c r="N15">
        <v>42</v>
      </c>
      <c r="R15" s="1">
        <f>N15/(I15+I14)</f>
        <v>8.3407020291448554E-10</v>
      </c>
      <c r="S15" t="s">
        <v>115</v>
      </c>
      <c r="T15" t="s">
        <v>109</v>
      </c>
    </row>
    <row r="16" spans="1:20">
      <c r="A16">
        <v>20140508</v>
      </c>
      <c r="D16">
        <v>62101</v>
      </c>
      <c r="G16">
        <v>11</v>
      </c>
      <c r="H16" s="1">
        <v>78500</v>
      </c>
      <c r="I16" s="12">
        <f t="shared" si="4"/>
        <v>4874928500</v>
      </c>
      <c r="J16" s="1" t="e">
        <f t="shared" si="5"/>
        <v>#DIV/0!</v>
      </c>
      <c r="K16">
        <v>6.4560599999999996E-8</v>
      </c>
      <c r="L16" s="14">
        <f t="shared" si="6"/>
        <v>0.31472830891709996</v>
      </c>
      <c r="T16" t="s">
        <v>114</v>
      </c>
    </row>
    <row r="17" spans="1:20">
      <c r="A17">
        <v>20140508</v>
      </c>
      <c r="B17" s="8">
        <v>0.48194444444444445</v>
      </c>
      <c r="C17" s="8">
        <v>0.48472222222222222</v>
      </c>
      <c r="D17">
        <v>44720</v>
      </c>
      <c r="E17">
        <v>15174</v>
      </c>
      <c r="F17" s="4">
        <f>E17/100</f>
        <v>151.74</v>
      </c>
      <c r="G17">
        <v>11</v>
      </c>
      <c r="H17" s="1">
        <v>78500</v>
      </c>
      <c r="I17" s="12">
        <f t="shared" si="4"/>
        <v>3510520000</v>
      </c>
      <c r="J17" s="1">
        <f t="shared" si="5"/>
        <v>23135099.512323711</v>
      </c>
      <c r="K17">
        <v>6.4560599999999996E-8</v>
      </c>
      <c r="L17" s="14">
        <f t="shared" si="6"/>
        <v>0.226641277512</v>
      </c>
      <c r="M17" t="s">
        <v>119</v>
      </c>
      <c r="S17" t="s">
        <v>115</v>
      </c>
      <c r="T17" t="s">
        <v>116</v>
      </c>
    </row>
    <row r="18" spans="1:20">
      <c r="A18">
        <v>20140508</v>
      </c>
      <c r="B18" s="8">
        <v>0.4916666666666667</v>
      </c>
      <c r="C18" s="8">
        <v>0.5131944444444444</v>
      </c>
      <c r="D18">
        <v>636561</v>
      </c>
      <c r="E18">
        <v>189325</v>
      </c>
      <c r="F18" s="4">
        <f>E18/100</f>
        <v>1893.25</v>
      </c>
      <c r="G18">
        <v>11</v>
      </c>
      <c r="H18" s="1">
        <v>78500</v>
      </c>
      <c r="I18" s="12">
        <f t="shared" si="4"/>
        <v>49970038500</v>
      </c>
      <c r="J18" s="1">
        <f t="shared" si="5"/>
        <v>26393787.666710682</v>
      </c>
      <c r="K18">
        <v>6.4560599999999996E-8</v>
      </c>
      <c r="L18" s="14">
        <f t="shared" si="6"/>
        <v>3.2260956675830998</v>
      </c>
      <c r="M18" t="s">
        <v>119</v>
      </c>
      <c r="N18">
        <v>28</v>
      </c>
      <c r="R18" s="1">
        <f>N18/(I18+I17)</f>
        <v>5.235547418600724E-10</v>
      </c>
      <c r="S18" t="s">
        <v>117</v>
      </c>
      <c r="T18" t="s">
        <v>118</v>
      </c>
    </row>
    <row r="19" spans="1:20">
      <c r="A19">
        <v>20140508</v>
      </c>
      <c r="B19" s="8">
        <v>0.51388888888888895</v>
      </c>
      <c r="C19" s="8">
        <v>0.54097222222222219</v>
      </c>
      <c r="D19">
        <v>748575</v>
      </c>
      <c r="E19">
        <v>220737</v>
      </c>
      <c r="F19" s="4">
        <f>E19/100</f>
        <v>2207.37</v>
      </c>
      <c r="G19">
        <v>11</v>
      </c>
      <c r="H19" s="1">
        <v>78500</v>
      </c>
      <c r="I19" s="12">
        <f t="shared" si="4"/>
        <v>58763137500</v>
      </c>
      <c r="J19" s="1">
        <f t="shared" si="5"/>
        <v>26621335.571290724</v>
      </c>
      <c r="K19">
        <v>6.4560599999999996E-8</v>
      </c>
      <c r="L19" s="14">
        <f t="shared" si="6"/>
        <v>3.7937834148824998</v>
      </c>
      <c r="M19" t="s">
        <v>121</v>
      </c>
      <c r="N19">
        <v>38</v>
      </c>
      <c r="R19" s="1">
        <f>N19/I19</f>
        <v>6.4666390558196451E-10</v>
      </c>
      <c r="S19" t="s">
        <v>120</v>
      </c>
      <c r="T19" t="s">
        <v>123</v>
      </c>
    </row>
    <row r="20" spans="1:20">
      <c r="A20">
        <v>20140508</v>
      </c>
      <c r="B20" s="8">
        <v>0.57291666666666663</v>
      </c>
      <c r="C20" s="8">
        <v>0.58472222222222225</v>
      </c>
      <c r="D20">
        <v>300903</v>
      </c>
      <c r="E20">
        <v>96000</v>
      </c>
      <c r="F20" s="4">
        <f>E20/100</f>
        <v>960</v>
      </c>
      <c r="G20">
        <v>11</v>
      </c>
      <c r="H20" s="1">
        <v>78500</v>
      </c>
      <c r="I20" s="12">
        <f t="shared" si="4"/>
        <v>23620885500</v>
      </c>
      <c r="J20" s="1">
        <f t="shared" si="5"/>
        <v>24605089.0625</v>
      </c>
      <c r="K20">
        <v>6.4560599999999996E-8</v>
      </c>
      <c r="L20" s="14">
        <f t="shared" si="6"/>
        <v>1.5249785404112999</v>
      </c>
      <c r="M20" t="s">
        <v>124</v>
      </c>
      <c r="N20">
        <v>20</v>
      </c>
      <c r="R20" s="1">
        <f>N20/I20</f>
        <v>8.4670830820461832E-10</v>
      </c>
      <c r="S20" t="s">
        <v>122</v>
      </c>
      <c r="T20" t="s">
        <v>125</v>
      </c>
    </row>
    <row r="21" spans="1:20">
      <c r="F21" s="4"/>
      <c r="T21" t="s">
        <v>126</v>
      </c>
    </row>
    <row r="22" spans="1:20">
      <c r="A22">
        <v>20140508</v>
      </c>
      <c r="B22" s="8">
        <v>0.61458333333333337</v>
      </c>
      <c r="C22" s="8">
        <v>0.63402777777777775</v>
      </c>
      <c r="D22">
        <v>445841</v>
      </c>
      <c r="E22">
        <v>186472</v>
      </c>
      <c r="F22" s="4">
        <f>E22/100</f>
        <v>1864.72</v>
      </c>
      <c r="G22">
        <v>11</v>
      </c>
      <c r="H22" s="1">
        <v>78500</v>
      </c>
      <c r="I22" s="12">
        <f>H22*D22</f>
        <v>34998518500</v>
      </c>
      <c r="J22" s="10">
        <f>I22/F22</f>
        <v>18768779.495044831</v>
      </c>
      <c r="K22">
        <v>6.4560599999999996E-8</v>
      </c>
      <c r="L22" s="14">
        <f>K22*I22/1000</f>
        <v>2.2595253534711</v>
      </c>
      <c r="M22" t="s">
        <v>128</v>
      </c>
      <c r="S22" t="s">
        <v>115</v>
      </c>
      <c r="T22" t="s">
        <v>127</v>
      </c>
    </row>
    <row r="23" spans="1:20">
      <c r="A23">
        <v>20140508</v>
      </c>
      <c r="B23" s="8">
        <v>0.63541666666666663</v>
      </c>
      <c r="C23" s="8">
        <v>0.64722222222222225</v>
      </c>
      <c r="D23">
        <v>348743</v>
      </c>
      <c r="E23">
        <v>104321</v>
      </c>
      <c r="F23" s="4">
        <f>E23/100</f>
        <v>1043.21</v>
      </c>
      <c r="G23">
        <v>11</v>
      </c>
      <c r="H23" s="1">
        <v>78500</v>
      </c>
      <c r="I23" s="12">
        <f>H23*D23</f>
        <v>27376325500</v>
      </c>
      <c r="J23" s="11">
        <f>I23/F23</f>
        <v>26242391.752379674</v>
      </c>
      <c r="K23">
        <v>6.4560599999999996E-8</v>
      </c>
      <c r="L23" s="14">
        <f>K23*I23/1000</f>
        <v>1.7674320000752999</v>
      </c>
      <c r="M23" t="s">
        <v>131</v>
      </c>
      <c r="R23" s="1"/>
      <c r="S23" t="s">
        <v>129</v>
      </c>
    </row>
    <row r="24" spans="1:20">
      <c r="A24">
        <v>20140508</v>
      </c>
      <c r="B24" s="8">
        <v>0.6479166666666667</v>
      </c>
      <c r="C24" s="8">
        <v>0.6645833333333333</v>
      </c>
      <c r="D24">
        <v>479039</v>
      </c>
      <c r="E24">
        <v>142258</v>
      </c>
      <c r="F24" s="4">
        <f>E24/100</f>
        <v>1422.58</v>
      </c>
      <c r="G24">
        <v>11</v>
      </c>
      <c r="H24" s="1">
        <v>78500</v>
      </c>
      <c r="I24" s="12">
        <f>H24*D24</f>
        <v>37604561500</v>
      </c>
      <c r="J24" s="11">
        <f>I24/F24</f>
        <v>26434057.487100903</v>
      </c>
      <c r="K24">
        <v>6.4560599999999996E-8</v>
      </c>
      <c r="L24" s="14">
        <f>K24*I24/1000</f>
        <v>2.4277730531769</v>
      </c>
      <c r="M24" t="s">
        <v>133</v>
      </c>
      <c r="S24" t="s">
        <v>130</v>
      </c>
      <c r="T24" t="s">
        <v>132</v>
      </c>
    </row>
    <row r="25" spans="1:20">
      <c r="F25" s="1"/>
      <c r="G25" s="1"/>
      <c r="H25" s="1"/>
      <c r="I25" s="12"/>
      <c r="J25" s="1"/>
    </row>
    <row r="27" spans="1:20">
      <c r="A27" t="s">
        <v>138</v>
      </c>
      <c r="R27" s="1"/>
      <c r="S27" s="1"/>
      <c r="T27" s="1"/>
    </row>
    <row r="29" spans="1:20">
      <c r="A29">
        <v>20140508</v>
      </c>
      <c r="B29">
        <v>1915</v>
      </c>
      <c r="C29" s="8">
        <v>0.80555555555555547</v>
      </c>
      <c r="D29">
        <v>101421</v>
      </c>
      <c r="E29">
        <v>30866</v>
      </c>
      <c r="F29" s="4">
        <f>E29/100-10</f>
        <v>298.66000000000003</v>
      </c>
      <c r="G29">
        <v>11</v>
      </c>
      <c r="H29" s="1">
        <v>78500</v>
      </c>
      <c r="I29" s="12">
        <f>H29*D29</f>
        <v>7961548500</v>
      </c>
      <c r="J29" s="15">
        <f>I29/F29</f>
        <v>26657565.459050424</v>
      </c>
      <c r="K29">
        <v>6.4560599999999996E-8</v>
      </c>
      <c r="L29" s="14">
        <f>K29*I29/1000</f>
        <v>0.51400234808909995</v>
      </c>
      <c r="M29" t="s">
        <v>168</v>
      </c>
      <c r="N29">
        <v>4</v>
      </c>
      <c r="O29">
        <v>2</v>
      </c>
      <c r="P29">
        <v>10</v>
      </c>
      <c r="Q29">
        <v>3</v>
      </c>
      <c r="R29" s="1">
        <f>N29/I29/2500</f>
        <v>2.0096593018305422E-13</v>
      </c>
      <c r="S29" t="s">
        <v>144</v>
      </c>
      <c r="T29" t="s">
        <v>134</v>
      </c>
    </row>
    <row r="30" spans="1:20">
      <c r="A30">
        <v>20140508</v>
      </c>
      <c r="B30" s="8">
        <v>0.80833333333333324</v>
      </c>
      <c r="C30" s="8">
        <v>0.82916666666666661</v>
      </c>
      <c r="D30">
        <v>594231</v>
      </c>
      <c r="E30">
        <v>176528</v>
      </c>
      <c r="F30" s="4">
        <f>E30/100-10</f>
        <v>1755.28</v>
      </c>
      <c r="G30">
        <v>11</v>
      </c>
      <c r="H30" s="1">
        <v>78500</v>
      </c>
      <c r="I30" s="12">
        <f>H30*D30</f>
        <v>46647133500</v>
      </c>
      <c r="J30" s="15">
        <f>I30/F30</f>
        <v>26575323.310241103</v>
      </c>
      <c r="K30">
        <v>6.4560599999999996E-8</v>
      </c>
      <c r="L30" s="14">
        <f>K30*I30/1000</f>
        <v>3.0115669270401</v>
      </c>
      <c r="M30" t="s">
        <v>169</v>
      </c>
      <c r="N30">
        <v>3</v>
      </c>
      <c r="R30" s="1">
        <f>N30/I30/2500</f>
        <v>2.5725053394760047E-14</v>
      </c>
      <c r="T30" t="s">
        <v>135</v>
      </c>
    </row>
    <row r="31" spans="1:20">
      <c r="A31">
        <v>20140508</v>
      </c>
      <c r="B31" s="8">
        <v>0.8305555555555556</v>
      </c>
      <c r="C31" s="8">
        <v>0.84444444444444444</v>
      </c>
      <c r="D31">
        <v>1046147</v>
      </c>
      <c r="E31">
        <v>85671</v>
      </c>
      <c r="F31" s="4">
        <f>E31/100-10</f>
        <v>846.71</v>
      </c>
      <c r="G31">
        <v>11</v>
      </c>
      <c r="H31" s="1">
        <v>78500</v>
      </c>
      <c r="I31" s="12">
        <f>H31*D31</f>
        <v>82122539500</v>
      </c>
      <c r="J31" s="15">
        <f>I31/F31</f>
        <v>96990161.330325603</v>
      </c>
      <c r="K31">
        <v>6.4560599999999996E-8</v>
      </c>
      <c r="L31" s="14">
        <f>K31*I31/1000</f>
        <v>5.3018804236437003</v>
      </c>
      <c r="M31" t="s">
        <v>170</v>
      </c>
      <c r="N31">
        <v>5</v>
      </c>
      <c r="R31" s="1">
        <f>N31/I31/2500</f>
        <v>2.4353849895253177E-14</v>
      </c>
      <c r="T31" t="s">
        <v>136</v>
      </c>
    </row>
    <row r="32" spans="1:20">
      <c r="A32">
        <v>20140508</v>
      </c>
      <c r="B32" s="8">
        <v>0.84583333333333333</v>
      </c>
      <c r="C32" s="8">
        <v>0.85972222222222217</v>
      </c>
      <c r="D32">
        <v>1201327</v>
      </c>
      <c r="E32">
        <v>99494</v>
      </c>
      <c r="F32" s="4">
        <f>E32/100-10</f>
        <v>984.94</v>
      </c>
      <c r="G32">
        <v>11</v>
      </c>
      <c r="H32" s="1">
        <v>78500</v>
      </c>
      <c r="I32" s="12">
        <f>H32*D32</f>
        <v>94304169500</v>
      </c>
      <c r="J32" s="15">
        <f>I32/F32</f>
        <v>95746105.854163706</v>
      </c>
      <c r="K32">
        <v>6.4560599999999996E-8</v>
      </c>
      <c r="L32" s="14">
        <f>K32*I32/1000</f>
        <v>6.0883337654216998</v>
      </c>
      <c r="M32" t="s">
        <v>171</v>
      </c>
      <c r="N32">
        <v>5</v>
      </c>
      <c r="R32" s="1">
        <f>N32/I32/2500</f>
        <v>2.1207970025121744E-14</v>
      </c>
      <c r="S32" t="s">
        <v>143</v>
      </c>
      <c r="T32" t="s">
        <v>137</v>
      </c>
    </row>
    <row r="33" spans="1:20">
      <c r="F33" s="4">
        <f>SUM(F28:F32)</f>
        <v>3885.59</v>
      </c>
      <c r="L33" s="14">
        <f>SUM(L29:L32)</f>
        <v>14.9157834641946</v>
      </c>
    </row>
    <row r="34" spans="1:20">
      <c r="A34" t="s">
        <v>139</v>
      </c>
      <c r="B34" t="s">
        <v>141</v>
      </c>
      <c r="M34" s="1"/>
    </row>
    <row r="36" spans="1:20">
      <c r="A36">
        <v>20140508</v>
      </c>
      <c r="B36" s="8">
        <v>0.92708333333333337</v>
      </c>
      <c r="C36" s="8">
        <v>0.9291666666666667</v>
      </c>
      <c r="D36">
        <v>78895</v>
      </c>
      <c r="E36">
        <v>8428</v>
      </c>
      <c r="F36" s="4">
        <f>E36/100-10</f>
        <v>74.28</v>
      </c>
      <c r="H36" s="1">
        <v>78500</v>
      </c>
      <c r="I36" s="12">
        <f>H36*D36</f>
        <v>6193257500</v>
      </c>
      <c r="J36" s="15">
        <f>I36/F36</f>
        <v>83377187.668282181</v>
      </c>
      <c r="K36">
        <v>6.4560599999999996E-8</v>
      </c>
      <c r="L36" s="14">
        <f>K36*I36/1000</f>
        <v>0.39984042015449994</v>
      </c>
      <c r="M36" t="s">
        <v>172</v>
      </c>
      <c r="N36">
        <v>2</v>
      </c>
      <c r="R36" s="1">
        <f>N36/I36/2500</f>
        <v>1.291727334121018E-13</v>
      </c>
      <c r="S36" t="s">
        <v>140</v>
      </c>
      <c r="T36" t="s">
        <v>142</v>
      </c>
    </row>
    <row r="37" spans="1:20">
      <c r="A37">
        <v>20140508</v>
      </c>
      <c r="B37" s="8">
        <v>0.93194444444444446</v>
      </c>
      <c r="C37" s="8">
        <v>0.93402777777777779</v>
      </c>
      <c r="D37">
        <v>102834</v>
      </c>
      <c r="E37">
        <v>9290</v>
      </c>
      <c r="F37" s="4">
        <f>E37/100-10</f>
        <v>82.9</v>
      </c>
      <c r="H37" s="1">
        <v>78500</v>
      </c>
      <c r="I37" s="12">
        <f>H37*D37</f>
        <v>8072469000</v>
      </c>
      <c r="J37" s="15">
        <f>I37/F37</f>
        <v>97375983.112183347</v>
      </c>
      <c r="K37">
        <v>6.4560599999999996E-8</v>
      </c>
      <c r="L37" s="14">
        <f>K37*I37/1000</f>
        <v>0.52116344212139998</v>
      </c>
      <c r="M37" t="s">
        <v>173</v>
      </c>
      <c r="N37">
        <v>1</v>
      </c>
      <c r="R37" s="1">
        <f>N37/I37/2500</f>
        <v>4.9551134851059822E-14</v>
      </c>
      <c r="T37" t="s">
        <v>145</v>
      </c>
    </row>
    <row r="38" spans="1:20">
      <c r="A38">
        <v>20140508</v>
      </c>
      <c r="B38" s="8">
        <v>0.95000000000000007</v>
      </c>
      <c r="C38" s="8">
        <v>0.95763888888888893</v>
      </c>
      <c r="D38">
        <v>671613</v>
      </c>
      <c r="E38">
        <v>55897</v>
      </c>
      <c r="F38" s="4">
        <f>E38/100-10</f>
        <v>548.97</v>
      </c>
      <c r="H38" s="1">
        <v>78500</v>
      </c>
      <c r="I38" s="12">
        <f>H38*D38</f>
        <v>52721620500</v>
      </c>
      <c r="J38" s="15">
        <f>I38/F38</f>
        <v>96037343.570686921</v>
      </c>
      <c r="K38">
        <v>6.4560599999999996E-8</v>
      </c>
      <c r="L38" s="14">
        <f>K38*I38/1000</f>
        <v>3.4037394524522999</v>
      </c>
      <c r="M38" t="s">
        <v>174</v>
      </c>
      <c r="N38">
        <v>3</v>
      </c>
      <c r="R38" s="1">
        <f>N38/I38/2500</f>
        <v>2.2761060616488446E-14</v>
      </c>
      <c r="T38" t="s">
        <v>146</v>
      </c>
    </row>
    <row r="39" spans="1:20">
      <c r="A39">
        <v>20140508</v>
      </c>
      <c r="B39" s="8">
        <v>0.96319444444444446</v>
      </c>
      <c r="C39" s="8">
        <v>0.9916666666666667</v>
      </c>
      <c r="D39">
        <v>2881340</v>
      </c>
      <c r="E39">
        <v>238317</v>
      </c>
      <c r="F39" s="4">
        <f>E39/100-10</f>
        <v>2373.17</v>
      </c>
      <c r="H39" s="1">
        <v>78500</v>
      </c>
      <c r="I39" s="12">
        <f>H39*D39</f>
        <v>226185190000</v>
      </c>
      <c r="J39" s="15">
        <f>I39/F39</f>
        <v>95309307.803486466</v>
      </c>
      <c r="K39">
        <v>6.4560599999999996E-8</v>
      </c>
      <c r="L39" s="14">
        <f>K39*I39/1000</f>
        <v>14.602651577513999</v>
      </c>
      <c r="M39" t="s">
        <v>179</v>
      </c>
      <c r="N39">
        <v>10</v>
      </c>
      <c r="R39" s="1">
        <f>N39/I39/2500</f>
        <v>1.7684623825282283E-14</v>
      </c>
      <c r="S39" t="s">
        <v>148</v>
      </c>
      <c r="T39" t="s">
        <v>147</v>
      </c>
    </row>
    <row r="40" spans="1:20">
      <c r="F40" s="4">
        <f>SUM(F36:F39)</f>
        <v>3079.32</v>
      </c>
      <c r="L40" s="14">
        <f>SUM(L36:L39)</f>
        <v>18.927394892242198</v>
      </c>
      <c r="R40" s="1"/>
    </row>
    <row r="41" spans="1:20">
      <c r="A41" t="s">
        <v>183</v>
      </c>
    </row>
    <row r="42" spans="1:20">
      <c r="A42">
        <v>20140509</v>
      </c>
      <c r="B42" s="8">
        <v>0.40208333333333335</v>
      </c>
      <c r="C42" s="8">
        <v>0.43333333333333335</v>
      </c>
      <c r="D42">
        <v>1602223</v>
      </c>
      <c r="E42">
        <v>128521</v>
      </c>
      <c r="F42" s="4">
        <f>E42/100</f>
        <v>1285.21</v>
      </c>
      <c r="G42">
        <v>11</v>
      </c>
      <c r="H42" s="1">
        <v>78500</v>
      </c>
      <c r="I42" s="12">
        <f>H42*D42</f>
        <v>125774505500</v>
      </c>
      <c r="J42" s="11">
        <f>I42/F42</f>
        <v>97862999.43199943</v>
      </c>
      <c r="K42">
        <v>6.4560599999999996E-8</v>
      </c>
      <c r="L42" s="14">
        <f>K42*I42/1000</f>
        <v>8.1200775397832992</v>
      </c>
      <c r="M42" t="s">
        <v>175</v>
      </c>
      <c r="N42">
        <v>6</v>
      </c>
      <c r="R42" s="1">
        <f>N42/I42</f>
        <v>4.7704421306589835E-11</v>
      </c>
      <c r="S42" t="s">
        <v>150</v>
      </c>
      <c r="T42" t="s">
        <v>149</v>
      </c>
    </row>
    <row r="43" spans="1:20">
      <c r="A43">
        <v>20140509</v>
      </c>
      <c r="B43" s="8">
        <v>0.44097222222222227</v>
      </c>
      <c r="C43" s="8">
        <v>0.45069444444444445</v>
      </c>
      <c r="D43">
        <v>409828</v>
      </c>
      <c r="E43">
        <v>87737</v>
      </c>
      <c r="F43" s="4">
        <f>E43/100</f>
        <v>877.37</v>
      </c>
      <c r="G43">
        <v>11</v>
      </c>
      <c r="H43" s="1">
        <v>78500</v>
      </c>
      <c r="I43" s="12">
        <f>H43*D43</f>
        <v>32171498000</v>
      </c>
      <c r="J43" s="11">
        <f>I43/F43</f>
        <v>36668108.095786273</v>
      </c>
      <c r="K43">
        <v>6.4560599999999996E-8</v>
      </c>
      <c r="L43" s="14">
        <f>K43*I43/1000</f>
        <v>2.0770112137788002</v>
      </c>
      <c r="M43" t="s">
        <v>176</v>
      </c>
      <c r="N43">
        <v>5</v>
      </c>
      <c r="R43" s="1">
        <f>N43/I43</f>
        <v>1.5541707134681761E-10</v>
      </c>
      <c r="S43" t="s">
        <v>150</v>
      </c>
    </row>
    <row r="44" spans="1:20">
      <c r="A44">
        <v>20140509</v>
      </c>
      <c r="B44" s="8">
        <v>0.45833333333333331</v>
      </c>
      <c r="C44" s="8">
        <v>0.47986111111111113</v>
      </c>
      <c r="D44">
        <v>3501244</v>
      </c>
      <c r="E44">
        <v>188734</v>
      </c>
      <c r="F44" s="4">
        <f>E44/100</f>
        <v>1887.34</v>
      </c>
      <c r="G44">
        <v>11</v>
      </c>
      <c r="H44" s="1">
        <v>78500</v>
      </c>
      <c r="I44" s="12">
        <f>H44*D44</f>
        <v>274847654000</v>
      </c>
      <c r="J44" s="11">
        <f>I44/F44</f>
        <v>145626995.66585776</v>
      </c>
      <c r="K44">
        <v>6.4560599999999996E-8</v>
      </c>
      <c r="L44" s="14">
        <f>K44*I44/1000</f>
        <v>17.744329450832399</v>
      </c>
      <c r="M44" t="s">
        <v>177</v>
      </c>
      <c r="N44">
        <v>23</v>
      </c>
      <c r="R44" s="1">
        <f>N44/I44</f>
        <v>8.3682722647507119E-11</v>
      </c>
      <c r="S44" t="s">
        <v>152</v>
      </c>
    </row>
    <row r="46" spans="1:20">
      <c r="R46" s="1"/>
    </row>
    <row r="48" spans="1:20">
      <c r="R48" s="1"/>
      <c r="S48" s="1"/>
    </row>
    <row r="51" spans="1:26">
      <c r="A51" t="s">
        <v>153</v>
      </c>
      <c r="V51" t="s">
        <v>1</v>
      </c>
      <c r="X51" t="s">
        <v>154</v>
      </c>
    </row>
    <row r="52" spans="1:26">
      <c r="N52" t="s">
        <v>155</v>
      </c>
      <c r="R52" t="s">
        <v>156</v>
      </c>
      <c r="S52" t="s">
        <v>157</v>
      </c>
      <c r="T52" t="s">
        <v>158</v>
      </c>
      <c r="U52" t="s">
        <v>69</v>
      </c>
    </row>
    <row r="53" spans="1:26">
      <c r="A53">
        <v>20140509</v>
      </c>
      <c r="B53" s="8">
        <v>0.52083333333333337</v>
      </c>
      <c r="C53" s="8">
        <v>0.52361111111111114</v>
      </c>
      <c r="D53">
        <v>54772</v>
      </c>
      <c r="E53">
        <v>18104</v>
      </c>
      <c r="F53" s="4">
        <f>E53/100</f>
        <v>181.04</v>
      </c>
      <c r="G53">
        <v>11</v>
      </c>
      <c r="H53" s="1">
        <v>78500</v>
      </c>
      <c r="I53" s="12">
        <f>H53*D53</f>
        <v>4299602000</v>
      </c>
      <c r="J53" s="11">
        <f>I53/F53</f>
        <v>23749458.683163941</v>
      </c>
      <c r="K53">
        <v>6.4560599999999996E-8</v>
      </c>
      <c r="L53" s="14">
        <f>K53*I53/1000</f>
        <v>0.27758488488119998</v>
      </c>
      <c r="M53" t="s">
        <v>159</v>
      </c>
      <c r="N53">
        <v>460</v>
      </c>
      <c r="R53">
        <v>427</v>
      </c>
      <c r="S53">
        <v>440</v>
      </c>
      <c r="T53">
        <v>454</v>
      </c>
      <c r="U53">
        <v>1781</v>
      </c>
      <c r="V53" s="1">
        <f>U53/I53/X53</f>
        <v>2.4689697405706551E-14</v>
      </c>
      <c r="X53">
        <f>2^24</f>
        <v>16777216</v>
      </c>
      <c r="Z53" t="s">
        <v>180</v>
      </c>
    </row>
    <row r="54" spans="1:26">
      <c r="A54">
        <v>20140509</v>
      </c>
      <c r="B54" s="8">
        <v>0.52708333333333335</v>
      </c>
      <c r="C54" s="8">
        <v>0.52847222222222223</v>
      </c>
      <c r="D54">
        <v>145594</v>
      </c>
      <c r="E54">
        <v>12059</v>
      </c>
      <c r="F54" s="4">
        <f>E54/100</f>
        <v>120.59</v>
      </c>
      <c r="G54">
        <v>11</v>
      </c>
      <c r="H54" s="1">
        <v>78500</v>
      </c>
      <c r="I54" s="12">
        <f>H54*D54</f>
        <v>11429129000</v>
      </c>
      <c r="J54" s="11">
        <f>I54/F54</f>
        <v>94776755.949912921</v>
      </c>
      <c r="K54">
        <v>6.4560599999999996E-8</v>
      </c>
      <c r="L54" s="14">
        <f>K54*I54/1000</f>
        <v>0.73787142571739994</v>
      </c>
      <c r="M54" t="s">
        <v>160</v>
      </c>
      <c r="N54">
        <v>1050</v>
      </c>
      <c r="R54">
        <v>1120</v>
      </c>
      <c r="S54">
        <v>1131</v>
      </c>
      <c r="T54">
        <v>1137</v>
      </c>
      <c r="U54">
        <v>4438</v>
      </c>
      <c r="V54" s="1">
        <f>U54/I54/X54</f>
        <v>2.3144844503302359E-14</v>
      </c>
      <c r="X54">
        <f>2^24</f>
        <v>16777216</v>
      </c>
      <c r="Z54" t="s">
        <v>181</v>
      </c>
    </row>
    <row r="55" spans="1:26">
      <c r="A55">
        <v>20140509</v>
      </c>
      <c r="B55" s="8">
        <v>0.52986111111111112</v>
      </c>
      <c r="C55" s="8">
        <v>0.53055555555555556</v>
      </c>
      <c r="D55">
        <v>73707</v>
      </c>
      <c r="E55">
        <v>6091</v>
      </c>
      <c r="F55" s="4">
        <f>E55/100</f>
        <v>60.91</v>
      </c>
      <c r="G55">
        <v>11</v>
      </c>
      <c r="H55" s="1">
        <v>78500</v>
      </c>
      <c r="I55" s="12">
        <f>H55*D55</f>
        <v>5785999500</v>
      </c>
      <c r="J55" s="11">
        <f>I55/F55</f>
        <v>94992603.841733709</v>
      </c>
      <c r="K55">
        <v>6.4560599999999996E-8</v>
      </c>
      <c r="L55" s="14">
        <f>K55*I55/1000</f>
        <v>0.3735475993197</v>
      </c>
      <c r="M55" t="s">
        <v>161</v>
      </c>
      <c r="N55">
        <v>575</v>
      </c>
      <c r="R55">
        <v>528</v>
      </c>
      <c r="S55">
        <v>600</v>
      </c>
      <c r="T55">
        <v>547</v>
      </c>
      <c r="U55">
        <v>2250</v>
      </c>
      <c r="V55" s="1">
        <f>U55/I55/X55</f>
        <v>2.3178441468000282E-14</v>
      </c>
      <c r="X55">
        <f>2^24</f>
        <v>16777216</v>
      </c>
      <c r="Z55" t="s">
        <v>181</v>
      </c>
    </row>
    <row r="56" spans="1:26">
      <c r="A56">
        <v>20140509</v>
      </c>
      <c r="B56" s="8">
        <v>0.53194444444444444</v>
      </c>
      <c r="C56" s="8">
        <v>0.53402777777777777</v>
      </c>
      <c r="D56">
        <v>45982</v>
      </c>
      <c r="E56">
        <v>15032</v>
      </c>
      <c r="F56" s="4">
        <f>E56/100</f>
        <v>150.32</v>
      </c>
      <c r="G56">
        <v>11</v>
      </c>
      <c r="H56" s="1">
        <v>78500</v>
      </c>
      <c r="I56" s="12">
        <f>H56*D56</f>
        <v>3609587000</v>
      </c>
      <c r="J56" s="11">
        <f>I56/F56</f>
        <v>24012686.269292179</v>
      </c>
      <c r="K56">
        <v>6.4560599999999996E-8</v>
      </c>
      <c r="L56" s="14">
        <f>K56*I56/1000</f>
        <v>0.2330371024722</v>
      </c>
      <c r="M56" t="s">
        <v>162</v>
      </c>
      <c r="N56">
        <v>327</v>
      </c>
      <c r="R56">
        <v>365</v>
      </c>
      <c r="S56">
        <v>334</v>
      </c>
      <c r="T56">
        <v>346</v>
      </c>
      <c r="U56">
        <v>1372</v>
      </c>
      <c r="V56" s="1">
        <f>U56/I56/X56</f>
        <v>2.2655659118850977E-14</v>
      </c>
      <c r="X56">
        <f>2^24</f>
        <v>16777216</v>
      </c>
      <c r="Z56" t="s">
        <v>182</v>
      </c>
    </row>
    <row r="59" spans="1:26">
      <c r="A59" t="s">
        <v>163</v>
      </c>
    </row>
    <row r="61" spans="1:26">
      <c r="A61">
        <v>20140509</v>
      </c>
      <c r="B61" s="8">
        <v>0.61527777777777781</v>
      </c>
      <c r="D61">
        <v>236159</v>
      </c>
      <c r="E61">
        <v>20007</v>
      </c>
      <c r="F61" s="4">
        <f>E61/100</f>
        <v>200.07</v>
      </c>
      <c r="G61">
        <v>11</v>
      </c>
      <c r="H61" s="1">
        <v>78500</v>
      </c>
      <c r="I61" s="12">
        <f>H61*D61</f>
        <v>18538481500</v>
      </c>
      <c r="J61" s="11">
        <f>I61/F61</f>
        <v>92659976.508222118</v>
      </c>
      <c r="K61">
        <v>6.4560599999999996E-8</v>
      </c>
      <c r="L61" s="14">
        <f>K61*I61/1000</f>
        <v>1.1968554887288998</v>
      </c>
      <c r="M61" t="s">
        <v>178</v>
      </c>
      <c r="S61" t="s">
        <v>164</v>
      </c>
    </row>
    <row r="62" spans="1:26">
      <c r="D62">
        <v>501203</v>
      </c>
      <c r="F62" s="4">
        <f>E62/100</f>
        <v>0</v>
      </c>
      <c r="G62">
        <v>11</v>
      </c>
      <c r="H62" s="1">
        <v>78500</v>
      </c>
      <c r="I62" s="12">
        <f>H62*D62</f>
        <v>39344435500</v>
      </c>
      <c r="J62" s="11" t="e">
        <f>I62/F62</f>
        <v>#DIV/0!</v>
      </c>
      <c r="K62">
        <v>6.4560599999999996E-8</v>
      </c>
      <c r="L62" s="14">
        <f>K62*I62/1000</f>
        <v>2.5401003625412999</v>
      </c>
      <c r="S62" t="s">
        <v>165</v>
      </c>
    </row>
    <row r="63" spans="1:26">
      <c r="D63">
        <v>749227</v>
      </c>
      <c r="G63">
        <v>11</v>
      </c>
      <c r="H63" s="1">
        <v>78500</v>
      </c>
      <c r="I63" s="12">
        <f>H63*D63</f>
        <v>58814319500</v>
      </c>
      <c r="J63" s="11" t="e">
        <f>I63/F63</f>
        <v>#DIV/0!</v>
      </c>
      <c r="K63">
        <v>6.4560599999999996E-8</v>
      </c>
      <c r="L63" s="14">
        <f>K63*I63/1000</f>
        <v>3.7970877555116997</v>
      </c>
      <c r="S63" t="s">
        <v>166</v>
      </c>
    </row>
    <row r="64" spans="1:26">
      <c r="S64" t="s">
        <v>167</v>
      </c>
    </row>
    <row r="65" spans="2:18">
      <c r="I65" s="12"/>
      <c r="K65" s="1"/>
      <c r="L65" s="12"/>
      <c r="M65" s="1"/>
      <c r="N65" s="1"/>
      <c r="O65" s="1"/>
      <c r="P65" s="1"/>
      <c r="Q65" s="1"/>
      <c r="R65" s="1"/>
    </row>
    <row r="69" spans="2:18">
      <c r="B69" s="1"/>
      <c r="G69" s="1"/>
      <c r="H69" s="1"/>
      <c r="J69" s="7"/>
    </row>
    <row r="72" spans="2:18">
      <c r="B72">
        <v>2</v>
      </c>
      <c r="I72" s="12">
        <v>2E-14</v>
      </c>
      <c r="J72">
        <v>10000</v>
      </c>
      <c r="K72" s="1">
        <v>100000000</v>
      </c>
      <c r="L72" s="12">
        <f>K72*J72*I72</f>
        <v>0.02</v>
      </c>
      <c r="M72" s="1">
        <f>1/L72</f>
        <v>50</v>
      </c>
    </row>
    <row r="73" spans="2:18">
      <c r="B73">
        <v>5</v>
      </c>
    </row>
    <row r="74" spans="2:18">
      <c r="B74">
        <v>5</v>
      </c>
    </row>
    <row r="75" spans="2:18">
      <c r="E75" t="s">
        <v>89</v>
      </c>
      <c r="F75" t="s">
        <v>90</v>
      </c>
      <c r="G75" t="s">
        <v>91</v>
      </c>
      <c r="H75" t="s">
        <v>92</v>
      </c>
      <c r="I75" s="13" t="s">
        <v>93</v>
      </c>
    </row>
    <row r="76" spans="2:18">
      <c r="B76" s="1"/>
      <c r="E76">
        <v>19453</v>
      </c>
      <c r="F76">
        <v>128</v>
      </c>
      <c r="G76" s="1">
        <v>20000000</v>
      </c>
      <c r="H76" s="1">
        <f>1/G76</f>
        <v>4.9999999999999998E-8</v>
      </c>
      <c r="I76" s="13">
        <v>0.12</v>
      </c>
      <c r="J76" s="7">
        <f>E76*F76*H76</f>
        <v>0.12449919999999999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3:H27"/>
  <sheetViews>
    <sheetView showRuler="0" workbookViewId="0">
      <selection activeCell="B39" sqref="B39"/>
    </sheetView>
  </sheetViews>
  <sheetFormatPr defaultColWidth="11" defaultRowHeight="15.75"/>
  <cols>
    <col min="2" max="2" width="26.125" bestFit="1" customWidth="1"/>
    <col min="3" max="4" width="13" bestFit="1" customWidth="1"/>
  </cols>
  <sheetData>
    <row r="3" spans="1:6">
      <c r="B3" t="s">
        <v>96</v>
      </c>
      <c r="C3">
        <v>1</v>
      </c>
      <c r="D3" t="s">
        <v>95</v>
      </c>
      <c r="E3" s="1">
        <v>1.602E-19</v>
      </c>
      <c r="F3" t="s">
        <v>94</v>
      </c>
    </row>
    <row r="8" spans="1:6">
      <c r="A8" t="s">
        <v>97</v>
      </c>
    </row>
    <row r="10" spans="1:6">
      <c r="A10" t="s">
        <v>44</v>
      </c>
      <c r="B10" t="s">
        <v>101</v>
      </c>
      <c r="C10" t="s">
        <v>102</v>
      </c>
      <c r="D10" s="9" t="s">
        <v>103</v>
      </c>
    </row>
    <row r="12" spans="1:6">
      <c r="A12" t="s">
        <v>104</v>
      </c>
      <c r="B12" t="s">
        <v>105</v>
      </c>
      <c r="C12" s="1">
        <f>1.602E-19*1000000*100/(0.000001*1000)</f>
        <v>1.6020000000000001E-8</v>
      </c>
      <c r="D12" t="s">
        <v>106</v>
      </c>
    </row>
    <row r="16" spans="1:6">
      <c r="C16" s="1">
        <f>1/C12</f>
        <v>62421972.534332082</v>
      </c>
    </row>
    <row r="18" spans="2:8">
      <c r="C18" s="17">
        <v>41702</v>
      </c>
      <c r="D18" s="17">
        <v>41702</v>
      </c>
      <c r="G18" t="s">
        <v>60</v>
      </c>
    </row>
    <row r="21" spans="2:8">
      <c r="C21">
        <v>3.89</v>
      </c>
      <c r="D21" s="9" t="s">
        <v>184</v>
      </c>
    </row>
    <row r="22" spans="2:8">
      <c r="B22" s="17">
        <v>41702</v>
      </c>
    </row>
    <row r="23" spans="2:8">
      <c r="F23" t="s">
        <v>185</v>
      </c>
      <c r="G23">
        <f>10^-3</f>
        <v>1E-3</v>
      </c>
      <c r="H23" t="s">
        <v>186</v>
      </c>
    </row>
    <row r="24" spans="2:8">
      <c r="C24" s="7">
        <v>4.03</v>
      </c>
      <c r="D24" s="1">
        <f>C24*C12</f>
        <v>6.456060000000001E-8</v>
      </c>
    </row>
    <row r="27" spans="2:8">
      <c r="D27" s="1">
        <f>C12*C21</f>
        <v>6.2317800000000005E-8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Preliminary results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Inge Nikolai</cp:lastModifiedBy>
  <dcterms:created xsi:type="dcterms:W3CDTF">2014-04-27T19:18:26Z</dcterms:created>
  <dcterms:modified xsi:type="dcterms:W3CDTF">2014-05-21T15:14:11Z</dcterms:modified>
</cp:coreProperties>
</file>