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3480" tabRatio="500" firstSheet="1" activeTab="4"/>
  </bookViews>
  <sheets>
    <sheet name="Beam profile 14-15 nov" sheetId="1" r:id="rId1"/>
    <sheet name="Beamtest 15 nov" sheetId="2" r:id="rId2"/>
    <sheet name="Fluka" sheetId="3" r:id="rId3"/>
    <sheet name="Beam profile 27-28 nov" sheetId="4" r:id="rId4"/>
    <sheet name="Beamtest 27 nov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6" l="1"/>
  <c r="G34" i="6"/>
  <c r="H34" i="6"/>
  <c r="G32" i="6"/>
  <c r="F32" i="6"/>
  <c r="G80" i="4"/>
  <c r="G79" i="4"/>
  <c r="G78" i="4"/>
  <c r="O73" i="4"/>
  <c r="I76" i="4"/>
  <c r="I75" i="4"/>
  <c r="J73" i="4"/>
  <c r="J69" i="4"/>
  <c r="F69" i="4"/>
  <c r="G69" i="4"/>
  <c r="E69" i="4"/>
  <c r="L69" i="4"/>
  <c r="L68" i="4"/>
  <c r="J68" i="4"/>
  <c r="F68" i="4"/>
  <c r="G68" i="4"/>
  <c r="E68" i="4"/>
  <c r="F67" i="4"/>
  <c r="G67" i="4"/>
  <c r="E67" i="4"/>
  <c r="J67" i="4"/>
  <c r="L67" i="4"/>
  <c r="L66" i="4"/>
  <c r="J66" i="4"/>
  <c r="G66" i="4"/>
  <c r="F66" i="4"/>
  <c r="E66" i="4"/>
  <c r="I13" i="6"/>
  <c r="F26" i="6"/>
  <c r="H26" i="6"/>
  <c r="I26" i="6"/>
  <c r="J26" i="6"/>
  <c r="M26" i="6"/>
  <c r="K26" i="6"/>
  <c r="L26" i="6"/>
  <c r="F25" i="6"/>
  <c r="H25" i="6"/>
  <c r="I25" i="6"/>
  <c r="J25" i="6"/>
  <c r="M25" i="6"/>
  <c r="K25" i="6"/>
  <c r="L25" i="6"/>
  <c r="F24" i="6"/>
  <c r="H24" i="6"/>
  <c r="I24" i="6"/>
  <c r="J24" i="6"/>
  <c r="M24" i="6"/>
  <c r="K24" i="6"/>
  <c r="L24" i="6"/>
  <c r="F23" i="6"/>
  <c r="H23" i="6"/>
  <c r="I23" i="6"/>
  <c r="J23" i="6"/>
  <c r="M23" i="6"/>
  <c r="K23" i="6"/>
  <c r="L23" i="6"/>
  <c r="F22" i="6"/>
  <c r="H22" i="6"/>
  <c r="I22" i="6"/>
  <c r="J22" i="6"/>
  <c r="M22" i="6"/>
  <c r="K22" i="6"/>
  <c r="L22" i="6"/>
  <c r="F21" i="6"/>
  <c r="H21" i="6"/>
  <c r="I21" i="6"/>
  <c r="J21" i="6"/>
  <c r="M21" i="6"/>
  <c r="K21" i="6"/>
  <c r="L21" i="6"/>
  <c r="F17" i="6"/>
  <c r="H17" i="6"/>
  <c r="I17" i="6"/>
  <c r="J17" i="6"/>
  <c r="M17" i="6"/>
  <c r="K17" i="6"/>
  <c r="L17" i="6"/>
  <c r="I2" i="6"/>
  <c r="F61" i="4"/>
  <c r="F60" i="4"/>
  <c r="F59" i="4"/>
  <c r="G56" i="4"/>
  <c r="F56" i="4"/>
  <c r="E56" i="4"/>
  <c r="L56" i="4"/>
  <c r="J56" i="4"/>
  <c r="L55" i="4"/>
  <c r="J55" i="4"/>
  <c r="G55" i="4"/>
  <c r="F55" i="4"/>
  <c r="E55" i="4"/>
  <c r="L54" i="4"/>
  <c r="J54" i="4"/>
  <c r="G54" i="4"/>
  <c r="F54" i="4"/>
  <c r="E54" i="4"/>
  <c r="E51" i="4"/>
  <c r="F51" i="4"/>
  <c r="G51" i="4"/>
  <c r="J51" i="4"/>
  <c r="L51" i="4"/>
  <c r="E50" i="4"/>
  <c r="F50" i="4"/>
  <c r="G50" i="4"/>
  <c r="J50" i="4"/>
  <c r="L50" i="4"/>
  <c r="E49" i="4"/>
  <c r="F49" i="4"/>
  <c r="G49" i="4"/>
  <c r="J49" i="4"/>
  <c r="L49" i="4"/>
  <c r="E48" i="4"/>
  <c r="F48" i="4"/>
  <c r="G48" i="4"/>
  <c r="J48" i="4"/>
  <c r="L48" i="4"/>
  <c r="E47" i="4"/>
  <c r="F47" i="4"/>
  <c r="G47" i="4"/>
  <c r="J47" i="4"/>
  <c r="L47" i="4"/>
  <c r="E46" i="4"/>
  <c r="F46" i="4"/>
  <c r="G46" i="4"/>
  <c r="J46" i="4"/>
  <c r="L46" i="4"/>
  <c r="E45" i="4"/>
  <c r="F45" i="4"/>
  <c r="G45" i="4"/>
  <c r="J45" i="4"/>
  <c r="L45" i="4"/>
  <c r="E44" i="4"/>
  <c r="F44" i="4"/>
  <c r="G44" i="4"/>
  <c r="J44" i="4"/>
  <c r="L44" i="4"/>
  <c r="E43" i="4"/>
  <c r="F43" i="4"/>
  <c r="G43" i="4"/>
  <c r="J43" i="4"/>
  <c r="L43" i="4"/>
  <c r="E42" i="4"/>
  <c r="F42" i="4"/>
  <c r="G42" i="4"/>
  <c r="J42" i="4"/>
  <c r="L42" i="4"/>
  <c r="E41" i="4"/>
  <c r="F41" i="4"/>
  <c r="G41" i="4"/>
  <c r="J41" i="4"/>
  <c r="L41" i="4"/>
  <c r="E40" i="4"/>
  <c r="F40" i="4"/>
  <c r="G40" i="4"/>
  <c r="J40" i="4"/>
  <c r="L40" i="4"/>
  <c r="L39" i="4"/>
  <c r="J39" i="4"/>
  <c r="G39" i="4"/>
  <c r="F39" i="4"/>
  <c r="E39" i="4"/>
  <c r="L38" i="4"/>
  <c r="G38" i="4"/>
  <c r="F38" i="4"/>
  <c r="E38" i="4"/>
  <c r="J38" i="4"/>
  <c r="L37" i="4"/>
  <c r="J37" i="4"/>
  <c r="G37" i="4"/>
  <c r="F37" i="4"/>
  <c r="E37" i="4"/>
  <c r="J36" i="4"/>
  <c r="L36" i="4"/>
  <c r="G36" i="4"/>
  <c r="F36" i="4"/>
  <c r="E36" i="4"/>
  <c r="F8" i="6"/>
  <c r="H8" i="6"/>
  <c r="I8" i="6"/>
  <c r="J8" i="6"/>
  <c r="M8" i="6"/>
  <c r="K8" i="6"/>
  <c r="L8" i="6"/>
  <c r="F5" i="6"/>
  <c r="H5" i="6"/>
  <c r="I5" i="6"/>
  <c r="J5" i="6"/>
  <c r="H2" i="2"/>
  <c r="D15" i="3"/>
  <c r="M5" i="6"/>
  <c r="K5" i="6"/>
  <c r="L5" i="6"/>
  <c r="T4" i="6"/>
  <c r="U4" i="6"/>
  <c r="F31" i="4"/>
  <c r="F30" i="4"/>
  <c r="F29" i="4"/>
  <c r="E27" i="4"/>
  <c r="F27" i="4"/>
  <c r="G27" i="4"/>
  <c r="J27" i="4"/>
  <c r="L27" i="4"/>
  <c r="E26" i="4"/>
  <c r="E25" i="4"/>
  <c r="F26" i="4"/>
  <c r="G26" i="4"/>
  <c r="J26" i="4"/>
  <c r="L26" i="4"/>
  <c r="F25" i="4"/>
  <c r="G25" i="4"/>
  <c r="J25" i="4"/>
  <c r="L25" i="4"/>
  <c r="E24" i="4"/>
  <c r="F24" i="4"/>
  <c r="G24" i="4"/>
  <c r="J24" i="4"/>
  <c r="L24" i="4"/>
  <c r="L23" i="4"/>
  <c r="J23" i="4"/>
  <c r="G23" i="4"/>
  <c r="F23" i="4"/>
  <c r="E23" i="4"/>
  <c r="L22" i="4"/>
  <c r="G22" i="4"/>
  <c r="G21" i="4"/>
  <c r="F22" i="4"/>
  <c r="E22" i="4"/>
  <c r="J22" i="4"/>
  <c r="L21" i="4"/>
  <c r="J21" i="4"/>
  <c r="F21" i="4"/>
  <c r="E21" i="4"/>
  <c r="E20" i="4"/>
  <c r="X17" i="4"/>
  <c r="F20" i="4"/>
  <c r="G20" i="4"/>
  <c r="U17" i="4"/>
  <c r="V17" i="4"/>
  <c r="W17" i="4"/>
  <c r="J20" i="4"/>
  <c r="L20" i="4"/>
  <c r="E16" i="4"/>
  <c r="X16" i="4"/>
  <c r="F16" i="4"/>
  <c r="G16" i="4"/>
  <c r="U16" i="4"/>
  <c r="V16" i="4"/>
  <c r="W16" i="4"/>
  <c r="J16" i="4"/>
  <c r="L16" i="4"/>
  <c r="E15" i="4"/>
  <c r="F15" i="4"/>
  <c r="G15" i="4"/>
  <c r="J15" i="4"/>
  <c r="L15" i="4"/>
  <c r="E14" i="4"/>
  <c r="F14" i="4"/>
  <c r="G14" i="4"/>
  <c r="J14" i="4"/>
  <c r="L14" i="4"/>
  <c r="E13" i="4"/>
  <c r="F13" i="4"/>
  <c r="G13" i="4"/>
  <c r="J13" i="4"/>
  <c r="L13" i="4"/>
  <c r="E12" i="4"/>
  <c r="F12" i="4"/>
  <c r="G12" i="4"/>
  <c r="J12" i="4"/>
  <c r="L12" i="4"/>
  <c r="E11" i="4"/>
  <c r="F11" i="4"/>
  <c r="G11" i="4"/>
  <c r="J11" i="4"/>
  <c r="L11" i="4"/>
  <c r="F10" i="4"/>
  <c r="E10" i="4"/>
  <c r="G10" i="4"/>
  <c r="J10" i="4"/>
  <c r="L10" i="4"/>
  <c r="F9" i="4"/>
  <c r="E9" i="4"/>
  <c r="G9" i="4"/>
  <c r="J9" i="4"/>
  <c r="L9" i="4"/>
  <c r="E8" i="4"/>
  <c r="J8" i="4"/>
  <c r="L8" i="4"/>
  <c r="L7" i="4"/>
  <c r="F8" i="4"/>
  <c r="F6" i="4"/>
  <c r="L6" i="4"/>
  <c r="J6" i="4"/>
  <c r="J7" i="4"/>
  <c r="G8" i="4"/>
  <c r="G7" i="4"/>
  <c r="F7" i="4"/>
  <c r="E7" i="4"/>
  <c r="G6" i="4"/>
  <c r="E6" i="4"/>
  <c r="L5" i="4"/>
  <c r="G5" i="4"/>
  <c r="F5" i="4"/>
  <c r="E5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L4" i="4"/>
  <c r="G4" i="4"/>
  <c r="F4" i="4"/>
  <c r="E4" i="4"/>
  <c r="D7" i="3"/>
  <c r="V4" i="1"/>
  <c r="U4" i="1"/>
  <c r="T4" i="1"/>
  <c r="S4" i="1"/>
  <c r="V5" i="1"/>
  <c r="U5" i="1"/>
  <c r="T5" i="1"/>
  <c r="S5" i="1"/>
  <c r="V6" i="1"/>
  <c r="U6" i="1"/>
  <c r="T6" i="1"/>
  <c r="S6" i="1"/>
  <c r="V7" i="1"/>
  <c r="U7" i="1"/>
  <c r="T7" i="1"/>
  <c r="S7" i="1"/>
  <c r="V8" i="1"/>
  <c r="U8" i="1"/>
  <c r="T8" i="1"/>
  <c r="S8" i="1"/>
  <c r="V9" i="1"/>
  <c r="U9" i="1"/>
  <c r="T9" i="1"/>
  <c r="S9" i="1"/>
  <c r="V10" i="1"/>
  <c r="U10" i="1"/>
  <c r="T10" i="1"/>
  <c r="S10" i="1"/>
  <c r="V11" i="1"/>
  <c r="U11" i="1"/>
  <c r="T11" i="1"/>
  <c r="S11" i="1"/>
  <c r="V12" i="1"/>
  <c r="U12" i="1"/>
  <c r="T12" i="1"/>
  <c r="S12" i="1"/>
  <c r="V13" i="1"/>
  <c r="U13" i="1"/>
  <c r="T13" i="1"/>
  <c r="S13" i="1"/>
  <c r="V14" i="1"/>
  <c r="U14" i="1"/>
  <c r="T14" i="1"/>
  <c r="S14" i="1"/>
  <c r="V15" i="1"/>
  <c r="U15" i="1"/>
  <c r="T15" i="1"/>
  <c r="S15" i="1"/>
  <c r="V36" i="1"/>
  <c r="U36" i="1"/>
  <c r="T36" i="1"/>
  <c r="S36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E8" i="2"/>
  <c r="G8" i="2"/>
  <c r="H8" i="2"/>
  <c r="I8" i="2"/>
  <c r="L8" i="2"/>
  <c r="J8" i="2"/>
  <c r="K8" i="2"/>
  <c r="E9" i="2"/>
  <c r="G9" i="2"/>
  <c r="H9" i="2"/>
  <c r="I9" i="2"/>
  <c r="L9" i="2"/>
  <c r="J9" i="2"/>
  <c r="K9" i="2"/>
  <c r="R36" i="1"/>
  <c r="R35" i="1"/>
  <c r="R34" i="1"/>
  <c r="E7" i="2"/>
  <c r="G7" i="2"/>
  <c r="H7" i="2"/>
  <c r="I7" i="2"/>
  <c r="L7" i="2"/>
  <c r="J7" i="2"/>
  <c r="K7" i="2"/>
  <c r="Q36" i="1"/>
  <c r="Q35" i="1"/>
  <c r="Q34" i="1"/>
  <c r="E6" i="2"/>
  <c r="E5" i="2"/>
  <c r="G6" i="2"/>
  <c r="H6" i="2"/>
  <c r="I6" i="2"/>
  <c r="L6" i="2"/>
  <c r="J6" i="2"/>
  <c r="K6" i="2"/>
  <c r="G5" i="2"/>
  <c r="H5" i="2"/>
  <c r="I5" i="2"/>
  <c r="L5" i="2"/>
  <c r="J5" i="2"/>
  <c r="K5" i="2"/>
  <c r="R4" i="2"/>
  <c r="S4" i="2"/>
  <c r="F39" i="1"/>
  <c r="J36" i="1"/>
  <c r="G36" i="1"/>
  <c r="F36" i="1"/>
  <c r="V35" i="1"/>
  <c r="U35" i="1"/>
  <c r="T35" i="1"/>
  <c r="S35" i="1"/>
  <c r="J35" i="1"/>
  <c r="G35" i="1"/>
  <c r="F35" i="1"/>
  <c r="V34" i="1"/>
  <c r="U34" i="1"/>
  <c r="T34" i="1"/>
  <c r="S34" i="1"/>
  <c r="U24" i="1"/>
  <c r="V24" i="1"/>
  <c r="T24" i="1"/>
  <c r="S24" i="1"/>
  <c r="J34" i="1"/>
  <c r="G34" i="1"/>
  <c r="F34" i="1"/>
  <c r="G28" i="1"/>
  <c r="J28" i="1"/>
  <c r="F28" i="1"/>
  <c r="E28" i="1"/>
  <c r="J27" i="1"/>
  <c r="G27" i="1"/>
  <c r="F27" i="1"/>
  <c r="E27" i="1"/>
  <c r="J26" i="1"/>
  <c r="G26" i="1"/>
  <c r="F26" i="1"/>
  <c r="E26" i="1"/>
  <c r="G25" i="1"/>
  <c r="J25" i="1"/>
  <c r="F25" i="1"/>
  <c r="E25" i="1"/>
  <c r="G24" i="1"/>
  <c r="J24" i="1"/>
  <c r="F24" i="1"/>
  <c r="E24" i="1"/>
  <c r="G23" i="1"/>
  <c r="J23" i="1"/>
  <c r="F23" i="1"/>
  <c r="E23" i="1"/>
  <c r="J22" i="1"/>
  <c r="G22" i="1"/>
  <c r="F22" i="1"/>
  <c r="E22" i="1"/>
  <c r="J21" i="1"/>
  <c r="F21" i="1"/>
  <c r="E21" i="1"/>
  <c r="G21" i="1"/>
  <c r="E20" i="1"/>
  <c r="J20" i="1"/>
  <c r="F20" i="1"/>
  <c r="G20" i="1"/>
  <c r="G19" i="1"/>
  <c r="F19" i="1"/>
  <c r="E19" i="1"/>
  <c r="J19" i="1"/>
  <c r="J18" i="1"/>
  <c r="J15" i="1"/>
  <c r="J14" i="1"/>
  <c r="J13" i="1"/>
  <c r="J12" i="1"/>
  <c r="J11" i="1"/>
  <c r="J10" i="1"/>
  <c r="J9" i="1"/>
  <c r="J8" i="1"/>
  <c r="J7" i="1"/>
  <c r="J6" i="1"/>
  <c r="J5" i="1"/>
  <c r="J4" i="1"/>
  <c r="E18" i="1"/>
  <c r="G18" i="1"/>
  <c r="F18" i="1"/>
  <c r="E15" i="1"/>
  <c r="E14" i="1"/>
  <c r="E13" i="1"/>
  <c r="E12" i="1"/>
  <c r="E11" i="1"/>
  <c r="E10" i="1"/>
  <c r="E9" i="1"/>
  <c r="E8" i="1"/>
  <c r="E7" i="1"/>
  <c r="E6" i="1"/>
  <c r="E5" i="1"/>
  <c r="E4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G6" i="1"/>
  <c r="G5" i="1"/>
  <c r="G4" i="1"/>
  <c r="F7" i="1"/>
  <c r="F6" i="1"/>
  <c r="F5" i="1"/>
  <c r="F4" i="1"/>
</calcChain>
</file>

<file path=xl/sharedStrings.xml><?xml version="1.0" encoding="utf-8"?>
<sst xmlns="http://schemas.openxmlformats.org/spreadsheetml/2006/main" count="170" uniqueCount="95">
  <si>
    <t>Scint rel</t>
  </si>
  <si>
    <t>Scint low beam</t>
  </si>
  <si>
    <t>sram1</t>
  </si>
  <si>
    <t>sram2</t>
  </si>
  <si>
    <t>sram3</t>
  </si>
  <si>
    <t>sram4</t>
  </si>
  <si>
    <t>Time</t>
  </si>
  <si>
    <t>x</t>
  </si>
  <si>
    <t>y</t>
  </si>
  <si>
    <t>3.5 cm</t>
  </si>
  <si>
    <t>mA</t>
  </si>
  <si>
    <t>sram3/s</t>
  </si>
  <si>
    <t>sram3/scint rel</t>
  </si>
  <si>
    <t>sram3/scint low beam</t>
  </si>
  <si>
    <t>Possible no reset of counters in counting room</t>
  </si>
  <si>
    <t>With film on beam exit an infront of sram</t>
  </si>
  <si>
    <t>measured with external graphite faraday cup at ~3.5 cm from the beam exit point (thus minimal with ionization in the air)</t>
  </si>
  <si>
    <t>Scint beam/rel</t>
  </si>
  <si>
    <t>time</t>
  </si>
  <si>
    <t>Laser position</t>
  </si>
  <si>
    <t>Avg</t>
  </si>
  <si>
    <t>Device</t>
  </si>
  <si>
    <t>Scint conv</t>
  </si>
  <si>
    <t>A problem with the labview boxes at ~580s, Lost connection. Restarted the software and continued to run. RF lost after 800 s.Beam back at 970 s.</t>
  </si>
  <si>
    <t>TSP51200-1</t>
  </si>
  <si>
    <t>SRAM3</t>
  </si>
  <si>
    <t>Gy</t>
  </si>
  <si>
    <t>Estimated fluence at Bexit</t>
  </si>
  <si>
    <t>Estimated  fluence at DUT</t>
  </si>
  <si>
    <t>Estimated dose Gy</t>
  </si>
  <si>
    <t>Estimated dose kRad</t>
  </si>
  <si>
    <t>MIC69302-1</t>
  </si>
  <si>
    <t>Dose/scint count [Rad]</t>
  </si>
  <si>
    <t>Count Rate</t>
  </si>
  <si>
    <t>Dose Limit</t>
  </si>
  <si>
    <t>Min</t>
  </si>
  <si>
    <t>Dose/scint count [Gy]</t>
  </si>
  <si>
    <t>fcup/scint rel</t>
  </si>
  <si>
    <t>qs3v3h257</t>
  </si>
  <si>
    <t>sn74avc2t245</t>
  </si>
  <si>
    <t>SN74avcb16245-1</t>
  </si>
  <si>
    <t>Calibration</t>
  </si>
  <si>
    <t>SRAM3/SRAM1</t>
  </si>
  <si>
    <t>SRAM3/SRAM4</t>
  </si>
  <si>
    <t>SRAM3/SRAM3</t>
  </si>
  <si>
    <t>SRAM3/SRAM2</t>
  </si>
  <si>
    <t>Z[cm]</t>
  </si>
  <si>
    <t>fluence [p/cm2]</t>
  </si>
  <si>
    <t>fcup  beam exit [A]</t>
  </si>
  <si>
    <t>CS [cm2/device]</t>
  </si>
  <si>
    <t>time [s]</t>
  </si>
  <si>
    <t>Dose/primary particle at DUT</t>
  </si>
  <si>
    <t>Primary particles at DUT</t>
  </si>
  <si>
    <t>Primary particles at Beam exit</t>
  </si>
  <si>
    <t>Beam intensity reduction  at DUT</t>
  </si>
  <si>
    <t>Fluka simulation results</t>
  </si>
  <si>
    <t>Scint low was place two low. Put in correct postion</t>
  </si>
  <si>
    <t>Scint rel ctrl room</t>
  </si>
  <si>
    <t>rel/ctrl room</t>
  </si>
  <si>
    <t>Calibration with different beam current</t>
  </si>
  <si>
    <t>counts/s</t>
  </si>
  <si>
    <t>~100</t>
  </si>
  <si>
    <t>~250</t>
  </si>
  <si>
    <t>~1000</t>
  </si>
  <si>
    <t>~1400</t>
  </si>
  <si>
    <t>ADN2814-1</t>
  </si>
  <si>
    <t>Calibrering</t>
  </si>
  <si>
    <t>neutron [uS/h]</t>
  </si>
  <si>
    <t>stdv</t>
  </si>
  <si>
    <t>%</t>
  </si>
  <si>
    <t>Neutron uS/h</t>
  </si>
  <si>
    <t>Neutron beam off</t>
  </si>
  <si>
    <t>uS/h</t>
  </si>
  <si>
    <t>MAX3748</t>
  </si>
  <si>
    <t>~460</t>
  </si>
  <si>
    <t>~2000</t>
  </si>
  <si>
    <t>1200pA was measured at the end of irradiation</t>
  </si>
  <si>
    <t>~1100</t>
  </si>
  <si>
    <t>SY89831U-2</t>
  </si>
  <si>
    <t>Stopped due to wrong voltage, changed to new device</t>
  </si>
  <si>
    <t>TSP51200-2</t>
  </si>
  <si>
    <t>MIC69302-2</t>
  </si>
  <si>
    <t>~1300</t>
  </si>
  <si>
    <t>SN74avcb16245-2</t>
  </si>
  <si>
    <t>~2500</t>
  </si>
  <si>
    <t>Increased intensity during run</t>
  </si>
  <si>
    <t>sn74avc2t245-2</t>
  </si>
  <si>
    <t>~2100</t>
  </si>
  <si>
    <t>qs3v3h257-2</t>
  </si>
  <si>
    <t>Afer irr. Test</t>
  </si>
  <si>
    <t>SRAM4</t>
  </si>
  <si>
    <t>SRAM2</t>
  </si>
  <si>
    <t>SRAM1</t>
  </si>
  <si>
    <t>Measurement with collimator in front of beam low scintillator (in beam)</t>
  </si>
  <si>
    <t>Moving each SRAM in beam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</si>
</sst>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1"/>
    <xf numFmtId="11" fontId="1" fillId="2" borderId="0" xfId="1" applyNumberFormat="1"/>
    <xf numFmtId="2" fontId="1" fillId="2" borderId="0" xfId="1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1" fontId="5" fillId="0" borderId="0" xfId="0" applyNumberFormat="1" applyFont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5" borderId="0" xfId="0" applyNumberFormat="1" applyFill="1"/>
    <xf numFmtId="0" fontId="0" fillId="5" borderId="0" xfId="0" applyFill="1"/>
  </cellXfs>
  <cellStyles count="41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3" workbookViewId="0">
      <selection activeCell="F40" sqref="F40"/>
    </sheetView>
  </sheetViews>
  <sheetFormatPr baseColWidth="10" defaultRowHeight="15" x14ac:dyDescent="0"/>
  <cols>
    <col min="4" max="4" width="8.83203125" bestFit="1" customWidth="1"/>
    <col min="5" max="5" width="8.83203125" customWidth="1"/>
    <col min="6" max="6" width="13" bestFit="1" customWidth="1"/>
    <col min="7" max="7" width="19.33203125" bestFit="1" customWidth="1"/>
    <col min="8" max="8" width="8.83203125" bestFit="1" customWidth="1"/>
    <col min="9" max="9" width="13.6640625" bestFit="1" customWidth="1"/>
    <col min="10" max="10" width="13.6640625" customWidth="1"/>
    <col min="11" max="12" width="8.83203125" bestFit="1" customWidth="1"/>
    <col min="13" max="13" width="11.1640625" bestFit="1" customWidth="1"/>
    <col min="15" max="15" width="16.5" bestFit="1" customWidth="1"/>
    <col min="17" max="17" width="14.1640625" bestFit="1" customWidth="1"/>
    <col min="18" max="18" width="12" bestFit="1" customWidth="1"/>
    <col min="19" max="22" width="13.83203125" bestFit="1" customWidth="1"/>
  </cols>
  <sheetData>
    <row r="1" spans="1:24">
      <c r="A1" s="12">
        <v>14112013</v>
      </c>
      <c r="O1" t="s">
        <v>9</v>
      </c>
      <c r="Q1" t="s">
        <v>10</v>
      </c>
    </row>
    <row r="2" spans="1:24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0</v>
      </c>
      <c r="I2" s="1" t="s">
        <v>1</v>
      </c>
      <c r="J2" s="1" t="s">
        <v>17</v>
      </c>
      <c r="K2" t="s">
        <v>2</v>
      </c>
      <c r="L2" t="s">
        <v>3</v>
      </c>
      <c r="M2" t="s">
        <v>4</v>
      </c>
      <c r="N2" t="s">
        <v>5</v>
      </c>
      <c r="O2" t="s">
        <v>48</v>
      </c>
      <c r="P2" t="s">
        <v>46</v>
      </c>
    </row>
    <row r="3" spans="1:24">
      <c r="A3">
        <v>1</v>
      </c>
      <c r="O3" s="1">
        <v>5.0000000000000002E-11</v>
      </c>
      <c r="S3" t="s">
        <v>42</v>
      </c>
      <c r="T3" t="s">
        <v>45</v>
      </c>
      <c r="U3" t="s">
        <v>44</v>
      </c>
      <c r="V3" t="s">
        <v>43</v>
      </c>
    </row>
    <row r="4" spans="1:24">
      <c r="A4">
        <v>2</v>
      </c>
      <c r="B4">
        <v>0</v>
      </c>
      <c r="C4">
        <v>0</v>
      </c>
      <c r="D4">
        <v>250</v>
      </c>
      <c r="E4">
        <f t="shared" ref="E4:E15" si="0">M4/D4</f>
        <v>7.8840000000000003</v>
      </c>
      <c r="F4" s="1">
        <f t="shared" ref="F4:F15" si="1">M4/H4</f>
        <v>8.2769915592323523E-2</v>
      </c>
      <c r="G4" s="1">
        <f t="shared" ref="G4:G15" si="2">M4/I4</f>
        <v>1.9135922330097086E-4</v>
      </c>
      <c r="H4" s="2">
        <v>23813</v>
      </c>
      <c r="I4" s="1">
        <v>10300000</v>
      </c>
      <c r="J4" s="2">
        <f t="shared" ref="J4:J15" si="3">I4/H4</f>
        <v>432.53684961995549</v>
      </c>
      <c r="K4">
        <v>250</v>
      </c>
      <c r="L4">
        <v>174</v>
      </c>
      <c r="M4">
        <v>1971</v>
      </c>
      <c r="N4">
        <v>1580</v>
      </c>
      <c r="S4" s="2">
        <f t="shared" ref="S4:S15" si="4">M4/K4</f>
        <v>7.8840000000000003</v>
      </c>
      <c r="T4" s="2">
        <f t="shared" ref="T4:T15" si="5">M4/L4</f>
        <v>11.327586206896552</v>
      </c>
      <c r="U4" s="2">
        <f t="shared" ref="U4:U15" si="6">M4/M4</f>
        <v>1</v>
      </c>
      <c r="V4" s="2">
        <f t="shared" ref="V4:V15" si="7">M4/N4</f>
        <v>1.2474683544303797</v>
      </c>
      <c r="X4" t="s">
        <v>16</v>
      </c>
    </row>
    <row r="5" spans="1:24">
      <c r="A5">
        <v>3</v>
      </c>
      <c r="B5">
        <v>0</v>
      </c>
      <c r="C5">
        <v>-0.5</v>
      </c>
      <c r="D5" s="3">
        <v>229</v>
      </c>
      <c r="E5">
        <f t="shared" si="0"/>
        <v>16.886462882096069</v>
      </c>
      <c r="F5" s="1">
        <f t="shared" si="1"/>
        <v>0.10195096229897178</v>
      </c>
      <c r="G5" s="1">
        <f t="shared" si="2"/>
        <v>2.3295180722891567E-4</v>
      </c>
      <c r="H5" s="2">
        <v>37930</v>
      </c>
      <c r="I5" s="1">
        <v>16600000</v>
      </c>
      <c r="J5" s="2">
        <f t="shared" si="3"/>
        <v>437.64829949907727</v>
      </c>
      <c r="K5" s="3">
        <v>483</v>
      </c>
      <c r="L5" s="3">
        <v>228</v>
      </c>
      <c r="M5" s="3">
        <v>3867</v>
      </c>
      <c r="N5" s="3">
        <v>2008</v>
      </c>
      <c r="S5" s="2">
        <f t="shared" si="4"/>
        <v>8.0062111801242235</v>
      </c>
      <c r="T5" s="2">
        <f t="shared" si="5"/>
        <v>16.960526315789473</v>
      </c>
      <c r="U5" s="2">
        <f t="shared" si="6"/>
        <v>1</v>
      </c>
      <c r="V5" s="2">
        <f t="shared" si="7"/>
        <v>1.9257968127490039</v>
      </c>
    </row>
    <row r="6" spans="1:24">
      <c r="B6">
        <v>0</v>
      </c>
      <c r="C6">
        <v>-1</v>
      </c>
      <c r="D6">
        <v>140</v>
      </c>
      <c r="E6">
        <f t="shared" si="0"/>
        <v>20.12142857142857</v>
      </c>
      <c r="F6" s="1">
        <f t="shared" si="1"/>
        <v>0.10233588840047952</v>
      </c>
      <c r="G6" s="1">
        <f t="shared" si="2"/>
        <v>2.3474999999999999E-4</v>
      </c>
      <c r="H6" s="2">
        <v>27527</v>
      </c>
      <c r="I6" s="1">
        <v>12000000</v>
      </c>
      <c r="J6" s="2">
        <f t="shared" si="3"/>
        <v>435.93562683910341</v>
      </c>
      <c r="K6">
        <v>331</v>
      </c>
      <c r="L6">
        <v>121</v>
      </c>
      <c r="M6">
        <v>2817</v>
      </c>
      <c r="N6">
        <v>973</v>
      </c>
      <c r="S6" s="2">
        <f t="shared" si="4"/>
        <v>8.5105740181268885</v>
      </c>
      <c r="T6" s="2">
        <f t="shared" si="5"/>
        <v>23.280991735537189</v>
      </c>
      <c r="U6" s="2">
        <f t="shared" si="6"/>
        <v>1</v>
      </c>
      <c r="V6" s="2">
        <f t="shared" si="7"/>
        <v>2.895169578622816</v>
      </c>
    </row>
    <row r="7" spans="1:24">
      <c r="B7">
        <v>0</v>
      </c>
      <c r="C7">
        <v>-1.5</v>
      </c>
      <c r="D7">
        <v>155</v>
      </c>
      <c r="E7">
        <f t="shared" si="0"/>
        <v>21.677419354838708</v>
      </c>
      <c r="F7" s="1">
        <f t="shared" si="1"/>
        <v>9.7637520704384972E-2</v>
      </c>
      <c r="G7" s="1">
        <f t="shared" si="2"/>
        <v>2.24E-4</v>
      </c>
      <c r="H7" s="2">
        <v>34413</v>
      </c>
      <c r="I7" s="1">
        <v>15000000</v>
      </c>
      <c r="J7" s="2">
        <f t="shared" si="3"/>
        <v>435.88178885886146</v>
      </c>
      <c r="K7">
        <v>441</v>
      </c>
      <c r="L7">
        <v>122</v>
      </c>
      <c r="M7">
        <v>3360</v>
      </c>
      <c r="N7">
        <v>762</v>
      </c>
      <c r="S7" s="2">
        <f t="shared" si="4"/>
        <v>7.6190476190476186</v>
      </c>
      <c r="T7" s="2">
        <f t="shared" si="5"/>
        <v>27.540983606557376</v>
      </c>
      <c r="U7" s="2">
        <f t="shared" si="6"/>
        <v>1</v>
      </c>
      <c r="V7" s="2">
        <f t="shared" si="7"/>
        <v>4.409448818897638</v>
      </c>
    </row>
    <row r="8" spans="1:24">
      <c r="B8">
        <v>0</v>
      </c>
      <c r="C8">
        <v>-2</v>
      </c>
      <c r="D8">
        <v>155</v>
      </c>
      <c r="E8">
        <f t="shared" si="0"/>
        <v>17.825806451612902</v>
      </c>
      <c r="F8" s="1">
        <f t="shared" si="1"/>
        <v>8.4461834744596953E-2</v>
      </c>
      <c r="G8" s="1">
        <f t="shared" si="2"/>
        <v>1.9321678321678322E-4</v>
      </c>
      <c r="H8" s="2">
        <v>32713</v>
      </c>
      <c r="I8" s="1">
        <v>14300000</v>
      </c>
      <c r="J8" s="2">
        <f t="shared" si="3"/>
        <v>437.13508391159479</v>
      </c>
      <c r="K8">
        <v>327</v>
      </c>
      <c r="L8">
        <v>88</v>
      </c>
      <c r="M8">
        <v>2763</v>
      </c>
      <c r="N8">
        <v>426</v>
      </c>
      <c r="S8" s="2">
        <f t="shared" si="4"/>
        <v>8.4495412844036704</v>
      </c>
      <c r="T8" s="2">
        <f t="shared" si="5"/>
        <v>31.397727272727273</v>
      </c>
      <c r="U8" s="2">
        <f t="shared" si="6"/>
        <v>1</v>
      </c>
      <c r="V8" s="2">
        <f t="shared" si="7"/>
        <v>6.4859154929577461</v>
      </c>
    </row>
    <row r="9" spans="1:24">
      <c r="B9">
        <v>0.5</v>
      </c>
      <c r="C9">
        <v>0</v>
      </c>
      <c r="D9">
        <v>158</v>
      </c>
      <c r="E9">
        <f t="shared" si="0"/>
        <v>17.145569620253166</v>
      </c>
      <c r="F9" s="1">
        <f t="shared" si="1"/>
        <v>6.9904265476221195E-2</v>
      </c>
      <c r="G9" s="1">
        <f t="shared" si="2"/>
        <v>1.6124999999999999E-4</v>
      </c>
      <c r="H9" s="2">
        <v>38753</v>
      </c>
      <c r="I9" s="1">
        <v>16800000</v>
      </c>
      <c r="J9" s="2">
        <f t="shared" si="3"/>
        <v>433.51482465873607</v>
      </c>
      <c r="K9">
        <v>265</v>
      </c>
      <c r="L9">
        <v>195</v>
      </c>
      <c r="M9">
        <v>2709</v>
      </c>
      <c r="N9">
        <v>2169</v>
      </c>
      <c r="S9" s="2">
        <f t="shared" si="4"/>
        <v>10.222641509433963</v>
      </c>
      <c r="T9" s="2">
        <f t="shared" si="5"/>
        <v>13.892307692307693</v>
      </c>
      <c r="U9" s="2">
        <f t="shared" si="6"/>
        <v>1</v>
      </c>
      <c r="V9" s="2">
        <f t="shared" si="7"/>
        <v>1.2489626556016598</v>
      </c>
    </row>
    <row r="10" spans="1:24">
      <c r="B10">
        <v>-0.5</v>
      </c>
      <c r="C10">
        <v>0</v>
      </c>
      <c r="D10">
        <v>106</v>
      </c>
      <c r="E10">
        <f t="shared" si="0"/>
        <v>23.424528301886792</v>
      </c>
      <c r="F10" s="1">
        <f t="shared" si="1"/>
        <v>0.1060204953031597</v>
      </c>
      <c r="G10" s="1">
        <f t="shared" si="2"/>
        <v>2.3875E-4</v>
      </c>
      <c r="H10" s="2">
        <v>23420</v>
      </c>
      <c r="I10" s="1">
        <v>10400000</v>
      </c>
      <c r="J10" s="2">
        <f t="shared" si="3"/>
        <v>444.064901793339</v>
      </c>
      <c r="K10">
        <v>490</v>
      </c>
      <c r="L10">
        <v>318</v>
      </c>
      <c r="M10">
        <v>2483</v>
      </c>
      <c r="N10">
        <v>2013</v>
      </c>
      <c r="S10" s="2">
        <f t="shared" si="4"/>
        <v>5.0673469387755103</v>
      </c>
      <c r="T10" s="2">
        <f t="shared" si="5"/>
        <v>7.8081761006289305</v>
      </c>
      <c r="U10" s="2">
        <f t="shared" si="6"/>
        <v>1</v>
      </c>
      <c r="V10" s="2">
        <f t="shared" si="7"/>
        <v>1.2334823646299056</v>
      </c>
    </row>
    <row r="11" spans="1:24">
      <c r="B11">
        <v>-1</v>
      </c>
      <c r="C11">
        <v>0</v>
      </c>
      <c r="D11">
        <v>94</v>
      </c>
      <c r="E11">
        <f t="shared" si="0"/>
        <v>23.74468085106383</v>
      </c>
      <c r="F11" s="1">
        <f t="shared" si="1"/>
        <v>0.10829168890398332</v>
      </c>
      <c r="G11" s="1">
        <f t="shared" si="2"/>
        <v>2.4527472527472528E-4</v>
      </c>
      <c r="H11" s="2">
        <v>20611</v>
      </c>
      <c r="I11" s="1">
        <v>9100000</v>
      </c>
      <c r="J11" s="2">
        <f t="shared" si="3"/>
        <v>441.51181407986024</v>
      </c>
      <c r="K11">
        <v>629</v>
      </c>
      <c r="L11">
        <v>522</v>
      </c>
      <c r="M11">
        <v>2232</v>
      </c>
      <c r="N11">
        <v>1972</v>
      </c>
      <c r="S11" s="2">
        <f t="shared" si="4"/>
        <v>3.5484896661367249</v>
      </c>
      <c r="T11" s="2">
        <f t="shared" si="5"/>
        <v>4.2758620689655169</v>
      </c>
      <c r="U11" s="2">
        <f t="shared" si="6"/>
        <v>1</v>
      </c>
      <c r="V11" s="2">
        <f t="shared" si="7"/>
        <v>1.1318458417849899</v>
      </c>
    </row>
    <row r="12" spans="1:24">
      <c r="A12" s="4"/>
      <c r="B12" s="4">
        <v>-1.5</v>
      </c>
      <c r="C12" s="4">
        <v>0</v>
      </c>
      <c r="D12" s="4">
        <v>94</v>
      </c>
      <c r="E12">
        <f t="shared" si="0"/>
        <v>25.638297872340427</v>
      </c>
      <c r="F12" s="5">
        <f t="shared" si="1"/>
        <v>0.11468544779670696</v>
      </c>
      <c r="G12" s="5">
        <f t="shared" si="2"/>
        <v>1.3097826086956523E-4</v>
      </c>
      <c r="H12" s="6">
        <v>21014</v>
      </c>
      <c r="I12" s="5">
        <v>18400000</v>
      </c>
      <c r="J12" s="6">
        <f t="shared" si="3"/>
        <v>875.60673836489957</v>
      </c>
      <c r="K12" s="4">
        <v>702</v>
      </c>
      <c r="L12" s="4">
        <v>584</v>
      </c>
      <c r="M12" s="4">
        <v>2410</v>
      </c>
      <c r="N12" s="4">
        <v>1969</v>
      </c>
      <c r="O12" s="4"/>
      <c r="S12" s="2">
        <f t="shared" si="4"/>
        <v>3.433048433048433</v>
      </c>
      <c r="T12" s="2">
        <f t="shared" si="5"/>
        <v>4.1267123287671232</v>
      </c>
      <c r="U12" s="2">
        <f t="shared" si="6"/>
        <v>1</v>
      </c>
      <c r="V12" s="2">
        <f t="shared" si="7"/>
        <v>1.2239715591670899</v>
      </c>
      <c r="X12" t="s">
        <v>14</v>
      </c>
    </row>
    <row r="13" spans="1:24">
      <c r="B13">
        <v>-1.5</v>
      </c>
      <c r="C13">
        <v>0</v>
      </c>
      <c r="D13">
        <v>89</v>
      </c>
      <c r="E13">
        <f t="shared" si="0"/>
        <v>25.393258426966291</v>
      </c>
      <c r="F13" s="1">
        <f t="shared" si="1"/>
        <v>0.10930547494679822</v>
      </c>
      <c r="G13" s="1">
        <f t="shared" si="2"/>
        <v>2.5111111111111113E-4</v>
      </c>
      <c r="H13" s="2">
        <v>20676</v>
      </c>
      <c r="I13" s="1">
        <v>9000000</v>
      </c>
      <c r="J13" s="2">
        <f t="shared" si="3"/>
        <v>435.28728961114336</v>
      </c>
      <c r="K13">
        <v>637</v>
      </c>
      <c r="L13">
        <v>514</v>
      </c>
      <c r="M13">
        <v>2260</v>
      </c>
      <c r="N13">
        <v>1878</v>
      </c>
      <c r="S13" s="2">
        <f t="shared" si="4"/>
        <v>3.5478806907378337</v>
      </c>
      <c r="T13" s="2">
        <f t="shared" si="5"/>
        <v>4.3968871595330743</v>
      </c>
      <c r="U13" s="2">
        <f t="shared" si="6"/>
        <v>1</v>
      </c>
      <c r="V13" s="2">
        <f t="shared" si="7"/>
        <v>1.2034078807241746</v>
      </c>
    </row>
    <row r="14" spans="1:24">
      <c r="B14">
        <v>-2</v>
      </c>
      <c r="D14">
        <v>158</v>
      </c>
      <c r="E14">
        <f t="shared" si="0"/>
        <v>23.898734177215189</v>
      </c>
      <c r="F14" s="1">
        <f t="shared" si="1"/>
        <v>0.105513175175343</v>
      </c>
      <c r="G14" s="1">
        <f t="shared" si="2"/>
        <v>2.4050955414012739E-4</v>
      </c>
      <c r="H14" s="2">
        <v>35787</v>
      </c>
      <c r="I14" s="1">
        <v>15700000</v>
      </c>
      <c r="J14" s="2">
        <f t="shared" si="3"/>
        <v>438.70679296951408</v>
      </c>
      <c r="K14">
        <v>1703</v>
      </c>
      <c r="L14">
        <v>1223</v>
      </c>
      <c r="M14">
        <v>3776</v>
      </c>
      <c r="N14">
        <v>2976</v>
      </c>
      <c r="S14" s="2">
        <f t="shared" si="4"/>
        <v>2.2172636523781564</v>
      </c>
      <c r="T14" s="2">
        <f t="shared" si="5"/>
        <v>3.0874897792313982</v>
      </c>
      <c r="U14" s="2">
        <f t="shared" si="6"/>
        <v>1</v>
      </c>
      <c r="V14" s="2">
        <f t="shared" si="7"/>
        <v>1.2688172043010753</v>
      </c>
    </row>
    <row r="15" spans="1:24">
      <c r="B15">
        <v>-2.5</v>
      </c>
      <c r="D15">
        <v>104</v>
      </c>
      <c r="E15">
        <f t="shared" si="0"/>
        <v>24.153846153846153</v>
      </c>
      <c r="F15" s="1">
        <f t="shared" si="1"/>
        <v>9.0207203648507914E-2</v>
      </c>
      <c r="G15" s="1">
        <f t="shared" si="2"/>
        <v>2.0933333333333334E-4</v>
      </c>
      <c r="H15" s="2">
        <v>27847</v>
      </c>
      <c r="I15" s="1">
        <v>12000000</v>
      </c>
      <c r="J15" s="2">
        <f t="shared" si="3"/>
        <v>430.9261320788595</v>
      </c>
      <c r="K15">
        <v>1854</v>
      </c>
      <c r="L15">
        <v>1358</v>
      </c>
      <c r="M15">
        <v>2512</v>
      </c>
      <c r="N15">
        <v>2134</v>
      </c>
      <c r="S15" s="2">
        <f t="shared" si="4"/>
        <v>1.354908306364617</v>
      </c>
      <c r="T15" s="2">
        <f t="shared" si="5"/>
        <v>1.849779086892489</v>
      </c>
      <c r="U15" s="2">
        <f t="shared" si="6"/>
        <v>1</v>
      </c>
      <c r="V15" s="2">
        <f t="shared" si="7"/>
        <v>1.1771321462043112</v>
      </c>
    </row>
    <row r="16" spans="1:24">
      <c r="B16">
        <v>-1</v>
      </c>
      <c r="C16">
        <v>-0.8</v>
      </c>
      <c r="H16" s="1"/>
      <c r="I16" s="1"/>
      <c r="J16" s="1"/>
      <c r="X16" t="s">
        <v>15</v>
      </c>
    </row>
    <row r="17" spans="1:22" s="12" customFormat="1">
      <c r="F17" s="13"/>
    </row>
    <row r="18" spans="1:22">
      <c r="A18" s="12">
        <v>15112013</v>
      </c>
      <c r="B18">
        <v>-0.8</v>
      </c>
      <c r="C18">
        <v>-1</v>
      </c>
      <c r="D18">
        <v>244</v>
      </c>
      <c r="E18">
        <f t="shared" ref="E18:E28" si="8">M18/D18</f>
        <v>5.9959016393442619</v>
      </c>
      <c r="F18" s="1">
        <f t="shared" ref="F18:F28" si="9">M18/H18</f>
        <v>5.2629685588891285E-2</v>
      </c>
      <c r="G18" s="1">
        <f t="shared" ref="G18:G28" si="10">N18/I18</f>
        <v>3.6625766871165646E-5</v>
      </c>
      <c r="H18" s="2">
        <v>27798</v>
      </c>
      <c r="I18" s="1">
        <v>16300000</v>
      </c>
      <c r="J18" s="2">
        <f t="shared" ref="J18:J28" si="11">I18/H18</f>
        <v>586.37312036837181</v>
      </c>
      <c r="K18">
        <v>111</v>
      </c>
      <c r="L18">
        <v>49</v>
      </c>
      <c r="M18">
        <v>1463</v>
      </c>
      <c r="N18">
        <v>597</v>
      </c>
      <c r="S18" s="2">
        <f t="shared" ref="S18:S28" si="12">M18/K18</f>
        <v>13.18018018018018</v>
      </c>
      <c r="T18" s="2">
        <f t="shared" ref="T18:T28" si="13">M18/L18</f>
        <v>29.857142857142858</v>
      </c>
      <c r="U18" s="2">
        <f t="shared" ref="U18:U28" si="14">M18/M18</f>
        <v>1</v>
      </c>
      <c r="V18" s="2">
        <f t="shared" ref="V18:V28" si="15">M18/N18</f>
        <v>2.4505862646566166</v>
      </c>
    </row>
    <row r="19" spans="1:22">
      <c r="B19">
        <v>-1.3</v>
      </c>
      <c r="C19">
        <v>-1</v>
      </c>
      <c r="D19">
        <v>150</v>
      </c>
      <c r="E19">
        <f t="shared" si="8"/>
        <v>8.26</v>
      </c>
      <c r="F19" s="1">
        <f t="shared" si="9"/>
        <v>6.9917047570678861E-2</v>
      </c>
      <c r="G19" s="1">
        <f t="shared" si="10"/>
        <v>4.372549019607843E-5</v>
      </c>
      <c r="H19" s="2">
        <v>17721</v>
      </c>
      <c r="I19" s="1">
        <v>10200000</v>
      </c>
      <c r="J19" s="2">
        <f t="shared" si="11"/>
        <v>575.58828508549175</v>
      </c>
      <c r="K19">
        <v>141</v>
      </c>
      <c r="L19">
        <v>60</v>
      </c>
      <c r="M19">
        <v>1239</v>
      </c>
      <c r="N19">
        <v>446</v>
      </c>
      <c r="S19" s="2">
        <f t="shared" si="12"/>
        <v>8.787234042553191</v>
      </c>
      <c r="T19" s="2">
        <f t="shared" si="13"/>
        <v>20.65</v>
      </c>
      <c r="U19" s="2">
        <f t="shared" si="14"/>
        <v>1</v>
      </c>
      <c r="V19" s="2">
        <f t="shared" si="15"/>
        <v>2.7780269058295963</v>
      </c>
    </row>
    <row r="20" spans="1:22">
      <c r="B20">
        <v>-1.8</v>
      </c>
      <c r="C20">
        <v>-1</v>
      </c>
      <c r="D20">
        <v>115</v>
      </c>
      <c r="E20">
        <f t="shared" si="8"/>
        <v>10.460869565217392</v>
      </c>
      <c r="F20" s="1">
        <f t="shared" si="9"/>
        <v>9.3226906385616856E-2</v>
      </c>
      <c r="G20" s="1">
        <f t="shared" si="10"/>
        <v>5.6266666666666668E-5</v>
      </c>
      <c r="H20" s="2">
        <v>12904</v>
      </c>
      <c r="I20" s="1">
        <v>7500000</v>
      </c>
      <c r="J20" s="2">
        <f t="shared" si="11"/>
        <v>581.21512709237447</v>
      </c>
      <c r="K20">
        <v>154</v>
      </c>
      <c r="L20">
        <v>60</v>
      </c>
      <c r="M20">
        <v>1203</v>
      </c>
      <c r="N20">
        <v>422</v>
      </c>
      <c r="S20" s="2">
        <f t="shared" si="12"/>
        <v>7.8116883116883118</v>
      </c>
      <c r="T20" s="2">
        <f t="shared" si="13"/>
        <v>20.05</v>
      </c>
      <c r="U20" s="2">
        <f t="shared" si="14"/>
        <v>1</v>
      </c>
      <c r="V20" s="2">
        <f t="shared" si="15"/>
        <v>2.8507109004739335</v>
      </c>
    </row>
    <row r="21" spans="1:22">
      <c r="B21">
        <v>-2.2999999999999998</v>
      </c>
      <c r="C21">
        <v>-1</v>
      </c>
      <c r="D21">
        <v>108</v>
      </c>
      <c r="E21">
        <f t="shared" si="8"/>
        <v>11.814814814814815</v>
      </c>
      <c r="F21" s="1">
        <f t="shared" si="9"/>
        <v>9.5501833695082708E-2</v>
      </c>
      <c r="G21" s="1">
        <f t="shared" si="10"/>
        <v>6.0759493670886077E-5</v>
      </c>
      <c r="H21" s="2">
        <v>13361</v>
      </c>
      <c r="I21" s="1">
        <v>7900000</v>
      </c>
      <c r="J21" s="2">
        <f t="shared" si="11"/>
        <v>591.27310830027693</v>
      </c>
      <c r="K21">
        <v>338</v>
      </c>
      <c r="L21">
        <v>136</v>
      </c>
      <c r="M21">
        <v>1276</v>
      </c>
      <c r="N21">
        <v>480</v>
      </c>
      <c r="S21" s="2">
        <f t="shared" si="12"/>
        <v>3.775147928994083</v>
      </c>
      <c r="T21" s="2">
        <f t="shared" si="13"/>
        <v>9.382352941176471</v>
      </c>
      <c r="U21" s="2">
        <f t="shared" si="14"/>
        <v>1</v>
      </c>
      <c r="V21" s="2">
        <f t="shared" si="15"/>
        <v>2.6583333333333332</v>
      </c>
    </row>
    <row r="22" spans="1:22">
      <c r="B22">
        <v>-2.8</v>
      </c>
      <c r="C22">
        <v>-1</v>
      </c>
      <c r="D22">
        <v>103</v>
      </c>
      <c r="E22">
        <f t="shared" si="8"/>
        <v>12.019417475728156</v>
      </c>
      <c r="F22" s="1">
        <f t="shared" si="9"/>
        <v>9.6824651963084624E-2</v>
      </c>
      <c r="G22" s="1">
        <f t="shared" si="10"/>
        <v>6.1081081081081079E-5</v>
      </c>
      <c r="H22" s="2">
        <v>12786</v>
      </c>
      <c r="I22" s="1">
        <v>7400000</v>
      </c>
      <c r="J22" s="2">
        <f t="shared" si="11"/>
        <v>578.75801658063506</v>
      </c>
      <c r="K22">
        <v>479</v>
      </c>
      <c r="L22">
        <v>136</v>
      </c>
      <c r="M22">
        <v>1238</v>
      </c>
      <c r="N22">
        <v>452</v>
      </c>
      <c r="S22" s="2">
        <f t="shared" si="12"/>
        <v>2.5845511482254699</v>
      </c>
      <c r="T22" s="2">
        <f t="shared" si="13"/>
        <v>9.1029411764705888</v>
      </c>
      <c r="U22" s="2">
        <f t="shared" si="14"/>
        <v>1</v>
      </c>
      <c r="V22" s="2">
        <f t="shared" si="15"/>
        <v>2.7389380530973453</v>
      </c>
    </row>
    <row r="23" spans="1:22">
      <c r="B23">
        <v>-3.3</v>
      </c>
      <c r="C23">
        <v>-1</v>
      </c>
      <c r="D23">
        <v>105</v>
      </c>
      <c r="E23">
        <f t="shared" si="8"/>
        <v>11.009523809523809</v>
      </c>
      <c r="F23" s="1">
        <f t="shared" si="9"/>
        <v>9.366391184573003E-2</v>
      </c>
      <c r="G23" s="1">
        <f t="shared" si="10"/>
        <v>5.4109589041095888E-5</v>
      </c>
      <c r="H23" s="2">
        <v>12342</v>
      </c>
      <c r="I23" s="1">
        <v>7300000</v>
      </c>
      <c r="J23" s="2">
        <f t="shared" si="11"/>
        <v>591.47625992545784</v>
      </c>
      <c r="K23">
        <v>715</v>
      </c>
      <c r="L23">
        <v>232</v>
      </c>
      <c r="M23">
        <v>1156</v>
      </c>
      <c r="N23">
        <v>395</v>
      </c>
      <c r="S23" s="2">
        <f t="shared" si="12"/>
        <v>1.6167832167832168</v>
      </c>
      <c r="T23" s="2">
        <f t="shared" si="13"/>
        <v>4.9827586206896548</v>
      </c>
      <c r="U23" s="2">
        <f t="shared" si="14"/>
        <v>1</v>
      </c>
      <c r="V23" s="2">
        <f t="shared" si="15"/>
        <v>2.9265822784810127</v>
      </c>
    </row>
    <row r="24" spans="1:22">
      <c r="B24">
        <v>-2.5</v>
      </c>
      <c r="C24">
        <v>-1</v>
      </c>
      <c r="D24">
        <v>105</v>
      </c>
      <c r="E24">
        <f t="shared" si="8"/>
        <v>11.647619047619047</v>
      </c>
      <c r="F24" s="1">
        <f t="shared" si="9"/>
        <v>0.10456566347469221</v>
      </c>
      <c r="G24" s="1">
        <f t="shared" si="10"/>
        <v>5.8405797101449273E-5</v>
      </c>
      <c r="H24" s="2">
        <v>11696</v>
      </c>
      <c r="I24" s="1">
        <v>6900000</v>
      </c>
      <c r="J24" s="2">
        <f t="shared" si="11"/>
        <v>589.94528043775654</v>
      </c>
      <c r="K24">
        <v>343</v>
      </c>
      <c r="L24">
        <v>119</v>
      </c>
      <c r="M24">
        <v>1223</v>
      </c>
      <c r="N24">
        <v>403</v>
      </c>
      <c r="S24" s="2">
        <f t="shared" si="12"/>
        <v>3.565597667638484</v>
      </c>
      <c r="T24" s="2">
        <f t="shared" si="13"/>
        <v>10.277310924369749</v>
      </c>
      <c r="U24" s="2">
        <f t="shared" si="14"/>
        <v>1</v>
      </c>
      <c r="V24" s="2">
        <f t="shared" si="15"/>
        <v>3.0347394540942929</v>
      </c>
    </row>
    <row r="25" spans="1:22">
      <c r="B25">
        <v>-2.5</v>
      </c>
      <c r="C25">
        <v>-1.5</v>
      </c>
      <c r="D25">
        <v>101</v>
      </c>
      <c r="E25">
        <f t="shared" si="8"/>
        <v>10.643564356435643</v>
      </c>
      <c r="F25" s="1">
        <f t="shared" si="9"/>
        <v>9.7487984039176565E-2</v>
      </c>
      <c r="G25" s="1">
        <f t="shared" si="10"/>
        <v>3.1999999999999999E-5</v>
      </c>
      <c r="H25" s="2">
        <v>11027</v>
      </c>
      <c r="I25" s="1">
        <v>6500000</v>
      </c>
      <c r="J25" s="2">
        <f t="shared" si="11"/>
        <v>589.46222907409083</v>
      </c>
      <c r="K25">
        <v>305</v>
      </c>
      <c r="L25">
        <v>47</v>
      </c>
      <c r="M25">
        <v>1075</v>
      </c>
      <c r="N25">
        <v>208</v>
      </c>
      <c r="S25" s="2">
        <f t="shared" si="12"/>
        <v>3.5245901639344264</v>
      </c>
      <c r="T25" s="2">
        <f t="shared" si="13"/>
        <v>22.872340425531913</v>
      </c>
      <c r="U25" s="2">
        <f t="shared" si="14"/>
        <v>1</v>
      </c>
      <c r="V25" s="2">
        <f t="shared" si="15"/>
        <v>5.1682692307692308</v>
      </c>
    </row>
    <row r="26" spans="1:22">
      <c r="B26">
        <v>-2.5</v>
      </c>
      <c r="C26">
        <v>-2</v>
      </c>
      <c r="D26">
        <v>110</v>
      </c>
      <c r="E26">
        <f t="shared" si="8"/>
        <v>9.663636363636364</v>
      </c>
      <c r="F26" s="1">
        <f t="shared" si="9"/>
        <v>8.9818335445711869E-2</v>
      </c>
      <c r="G26" s="1">
        <f t="shared" si="10"/>
        <v>2.661764705882353E-5</v>
      </c>
      <c r="H26" s="2">
        <v>11835</v>
      </c>
      <c r="I26" s="1">
        <v>6800000</v>
      </c>
      <c r="J26" s="2">
        <f t="shared" si="11"/>
        <v>574.56696239966197</v>
      </c>
      <c r="K26">
        <v>224</v>
      </c>
      <c r="L26">
        <v>65</v>
      </c>
      <c r="M26">
        <v>1063</v>
      </c>
      <c r="N26">
        <v>181</v>
      </c>
      <c r="S26" s="2">
        <f t="shared" si="12"/>
        <v>4.7455357142857144</v>
      </c>
      <c r="T26" s="2">
        <f t="shared" si="13"/>
        <v>16.353846153846153</v>
      </c>
      <c r="U26" s="2">
        <f t="shared" si="14"/>
        <v>1</v>
      </c>
      <c r="V26" s="2">
        <f t="shared" si="15"/>
        <v>5.8729281767955799</v>
      </c>
    </row>
    <row r="27" spans="1:22">
      <c r="B27">
        <v>-2.5</v>
      </c>
      <c r="C27">
        <v>-0.5</v>
      </c>
      <c r="D27">
        <v>163</v>
      </c>
      <c r="E27">
        <f t="shared" si="8"/>
        <v>9.4478527607361968</v>
      </c>
      <c r="F27" s="1">
        <f t="shared" si="9"/>
        <v>9.8762265118963632E-2</v>
      </c>
      <c r="G27" s="1">
        <f t="shared" si="10"/>
        <v>9.3444444444444445E-5</v>
      </c>
      <c r="H27" s="2">
        <v>15593</v>
      </c>
      <c r="I27" s="1">
        <v>9000000</v>
      </c>
      <c r="J27" s="2">
        <f t="shared" si="11"/>
        <v>577.18206887706026</v>
      </c>
      <c r="K27">
        <v>398</v>
      </c>
      <c r="L27">
        <v>213</v>
      </c>
      <c r="M27">
        <v>1540</v>
      </c>
      <c r="N27">
        <v>841</v>
      </c>
      <c r="S27" s="2">
        <f t="shared" si="12"/>
        <v>3.8693467336683418</v>
      </c>
      <c r="T27" s="2">
        <f t="shared" si="13"/>
        <v>7.2300469483568079</v>
      </c>
      <c r="U27" s="2">
        <f t="shared" si="14"/>
        <v>1</v>
      </c>
      <c r="V27" s="2">
        <f t="shared" si="15"/>
        <v>1.83115338882283</v>
      </c>
    </row>
    <row r="28" spans="1:22">
      <c r="B28">
        <v>-2.5</v>
      </c>
      <c r="C28">
        <v>0</v>
      </c>
      <c r="D28">
        <v>149</v>
      </c>
      <c r="E28">
        <f t="shared" si="8"/>
        <v>6.9395973154362416</v>
      </c>
      <c r="F28" s="1">
        <f t="shared" si="9"/>
        <v>8.193343898573692E-2</v>
      </c>
      <c r="G28" s="1">
        <f t="shared" si="10"/>
        <v>1.1813333333333334E-4</v>
      </c>
      <c r="H28" s="2">
        <v>12620</v>
      </c>
      <c r="I28" s="1">
        <v>7500000</v>
      </c>
      <c r="J28" s="2">
        <f t="shared" si="11"/>
        <v>594.29477020602224</v>
      </c>
      <c r="K28">
        <v>299</v>
      </c>
      <c r="L28">
        <v>214</v>
      </c>
      <c r="M28">
        <v>1034</v>
      </c>
      <c r="N28">
        <v>886</v>
      </c>
      <c r="S28" s="2">
        <f t="shared" si="12"/>
        <v>3.4581939799331103</v>
      </c>
      <c r="T28" s="2">
        <f t="shared" si="13"/>
        <v>4.8317757009345792</v>
      </c>
      <c r="U28" s="2">
        <f t="shared" si="14"/>
        <v>1</v>
      </c>
      <c r="V28" s="2">
        <f t="shared" si="15"/>
        <v>1.1670428893905191</v>
      </c>
    </row>
    <row r="30" spans="1:22">
      <c r="A30" t="s">
        <v>19</v>
      </c>
      <c r="B30">
        <v>-0.8</v>
      </c>
      <c r="C30">
        <v>-0.7</v>
      </c>
    </row>
    <row r="32" spans="1:22">
      <c r="A32" t="s">
        <v>41</v>
      </c>
      <c r="F32" s="1"/>
    </row>
    <row r="33" spans="2:22">
      <c r="D33" t="s">
        <v>18</v>
      </c>
      <c r="K33" t="s">
        <v>2</v>
      </c>
      <c r="L33" t="s">
        <v>3</v>
      </c>
      <c r="M33" t="s">
        <v>4</v>
      </c>
      <c r="N33" t="s">
        <v>5</v>
      </c>
      <c r="O33" t="s">
        <v>48</v>
      </c>
      <c r="P33" s="9" t="s">
        <v>46</v>
      </c>
      <c r="Q33" t="s">
        <v>47</v>
      </c>
      <c r="R33" t="s">
        <v>37</v>
      </c>
    </row>
    <row r="34" spans="2:22">
      <c r="B34">
        <v>-2.5</v>
      </c>
      <c r="C34">
        <v>-1</v>
      </c>
      <c r="D34">
        <v>101</v>
      </c>
      <c r="F34" s="1">
        <f t="shared" ref="F34:G36" si="16">M34/H34</f>
        <v>9.1896446078431379E-2</v>
      </c>
      <c r="G34" s="1">
        <f t="shared" si="16"/>
        <v>6.0227272727272729E-5</v>
      </c>
      <c r="H34">
        <v>65280</v>
      </c>
      <c r="I34" s="1">
        <v>35200000</v>
      </c>
      <c r="J34" s="2">
        <f>I34/H34</f>
        <v>539.21568627450984</v>
      </c>
      <c r="K34">
        <v>4249</v>
      </c>
      <c r="L34">
        <v>1430</v>
      </c>
      <c r="M34">
        <v>5999</v>
      </c>
      <c r="N34">
        <v>2120</v>
      </c>
      <c r="O34" s="1">
        <v>1E-10</v>
      </c>
      <c r="P34">
        <v>5</v>
      </c>
      <c r="Q34" s="1">
        <f>O34/1.602E-19</f>
        <v>624219725.34332085</v>
      </c>
      <c r="R34" s="1">
        <f>O34/(H34/D34)</f>
        <v>1.5471813725490196E-13</v>
      </c>
      <c r="S34" s="2">
        <f>M34/K34</f>
        <v>1.4118616144975289</v>
      </c>
      <c r="T34" s="2">
        <f>M34/L34</f>
        <v>4.1951048951048948</v>
      </c>
      <c r="U34" s="2">
        <f>M34/M34</f>
        <v>1</v>
      </c>
      <c r="V34" s="2">
        <f>M34/N34</f>
        <v>2.8297169811320755</v>
      </c>
    </row>
    <row r="35" spans="2:22">
      <c r="B35">
        <v>-2.5</v>
      </c>
      <c r="C35">
        <v>-1</v>
      </c>
      <c r="D35">
        <v>60</v>
      </c>
      <c r="F35" s="1">
        <f t="shared" si="16"/>
        <v>9.1048680618744313E-2</v>
      </c>
      <c r="G35" s="1">
        <f t="shared" si="16"/>
        <v>6.9868637110016425E-5</v>
      </c>
      <c r="H35">
        <v>52752</v>
      </c>
      <c r="I35" s="1">
        <v>24360000</v>
      </c>
      <c r="J35" s="2">
        <f>I35/H35</f>
        <v>461.78343949044586</v>
      </c>
      <c r="K35">
        <v>3306</v>
      </c>
      <c r="L35">
        <v>1147</v>
      </c>
      <c r="M35">
        <v>4803</v>
      </c>
      <c r="N35">
        <v>1702</v>
      </c>
      <c r="O35" s="1">
        <v>2.0000000000000001E-10</v>
      </c>
      <c r="P35">
        <v>5</v>
      </c>
      <c r="Q35" s="1">
        <f>O35/1.602E-19</f>
        <v>1248439450.6866417</v>
      </c>
      <c r="R35" s="1">
        <f>O35/(H35/D35)</f>
        <v>2.2747952684258418E-13</v>
      </c>
      <c r="S35" s="2">
        <f>M35/K35</f>
        <v>1.4528130671506352</v>
      </c>
      <c r="T35" s="2">
        <f>M35/L35</f>
        <v>4.1874455100261549</v>
      </c>
      <c r="U35" s="2">
        <f>M35/M35</f>
        <v>1</v>
      </c>
      <c r="V35" s="2">
        <f>M35/N35</f>
        <v>2.8219741480611047</v>
      </c>
    </row>
    <row r="36" spans="2:22">
      <c r="B36">
        <v>-2.5</v>
      </c>
      <c r="C36">
        <v>-1</v>
      </c>
      <c r="D36">
        <v>43</v>
      </c>
      <c r="F36" s="1">
        <f t="shared" si="16"/>
        <v>9.1736706914326657E-2</v>
      </c>
      <c r="G36" s="1">
        <f t="shared" si="16"/>
        <v>8.917705735660848E-5</v>
      </c>
      <c r="H36">
        <v>57229</v>
      </c>
      <c r="I36" s="1">
        <v>20050000</v>
      </c>
      <c r="J36" s="2">
        <f>I36/H36</f>
        <v>350.34685212042848</v>
      </c>
      <c r="K36">
        <v>3604</v>
      </c>
      <c r="L36">
        <v>1145</v>
      </c>
      <c r="M36">
        <v>5250</v>
      </c>
      <c r="N36">
        <v>1788</v>
      </c>
      <c r="O36" s="1">
        <v>2.5000000000000002E-10</v>
      </c>
      <c r="P36">
        <v>5</v>
      </c>
      <c r="Q36" s="1">
        <f>O36/1.602E-19</f>
        <v>1560549313.3583024</v>
      </c>
      <c r="R36" s="1">
        <f>O36/(H36/D36)</f>
        <v>1.8784182844362125E-13</v>
      </c>
      <c r="S36" s="2">
        <f>M36/K36</f>
        <v>1.4567147613762486</v>
      </c>
      <c r="T36" s="2">
        <f>M36/L36</f>
        <v>4.5851528384279474</v>
      </c>
      <c r="U36" s="2">
        <f>M36/M36</f>
        <v>1</v>
      </c>
      <c r="V36" s="2">
        <f>M36/N36</f>
        <v>2.936241610738255</v>
      </c>
    </row>
    <row r="39" spans="2:22">
      <c r="E39" t="s">
        <v>20</v>
      </c>
      <c r="F39" s="11">
        <f>(F24+F34+F35+F36)/4</f>
        <v>9.4811874271548649E-2</v>
      </c>
      <c r="M39" s="1"/>
      <c r="N39" s="1"/>
      <c r="O39" s="1"/>
    </row>
    <row r="40" spans="2:22">
      <c r="M40" s="1"/>
      <c r="N40" s="1"/>
      <c r="O40" s="1"/>
    </row>
    <row r="41" spans="2:22">
      <c r="I41" s="1"/>
      <c r="J41" s="1"/>
      <c r="M41" s="1"/>
      <c r="N41" s="1"/>
      <c r="O41" s="1"/>
    </row>
    <row r="43" spans="2:22">
      <c r="F43" s="1">
        <v>1.1400000000000001E-6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J11" sqref="J11"/>
    </sheetView>
  </sheetViews>
  <sheetFormatPr baseColWidth="10" defaultRowHeight="15" x14ac:dyDescent="0"/>
  <cols>
    <col min="2" max="2" width="16.1640625" bestFit="1" customWidth="1"/>
    <col min="6" max="6" width="14.33203125" bestFit="1" customWidth="1"/>
    <col min="14" max="14" width="54.33203125" customWidth="1"/>
  </cols>
  <sheetData>
    <row r="2" spans="1:19">
      <c r="G2" t="s">
        <v>22</v>
      </c>
      <c r="H2" s="1">
        <f>'Beam profile 14-15 nov'!F39</f>
        <v>9.4811874271548649E-2</v>
      </c>
      <c r="Q2" s="1"/>
    </row>
    <row r="3" spans="1:19">
      <c r="P3" t="s">
        <v>33</v>
      </c>
      <c r="Q3" t="s">
        <v>34</v>
      </c>
      <c r="R3" t="s">
        <v>6</v>
      </c>
      <c r="S3" t="s">
        <v>35</v>
      </c>
    </row>
    <row r="4" spans="1:19" ht="45">
      <c r="B4" t="s">
        <v>21</v>
      </c>
      <c r="C4" t="s">
        <v>50</v>
      </c>
      <c r="D4" t="s">
        <v>0</v>
      </c>
      <c r="E4" s="7" t="s">
        <v>25</v>
      </c>
      <c r="F4" t="s">
        <v>49</v>
      </c>
      <c r="G4" s="8" t="s">
        <v>28</v>
      </c>
      <c r="H4" s="8" t="s">
        <v>27</v>
      </c>
      <c r="I4" s="8" t="s">
        <v>29</v>
      </c>
      <c r="J4" s="8" t="s">
        <v>30</v>
      </c>
      <c r="K4" s="8" t="s">
        <v>32</v>
      </c>
      <c r="L4" s="8" t="s">
        <v>36</v>
      </c>
      <c r="M4" s="8"/>
      <c r="P4">
        <v>3000</v>
      </c>
      <c r="Q4">
        <v>50000</v>
      </c>
      <c r="R4" s="2">
        <f>Q4/(P4*K5)</f>
        <v>654.06619436272331</v>
      </c>
      <c r="S4">
        <f>R4/60</f>
        <v>10.901103239378722</v>
      </c>
    </row>
    <row r="5" spans="1:19" ht="45">
      <c r="A5">
        <v>1</v>
      </c>
      <c r="B5" t="s">
        <v>24</v>
      </c>
      <c r="C5">
        <v>3148</v>
      </c>
      <c r="D5">
        <v>1639988</v>
      </c>
      <c r="E5" s="1">
        <f>D5*$H$2</f>
        <v>155490.33606284854</v>
      </c>
      <c r="F5" s="1">
        <v>1.1400000000000001E-6</v>
      </c>
      <c r="G5" s="1">
        <f>E5/F5</f>
        <v>136395031634.07765</v>
      </c>
      <c r="H5" s="1">
        <f>G5/Fluka!$D$5</f>
        <v>1024756060361.2146</v>
      </c>
      <c r="I5" s="1">
        <f>H5*Fluka!$D$3</f>
        <v>417.89552141530328</v>
      </c>
      <c r="J5" s="2">
        <f>I5*100/1000</f>
        <v>41.789552141530329</v>
      </c>
      <c r="K5" s="1">
        <f>J5*1000/D5</f>
        <v>2.5481620683523495E-2</v>
      </c>
      <c r="L5" s="1">
        <f>I5/D5</f>
        <v>2.5481620683523491E-4</v>
      </c>
      <c r="M5" s="1"/>
      <c r="N5" s="8" t="s">
        <v>23</v>
      </c>
    </row>
    <row r="6" spans="1:19">
      <c r="A6">
        <v>2</v>
      </c>
      <c r="B6" t="s">
        <v>31</v>
      </c>
      <c r="C6">
        <v>2448</v>
      </c>
      <c r="D6" s="1">
        <v>6438058</v>
      </c>
      <c r="E6" s="1">
        <f>D6*$H$2</f>
        <v>610404.34564893798</v>
      </c>
      <c r="F6" s="1">
        <v>1.1400000000000001E-6</v>
      </c>
      <c r="G6" s="1">
        <f>E6/F6</f>
        <v>535442408463.98065</v>
      </c>
      <c r="H6" s="1">
        <f>G6/Fluka!$D$5</f>
        <v>4022858065093.769</v>
      </c>
      <c r="I6" s="1">
        <f>H6*Fluka!$D$3</f>
        <v>1640.521518945239</v>
      </c>
      <c r="J6" s="2">
        <f>I6*100/1000</f>
        <v>164.05215189452392</v>
      </c>
      <c r="K6" s="1">
        <f>J6*1000/D6</f>
        <v>2.5481620683523495E-2</v>
      </c>
      <c r="L6" s="1">
        <f>I6/D6</f>
        <v>2.5481620683523491E-4</v>
      </c>
      <c r="M6" s="1"/>
    </row>
    <row r="7" spans="1:19">
      <c r="A7">
        <v>3</v>
      </c>
      <c r="B7" t="s">
        <v>40</v>
      </c>
      <c r="C7">
        <v>991</v>
      </c>
      <c r="D7">
        <v>2558493</v>
      </c>
      <c r="E7" s="1">
        <f>D7*$H$2</f>
        <v>242575.51664063733</v>
      </c>
      <c r="F7" s="1">
        <v>1.1400000000000001E-6</v>
      </c>
      <c r="G7" s="1">
        <f>E7/F7</f>
        <v>212785540912.83975</v>
      </c>
      <c r="H7" s="1">
        <f>G7/Fluka!$D$5</f>
        <v>1598689263056.6472</v>
      </c>
      <c r="I7" s="1">
        <f>H7*Fluka!$D$3</f>
        <v>651.94548147450075</v>
      </c>
      <c r="J7" s="2">
        <f>I7*100/1000</f>
        <v>65.194548147450078</v>
      </c>
      <c r="K7" s="1">
        <f>J7*1000/D7</f>
        <v>2.5481620683523495E-2</v>
      </c>
      <c r="L7" s="1">
        <f>I7/D7</f>
        <v>2.5481620683523497E-4</v>
      </c>
      <c r="M7" s="1"/>
    </row>
    <row r="8" spans="1:19">
      <c r="A8">
        <v>4</v>
      </c>
      <c r="B8" t="s">
        <v>39</v>
      </c>
      <c r="C8">
        <v>916</v>
      </c>
      <c r="D8">
        <v>2213156</v>
      </c>
      <c r="E8" s="1">
        <f>D8*$H$2</f>
        <v>209833.46841532353</v>
      </c>
      <c r="F8" s="1">
        <v>1.1400000000000001E-6</v>
      </c>
      <c r="G8" s="1">
        <f>E8/F8</f>
        <v>184064445978.35394</v>
      </c>
      <c r="H8" s="1">
        <f>G8/Fluka!$D$5</f>
        <v>1382903425832.8621</v>
      </c>
      <c r="I8" s="1">
        <f>H8*Fluka!$D$3</f>
        <v>563.94801705464113</v>
      </c>
      <c r="J8" s="2">
        <f>I8*100/1000</f>
        <v>56.394801705464111</v>
      </c>
      <c r="K8" s="1">
        <f>J8*1000/D8</f>
        <v>2.5481620683523488E-2</v>
      </c>
      <c r="L8" s="1">
        <f>I8/D8</f>
        <v>2.5481620683523491E-4</v>
      </c>
      <c r="M8" s="1"/>
    </row>
    <row r="9" spans="1:19">
      <c r="A9">
        <v>5</v>
      </c>
      <c r="B9" t="s">
        <v>38</v>
      </c>
      <c r="C9">
        <v>806</v>
      </c>
      <c r="D9">
        <v>2069453</v>
      </c>
      <c r="E9" s="1">
        <f>D9*$H$2</f>
        <v>196208.71764687917</v>
      </c>
      <c r="F9" s="1">
        <v>1.1400000000000001E-6</v>
      </c>
      <c r="G9" s="1">
        <f>E9/F9</f>
        <v>172112910216.56067</v>
      </c>
      <c r="H9" s="1">
        <f>G9/Fluka!$D$5</f>
        <v>1293109768719.4641</v>
      </c>
      <c r="I9" s="1">
        <f>H9*Fluka!$D$3</f>
        <v>527.33016368379742</v>
      </c>
      <c r="J9" s="2">
        <f>I9*100/1000</f>
        <v>52.733016368379744</v>
      </c>
      <c r="K9" s="1">
        <f>J9*1000/D9</f>
        <v>2.5481620683523495E-2</v>
      </c>
      <c r="L9" s="1">
        <f>I9/D9</f>
        <v>2.5481620683523491E-4</v>
      </c>
      <c r="M9" s="1"/>
    </row>
    <row r="18" spans="12:13">
      <c r="M18" s="1"/>
    </row>
    <row r="19" spans="12:13">
      <c r="M19" s="1"/>
    </row>
    <row r="20" spans="12:13">
      <c r="L20" s="1"/>
    </row>
    <row r="21" spans="12:13">
      <c r="L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5"/>
  <sheetViews>
    <sheetView workbookViewId="0">
      <selection activeCell="D12" sqref="D12"/>
    </sheetView>
  </sheetViews>
  <sheetFormatPr baseColWidth="10" defaultRowHeight="15" x14ac:dyDescent="0"/>
  <cols>
    <col min="3" max="3" width="28.1640625" bestFit="1" customWidth="1"/>
    <col min="4" max="4" width="12.1640625" bestFit="1" customWidth="1"/>
  </cols>
  <sheetData>
    <row r="2" spans="3:5">
      <c r="C2" t="s">
        <v>55</v>
      </c>
    </row>
    <row r="3" spans="3:5">
      <c r="C3" s="9" t="s">
        <v>51</v>
      </c>
      <c r="D3" s="10">
        <v>4.0779999999999998E-10</v>
      </c>
      <c r="E3" t="s">
        <v>26</v>
      </c>
    </row>
    <row r="4" spans="3:5">
      <c r="C4" s="9" t="s">
        <v>53</v>
      </c>
      <c r="D4" s="9">
        <v>1</v>
      </c>
    </row>
    <row r="5" spans="3:5">
      <c r="C5" t="s">
        <v>52</v>
      </c>
      <c r="D5">
        <v>0.1331</v>
      </c>
    </row>
    <row r="7" spans="3:5">
      <c r="C7" t="s">
        <v>54</v>
      </c>
      <c r="D7">
        <f>1/D5</f>
        <v>7.5131480090157776</v>
      </c>
    </row>
    <row r="10" spans="3:5">
      <c r="C10" t="s">
        <v>55</v>
      </c>
    </row>
    <row r="11" spans="3:5">
      <c r="C11" s="9" t="s">
        <v>51</v>
      </c>
      <c r="D11" s="10">
        <v>2.9369999999999998E-10</v>
      </c>
      <c r="E11" t="s">
        <v>26</v>
      </c>
    </row>
    <row r="12" spans="3:5">
      <c r="C12" s="9" t="s">
        <v>53</v>
      </c>
      <c r="D12" s="9">
        <v>1</v>
      </c>
    </row>
    <row r="13" spans="3:5">
      <c r="C13" t="s">
        <v>52</v>
      </c>
      <c r="D13" s="1">
        <v>8.5680000000000006E-2</v>
      </c>
    </row>
    <row r="15" spans="3:5">
      <c r="C15" t="s">
        <v>54</v>
      </c>
      <c r="D15">
        <f>1/D13</f>
        <v>11.671335200746965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opLeftCell="B14" workbookViewId="0">
      <selection activeCell="G64" sqref="G64"/>
    </sheetView>
  </sheetViews>
  <sheetFormatPr baseColWidth="10" defaultRowHeight="15" x14ac:dyDescent="0"/>
  <cols>
    <col min="4" max="4" width="8.83203125" bestFit="1" customWidth="1"/>
    <col min="5" max="5" width="8.83203125" customWidth="1"/>
    <col min="6" max="6" width="13" bestFit="1" customWidth="1"/>
    <col min="7" max="7" width="19.33203125" bestFit="1" customWidth="1"/>
    <col min="8" max="8" width="19.33203125" customWidth="1"/>
    <col min="9" max="9" width="12" bestFit="1" customWidth="1"/>
    <col min="10" max="10" width="12" customWidth="1"/>
    <col min="11" max="11" width="13.6640625" bestFit="1" customWidth="1"/>
    <col min="12" max="12" width="13.6640625" customWidth="1"/>
    <col min="13" max="14" width="8.83203125" bestFit="1" customWidth="1"/>
    <col min="15" max="15" width="11.1640625" bestFit="1" customWidth="1"/>
    <col min="17" max="17" width="16.5" bestFit="1" customWidth="1"/>
    <col min="19" max="19" width="14.1640625" bestFit="1" customWidth="1"/>
    <col min="20" max="20" width="12" bestFit="1" customWidth="1"/>
    <col min="21" max="24" width="13.83203125" bestFit="1" customWidth="1"/>
  </cols>
  <sheetData>
    <row r="1" spans="1:26">
      <c r="A1" s="12">
        <v>14112013</v>
      </c>
      <c r="Q1" t="s">
        <v>9</v>
      </c>
      <c r="S1" t="s">
        <v>10</v>
      </c>
    </row>
    <row r="2" spans="1:26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57</v>
      </c>
      <c r="I2" t="s">
        <v>0</v>
      </c>
      <c r="J2" t="s">
        <v>58</v>
      </c>
      <c r="K2" s="1" t="s">
        <v>1</v>
      </c>
      <c r="L2" s="1" t="s">
        <v>17</v>
      </c>
      <c r="M2" t="s">
        <v>2</v>
      </c>
      <c r="N2" t="s">
        <v>3</v>
      </c>
      <c r="O2" t="s">
        <v>4</v>
      </c>
      <c r="P2" t="s">
        <v>5</v>
      </c>
      <c r="Q2" t="s">
        <v>48</v>
      </c>
      <c r="R2" t="s">
        <v>46</v>
      </c>
    </row>
    <row r="3" spans="1:26">
      <c r="Q3" s="1"/>
      <c r="U3" t="s">
        <v>42</v>
      </c>
      <c r="V3" t="s">
        <v>45</v>
      </c>
      <c r="W3" t="s">
        <v>44</v>
      </c>
      <c r="X3" t="s">
        <v>43</v>
      </c>
      <c r="Z3" t="s">
        <v>56</v>
      </c>
    </row>
    <row r="4" spans="1:26">
      <c r="B4">
        <v>0</v>
      </c>
      <c r="C4">
        <v>0</v>
      </c>
      <c r="D4">
        <v>70</v>
      </c>
      <c r="E4">
        <f>O4/D4</f>
        <v>18.342857142857142</v>
      </c>
      <c r="F4" s="1">
        <f>O4/I4</f>
        <v>0.17622838320065881</v>
      </c>
      <c r="G4" s="1">
        <f>O4/K4</f>
        <v>3.4702702702702704E-2</v>
      </c>
      <c r="H4" s="3"/>
      <c r="I4" s="3">
        <v>7286</v>
      </c>
      <c r="J4" s="3"/>
      <c r="K4" s="1">
        <v>37000</v>
      </c>
      <c r="L4" s="2">
        <f t="shared" ref="L4:L16" si="0">K4/I4</f>
        <v>5.0782322261872084</v>
      </c>
      <c r="M4">
        <v>538</v>
      </c>
      <c r="N4">
        <v>238</v>
      </c>
      <c r="O4">
        <v>1284</v>
      </c>
      <c r="P4">
        <v>602</v>
      </c>
      <c r="U4" s="2">
        <f t="shared" ref="U4:U16" si="1">O4/M4</f>
        <v>2.3866171003717471</v>
      </c>
      <c r="V4" s="2">
        <f t="shared" ref="V4:V16" si="2">O4/N4</f>
        <v>5.3949579831932777</v>
      </c>
      <c r="W4" s="2">
        <f t="shared" ref="W4:W16" si="3">O4/O4</f>
        <v>1</v>
      </c>
      <c r="X4" s="2">
        <f t="shared" ref="X4:X16" si="4">O4/P4</f>
        <v>2.132890365448505</v>
      </c>
    </row>
    <row r="5" spans="1:26">
      <c r="B5">
        <v>0</v>
      </c>
      <c r="C5">
        <v>0</v>
      </c>
      <c r="D5" s="3">
        <v>54</v>
      </c>
      <c r="E5">
        <f t="shared" ref="E5" si="5">O5/D5</f>
        <v>20.018518518518519</v>
      </c>
      <c r="F5" s="1">
        <f t="shared" ref="F5:F6" si="6">O5/I5</f>
        <v>0.17562956945572705</v>
      </c>
      <c r="G5" s="1">
        <f t="shared" ref="G5" si="7">O5/K5</f>
        <v>2.6237864077669902E-4</v>
      </c>
      <c r="H5" s="3"/>
      <c r="I5" s="3">
        <v>6155</v>
      </c>
      <c r="J5" s="3"/>
      <c r="K5" s="1">
        <v>4120000</v>
      </c>
      <c r="L5" s="2">
        <f t="shared" si="0"/>
        <v>669.37449228269702</v>
      </c>
      <c r="M5" s="3">
        <v>507</v>
      </c>
      <c r="N5" s="3">
        <v>160</v>
      </c>
      <c r="O5" s="3">
        <v>1081</v>
      </c>
      <c r="P5" s="3">
        <v>525</v>
      </c>
      <c r="U5" s="2">
        <f t="shared" si="1"/>
        <v>2.1321499013806706</v>
      </c>
      <c r="V5" s="2">
        <f t="shared" si="2"/>
        <v>6.7562499999999996</v>
      </c>
      <c r="W5" s="2">
        <f t="shared" si="3"/>
        <v>1</v>
      </c>
      <c r="X5" s="2">
        <f t="shared" si="4"/>
        <v>2.059047619047619</v>
      </c>
    </row>
    <row r="6" spans="1:26">
      <c r="B6">
        <v>-0.5</v>
      </c>
      <c r="C6">
        <v>0</v>
      </c>
      <c r="D6">
        <v>65</v>
      </c>
      <c r="E6">
        <f t="shared" ref="E6:E16" si="8">O6/D6</f>
        <v>18.030769230769231</v>
      </c>
      <c r="F6" s="1">
        <f t="shared" si="6"/>
        <v>0.17406802316946385</v>
      </c>
      <c r="G6" s="1">
        <f t="shared" ref="G6:G16" si="9">O6/K6</f>
        <v>2.558951965065502E-4</v>
      </c>
      <c r="H6" s="3">
        <v>7664</v>
      </c>
      <c r="I6" s="3">
        <v>6733</v>
      </c>
      <c r="J6" s="2">
        <f t="shared" ref="J6:J16" si="10">I6/H6</f>
        <v>0.8785229645093946</v>
      </c>
      <c r="K6" s="1">
        <v>4580000</v>
      </c>
      <c r="L6" s="2">
        <f t="shared" si="0"/>
        <v>680.23169463834847</v>
      </c>
      <c r="M6" s="3">
        <v>680</v>
      </c>
      <c r="N6" s="3">
        <v>276</v>
      </c>
      <c r="O6" s="3">
        <v>1172</v>
      </c>
      <c r="P6" s="3">
        <v>465</v>
      </c>
      <c r="U6" s="2">
        <f t="shared" si="1"/>
        <v>1.723529411764706</v>
      </c>
      <c r="V6" s="2">
        <f t="shared" si="2"/>
        <v>4.2463768115942031</v>
      </c>
      <c r="W6" s="2">
        <f t="shared" si="3"/>
        <v>1</v>
      </c>
      <c r="X6" s="2">
        <f t="shared" si="4"/>
        <v>2.5204301075268818</v>
      </c>
    </row>
    <row r="7" spans="1:26">
      <c r="B7">
        <v>-1</v>
      </c>
      <c r="C7">
        <v>0</v>
      </c>
      <c r="D7">
        <v>73</v>
      </c>
      <c r="E7">
        <f t="shared" si="8"/>
        <v>16.054794520547944</v>
      </c>
      <c r="F7" s="1">
        <f t="shared" ref="F7:F16" si="11">O7/H7</f>
        <v>0.13159667639793399</v>
      </c>
      <c r="G7" s="1">
        <f t="shared" si="9"/>
        <v>2.2890625E-4</v>
      </c>
      <c r="H7" s="2">
        <v>8906</v>
      </c>
      <c r="I7" s="3">
        <v>7836</v>
      </c>
      <c r="J7" s="2">
        <f t="shared" si="10"/>
        <v>0.87985627666741517</v>
      </c>
      <c r="K7" s="1">
        <v>5120000</v>
      </c>
      <c r="L7" s="2">
        <f t="shared" si="0"/>
        <v>653.39458907605922</v>
      </c>
      <c r="M7" s="2">
        <v>989</v>
      </c>
      <c r="N7" s="2">
        <v>415</v>
      </c>
      <c r="O7" s="2">
        <v>1172</v>
      </c>
      <c r="P7" s="2">
        <v>523</v>
      </c>
      <c r="U7" s="2">
        <f t="shared" si="1"/>
        <v>1.1850353892821031</v>
      </c>
      <c r="V7" s="2">
        <f t="shared" si="2"/>
        <v>2.8240963855421688</v>
      </c>
      <c r="W7" s="2">
        <f t="shared" si="3"/>
        <v>1</v>
      </c>
      <c r="X7" s="2">
        <f t="shared" si="4"/>
        <v>2.2409177820267687</v>
      </c>
    </row>
    <row r="8" spans="1:26">
      <c r="B8">
        <v>0.5</v>
      </c>
      <c r="C8">
        <v>0</v>
      </c>
      <c r="D8">
        <v>67</v>
      </c>
      <c r="E8">
        <f t="shared" si="8"/>
        <v>18.223880597014926</v>
      </c>
      <c r="F8" s="1">
        <f t="shared" si="11"/>
        <v>0.1585302518826279</v>
      </c>
      <c r="G8" s="1">
        <f t="shared" si="9"/>
        <v>2.7193763919821826E-4</v>
      </c>
      <c r="H8" s="1">
        <v>7702</v>
      </c>
      <c r="I8" s="2">
        <v>6780</v>
      </c>
      <c r="J8" s="2">
        <f t="shared" si="10"/>
        <v>0.88029083354972737</v>
      </c>
      <c r="K8" s="1">
        <v>4490000</v>
      </c>
      <c r="L8" s="2">
        <f t="shared" si="0"/>
        <v>662.2418879056047</v>
      </c>
      <c r="M8" s="2">
        <v>380</v>
      </c>
      <c r="N8" s="2">
        <v>153</v>
      </c>
      <c r="O8" s="2">
        <v>1221</v>
      </c>
      <c r="P8" s="2">
        <v>489</v>
      </c>
      <c r="U8" s="2">
        <f t="shared" si="1"/>
        <v>3.2131578947368422</v>
      </c>
      <c r="V8" s="2">
        <f t="shared" si="2"/>
        <v>7.9803921568627452</v>
      </c>
      <c r="W8" s="2">
        <f t="shared" si="3"/>
        <v>1</v>
      </c>
      <c r="X8" s="2">
        <f t="shared" si="4"/>
        <v>2.4969325153374231</v>
      </c>
    </row>
    <row r="9" spans="1:26">
      <c r="B9">
        <v>1</v>
      </c>
      <c r="C9">
        <v>0</v>
      </c>
      <c r="D9">
        <v>78</v>
      </c>
      <c r="E9">
        <f t="shared" si="8"/>
        <v>16.153846153846153</v>
      </c>
      <c r="F9" s="1">
        <f t="shared" si="11"/>
        <v>0.13885827639409301</v>
      </c>
      <c r="G9" s="1">
        <f t="shared" si="9"/>
        <v>2.3639774859287053E-4</v>
      </c>
      <c r="H9" s="3">
        <v>9074</v>
      </c>
      <c r="I9" s="2">
        <v>7923</v>
      </c>
      <c r="J9" s="2">
        <f t="shared" si="10"/>
        <v>0.87315406656380867</v>
      </c>
      <c r="K9" s="1">
        <v>5330000</v>
      </c>
      <c r="L9" s="2">
        <f t="shared" si="0"/>
        <v>672.72497791240687</v>
      </c>
      <c r="M9" s="2">
        <v>280</v>
      </c>
      <c r="N9" s="2">
        <v>92</v>
      </c>
      <c r="O9" s="2">
        <v>1260</v>
      </c>
      <c r="P9" s="2">
        <v>549</v>
      </c>
      <c r="U9" s="2">
        <f t="shared" si="1"/>
        <v>4.5</v>
      </c>
      <c r="V9" s="2">
        <f t="shared" si="2"/>
        <v>13.695652173913043</v>
      </c>
      <c r="W9" s="2">
        <f t="shared" si="3"/>
        <v>1</v>
      </c>
      <c r="X9" s="2">
        <f t="shared" si="4"/>
        <v>2.2950819672131146</v>
      </c>
    </row>
    <row r="10" spans="1:26">
      <c r="B10">
        <v>-0.5</v>
      </c>
      <c r="C10">
        <v>0</v>
      </c>
      <c r="D10">
        <v>80</v>
      </c>
      <c r="E10">
        <f t="shared" si="8"/>
        <v>17.074999999999999</v>
      </c>
      <c r="F10" s="1">
        <f t="shared" si="11"/>
        <v>0.15445499773857982</v>
      </c>
      <c r="G10" s="1">
        <f t="shared" si="9"/>
        <v>2.5822306238185253E-4</v>
      </c>
      <c r="H10" s="1">
        <v>8844</v>
      </c>
      <c r="I10" s="2">
        <v>7738</v>
      </c>
      <c r="J10" s="2">
        <f t="shared" si="10"/>
        <v>0.87494346449570326</v>
      </c>
      <c r="K10" s="1">
        <v>5290000</v>
      </c>
      <c r="L10" s="2">
        <f t="shared" si="0"/>
        <v>683.6391832514862</v>
      </c>
      <c r="M10" s="2">
        <v>744</v>
      </c>
      <c r="N10" s="2">
        <v>310</v>
      </c>
      <c r="O10" s="2">
        <v>1366</v>
      </c>
      <c r="P10" s="2">
        <v>642</v>
      </c>
      <c r="U10" s="2">
        <f t="shared" si="1"/>
        <v>1.836021505376344</v>
      </c>
      <c r="V10" s="2">
        <f t="shared" si="2"/>
        <v>4.4064516129032256</v>
      </c>
      <c r="W10" s="2">
        <f t="shared" si="3"/>
        <v>1</v>
      </c>
      <c r="X10" s="2">
        <f t="shared" si="4"/>
        <v>2.1277258566978192</v>
      </c>
    </row>
    <row r="11" spans="1:26">
      <c r="B11">
        <v>0</v>
      </c>
      <c r="C11">
        <v>0.5</v>
      </c>
      <c r="D11">
        <v>66</v>
      </c>
      <c r="E11">
        <f t="shared" si="8"/>
        <v>16.166666666666668</v>
      </c>
      <c r="F11" s="1">
        <f t="shared" si="11"/>
        <v>0.14409182984469954</v>
      </c>
      <c r="G11" s="1">
        <f t="shared" si="9"/>
        <v>2.4528735632183907E-4</v>
      </c>
      <c r="H11" s="2">
        <v>7405</v>
      </c>
      <c r="I11" s="2">
        <v>6477</v>
      </c>
      <c r="J11" s="2">
        <f t="shared" si="10"/>
        <v>0.87467927076299801</v>
      </c>
      <c r="K11" s="1">
        <v>4350000</v>
      </c>
      <c r="L11" s="2">
        <f t="shared" si="0"/>
        <v>671.60722556739233</v>
      </c>
      <c r="M11" s="2">
        <v>435</v>
      </c>
      <c r="N11" s="2">
        <v>316</v>
      </c>
      <c r="O11" s="2">
        <v>1067</v>
      </c>
      <c r="P11" s="2">
        <v>1044</v>
      </c>
      <c r="U11" s="2">
        <f t="shared" si="1"/>
        <v>2.4528735632183909</v>
      </c>
      <c r="V11" s="2">
        <f t="shared" si="2"/>
        <v>3.3765822784810124</v>
      </c>
      <c r="W11" s="2">
        <f t="shared" si="3"/>
        <v>1</v>
      </c>
      <c r="X11" s="2">
        <f t="shared" si="4"/>
        <v>1.0220306513409962</v>
      </c>
    </row>
    <row r="12" spans="1:26">
      <c r="B12">
        <v>0</v>
      </c>
      <c r="C12">
        <v>1</v>
      </c>
      <c r="D12">
        <v>86</v>
      </c>
      <c r="E12">
        <f t="shared" si="8"/>
        <v>13.081395348837209</v>
      </c>
      <c r="F12" s="1">
        <f t="shared" si="11"/>
        <v>0.11922424756252649</v>
      </c>
      <c r="G12" s="1">
        <f t="shared" si="9"/>
        <v>2.0233812949640287E-4</v>
      </c>
      <c r="H12">
        <v>9436</v>
      </c>
      <c r="I12" s="2">
        <v>8286</v>
      </c>
      <c r="J12" s="2">
        <f t="shared" si="10"/>
        <v>0.87812632471386176</v>
      </c>
      <c r="K12" s="1">
        <v>5560000</v>
      </c>
      <c r="L12" s="2">
        <f t="shared" si="0"/>
        <v>671.01134443639876</v>
      </c>
      <c r="M12" s="2">
        <v>538</v>
      </c>
      <c r="N12" s="2">
        <v>533</v>
      </c>
      <c r="O12" s="2">
        <v>1125</v>
      </c>
      <c r="P12" s="2">
        <v>1439</v>
      </c>
      <c r="U12">
        <f t="shared" si="1"/>
        <v>2.0910780669144979</v>
      </c>
      <c r="V12">
        <f t="shared" si="2"/>
        <v>2.1106941838649154</v>
      </c>
      <c r="W12">
        <f t="shared" si="3"/>
        <v>1</v>
      </c>
      <c r="X12">
        <f t="shared" si="4"/>
        <v>0.78179291174426691</v>
      </c>
    </row>
    <row r="13" spans="1:26">
      <c r="B13">
        <v>0</v>
      </c>
      <c r="C13">
        <v>-0.5</v>
      </c>
      <c r="D13">
        <v>63</v>
      </c>
      <c r="E13">
        <f t="shared" si="8"/>
        <v>16.730158730158731</v>
      </c>
      <c r="F13" s="1">
        <f t="shared" si="11"/>
        <v>0.16522965982128859</v>
      </c>
      <c r="G13" s="1">
        <f t="shared" si="9"/>
        <v>2.7736842105263157E-4</v>
      </c>
      <c r="H13" s="1">
        <v>6379</v>
      </c>
      <c r="I13" s="2">
        <v>5622</v>
      </c>
      <c r="J13" s="2">
        <f t="shared" si="10"/>
        <v>0.88132936196896061</v>
      </c>
      <c r="K13" s="1">
        <v>3800000</v>
      </c>
      <c r="L13" s="2">
        <f t="shared" si="0"/>
        <v>675.91604411241553</v>
      </c>
      <c r="M13" s="2">
        <v>459</v>
      </c>
      <c r="N13" s="2">
        <v>185</v>
      </c>
      <c r="O13" s="2">
        <v>1054</v>
      </c>
      <c r="P13" s="2">
        <v>512</v>
      </c>
      <c r="U13" s="2">
        <f t="shared" si="1"/>
        <v>2.2962962962962963</v>
      </c>
      <c r="V13" s="2">
        <f t="shared" si="2"/>
        <v>5.6972972972972977</v>
      </c>
      <c r="W13" s="2">
        <f t="shared" si="3"/>
        <v>1</v>
      </c>
      <c r="X13" s="2">
        <f t="shared" si="4"/>
        <v>2.05859375</v>
      </c>
    </row>
    <row r="14" spans="1:26">
      <c r="B14">
        <v>0</v>
      </c>
      <c r="C14">
        <v>-1</v>
      </c>
      <c r="D14">
        <v>48</v>
      </c>
      <c r="E14">
        <f t="shared" si="8"/>
        <v>22.791666666666668</v>
      </c>
      <c r="F14" s="1">
        <f t="shared" si="11"/>
        <v>0.15949846916460125</v>
      </c>
      <c r="G14" s="1">
        <f t="shared" si="9"/>
        <v>2.8789473684210525E-4</v>
      </c>
      <c r="H14" s="1">
        <v>6859</v>
      </c>
      <c r="I14" s="2">
        <v>6020</v>
      </c>
      <c r="J14" s="2">
        <f t="shared" si="10"/>
        <v>0.87767896194780581</v>
      </c>
      <c r="K14" s="1">
        <v>3800000</v>
      </c>
      <c r="L14" s="2">
        <f t="shared" si="0"/>
        <v>631.22923588039862</v>
      </c>
      <c r="M14" s="2">
        <v>440</v>
      </c>
      <c r="N14" s="2">
        <v>127</v>
      </c>
      <c r="O14" s="2">
        <v>1094</v>
      </c>
      <c r="P14" s="2">
        <v>401</v>
      </c>
      <c r="U14" s="2">
        <f t="shared" si="1"/>
        <v>2.4863636363636363</v>
      </c>
      <c r="V14" s="2">
        <f t="shared" si="2"/>
        <v>8.6141732283464574</v>
      </c>
      <c r="W14" s="2">
        <f t="shared" si="3"/>
        <v>1</v>
      </c>
      <c r="X14" s="2">
        <f t="shared" si="4"/>
        <v>2.7281795511221945</v>
      </c>
    </row>
    <row r="15" spans="1:26">
      <c r="B15">
        <v>0</v>
      </c>
      <c r="C15">
        <v>0</v>
      </c>
      <c r="D15">
        <v>105</v>
      </c>
      <c r="E15">
        <f t="shared" si="8"/>
        <v>21.952380952380953</v>
      </c>
      <c r="F15" s="1">
        <f t="shared" si="11"/>
        <v>0.14999674627448428</v>
      </c>
      <c r="G15" s="1">
        <f t="shared" si="9"/>
        <v>2.7375296912114015E-4</v>
      </c>
      <c r="H15" s="1">
        <v>15367</v>
      </c>
      <c r="I15" s="2">
        <v>13472</v>
      </c>
      <c r="J15" s="2">
        <f t="shared" si="10"/>
        <v>0.87668380295438275</v>
      </c>
      <c r="K15" s="1">
        <v>8420000</v>
      </c>
      <c r="L15" s="2">
        <f t="shared" si="0"/>
        <v>625</v>
      </c>
      <c r="M15" s="2">
        <v>1060</v>
      </c>
      <c r="N15" s="2">
        <v>530</v>
      </c>
      <c r="O15" s="2">
        <v>2305</v>
      </c>
      <c r="P15" s="2">
        <v>1504</v>
      </c>
      <c r="U15" s="2">
        <f t="shared" si="1"/>
        <v>2.1745283018867925</v>
      </c>
      <c r="V15" s="2">
        <f t="shared" si="2"/>
        <v>4.3490566037735849</v>
      </c>
      <c r="W15" s="2">
        <f t="shared" si="3"/>
        <v>1</v>
      </c>
      <c r="X15" s="2">
        <f t="shared" si="4"/>
        <v>1.5325797872340425</v>
      </c>
    </row>
    <row r="16" spans="1:26">
      <c r="D16">
        <v>59</v>
      </c>
      <c r="E16">
        <f t="shared" si="8"/>
        <v>24.491525423728813</v>
      </c>
      <c r="F16" s="1">
        <f t="shared" si="11"/>
        <v>0.16019955654101994</v>
      </c>
      <c r="G16" s="1">
        <f t="shared" si="9"/>
        <v>2.9855371900826445E-4</v>
      </c>
      <c r="H16" s="1">
        <v>9020</v>
      </c>
      <c r="I16" s="1">
        <v>7932</v>
      </c>
      <c r="J16" s="2">
        <f t="shared" si="10"/>
        <v>0.87937915742793793</v>
      </c>
      <c r="K16" s="1">
        <v>4840000</v>
      </c>
      <c r="L16" s="1">
        <f t="shared" si="0"/>
        <v>610.18658598083709</v>
      </c>
      <c r="M16" s="2">
        <v>600</v>
      </c>
      <c r="N16" s="2">
        <v>242</v>
      </c>
      <c r="O16" s="2">
        <v>1445</v>
      </c>
      <c r="P16" s="2">
        <v>594</v>
      </c>
      <c r="U16" s="2">
        <f t="shared" si="1"/>
        <v>2.4083333333333332</v>
      </c>
      <c r="V16" s="2">
        <f t="shared" si="2"/>
        <v>5.9710743801652892</v>
      </c>
      <c r="W16" s="2">
        <f t="shared" si="3"/>
        <v>1</v>
      </c>
      <c r="X16" s="2">
        <f t="shared" si="4"/>
        <v>2.4326599326599325</v>
      </c>
    </row>
    <row r="17" spans="1:24" s="12" customFormat="1">
      <c r="U17" s="12">
        <f>O20/M20</f>
        <v>2.3490909090909091</v>
      </c>
      <c r="V17" s="12">
        <f>O20/N20</f>
        <v>6.1135646687697163</v>
      </c>
      <c r="W17" s="12">
        <f>O20/O20</f>
        <v>1</v>
      </c>
      <c r="X17" s="12">
        <f>O20/P20</f>
        <v>2.2224770642201834</v>
      </c>
    </row>
    <row r="18" spans="1:24">
      <c r="A18" s="12"/>
      <c r="F18" s="1"/>
      <c r="G18" s="1"/>
      <c r="H18" s="1"/>
      <c r="I18" s="2"/>
      <c r="J18" s="2"/>
      <c r="K18" s="1"/>
      <c r="L18" s="2"/>
      <c r="U18" s="2"/>
      <c r="V18" s="2"/>
      <c r="W18" s="2"/>
      <c r="X18" s="2"/>
    </row>
    <row r="19" spans="1:24">
      <c r="F19" s="1"/>
      <c r="G19" s="1"/>
      <c r="H19" s="1"/>
      <c r="I19" s="2"/>
      <c r="J19" s="2"/>
      <c r="K19" s="1"/>
      <c r="L19" s="2"/>
      <c r="U19" s="2"/>
      <c r="V19" s="2"/>
      <c r="W19" s="2"/>
      <c r="X19" s="2"/>
    </row>
    <row r="20" spans="1:24">
      <c r="A20" t="s">
        <v>59</v>
      </c>
      <c r="B20">
        <v>0</v>
      </c>
      <c r="C20">
        <v>0</v>
      </c>
      <c r="D20">
        <v>30</v>
      </c>
      <c r="E20">
        <f t="shared" ref="E20:E27" si="12">O20/D20</f>
        <v>64.599999999999994</v>
      </c>
      <c r="F20">
        <f t="shared" ref="F20:F27" si="13">O20/H20</f>
        <v>0.16313131313131313</v>
      </c>
      <c r="G20">
        <f t="shared" ref="G20:G27" si="14">O20/K20</f>
        <v>2.7884892086330938E-4</v>
      </c>
      <c r="H20">
        <v>11880</v>
      </c>
      <c r="I20">
        <v>10350</v>
      </c>
      <c r="J20">
        <f t="shared" ref="J20:J27" si="15">I20/H20</f>
        <v>0.87121212121212122</v>
      </c>
      <c r="K20">
        <v>6950000</v>
      </c>
      <c r="L20">
        <f t="shared" ref="L20:L27" si="16">K20/I20</f>
        <v>671.49758454106279</v>
      </c>
      <c r="M20">
        <v>825</v>
      </c>
      <c r="N20">
        <v>317</v>
      </c>
      <c r="O20">
        <v>1938</v>
      </c>
      <c r="P20">
        <v>872</v>
      </c>
    </row>
    <row r="21" spans="1:24">
      <c r="B21">
        <v>0</v>
      </c>
      <c r="C21">
        <v>0</v>
      </c>
      <c r="D21">
        <v>17</v>
      </c>
      <c r="E21">
        <f t="shared" si="12"/>
        <v>105.82352941176471</v>
      </c>
      <c r="F21">
        <f t="shared" si="13"/>
        <v>0.1636495951969435</v>
      </c>
      <c r="G21">
        <f t="shared" si="14"/>
        <v>2.7012012012012012E-4</v>
      </c>
      <c r="H21" s="1">
        <v>10993</v>
      </c>
      <c r="I21" s="2">
        <v>9596</v>
      </c>
      <c r="J21">
        <f t="shared" si="15"/>
        <v>0.87291913035568092</v>
      </c>
      <c r="K21" s="1">
        <v>6660000</v>
      </c>
      <c r="L21">
        <f t="shared" si="16"/>
        <v>694.03918299291377</v>
      </c>
      <c r="M21" s="2">
        <v>750</v>
      </c>
      <c r="N21" s="2">
        <v>315</v>
      </c>
      <c r="O21" s="2">
        <v>1799</v>
      </c>
      <c r="P21" s="2">
        <v>845</v>
      </c>
      <c r="U21" s="2"/>
      <c r="V21" s="2"/>
      <c r="W21" s="2"/>
      <c r="X21" s="2"/>
    </row>
    <row r="22" spans="1:24">
      <c r="B22">
        <v>0</v>
      </c>
      <c r="C22">
        <v>0</v>
      </c>
      <c r="D22">
        <v>29</v>
      </c>
      <c r="E22">
        <f t="shared" si="12"/>
        <v>60.724137931034484</v>
      </c>
      <c r="F22">
        <f t="shared" si="13"/>
        <v>0.15974238026124818</v>
      </c>
      <c r="G22">
        <f t="shared" si="14"/>
        <v>2.8403225806451613E-4</v>
      </c>
      <c r="H22" s="1">
        <v>11024</v>
      </c>
      <c r="I22" s="2">
        <v>9602</v>
      </c>
      <c r="J22">
        <f t="shared" si="15"/>
        <v>0.87100870827285926</v>
      </c>
      <c r="K22" s="1">
        <v>6200000</v>
      </c>
      <c r="L22">
        <f t="shared" si="16"/>
        <v>645.69881274734428</v>
      </c>
      <c r="M22" s="2">
        <v>752</v>
      </c>
      <c r="N22" s="2">
        <v>291</v>
      </c>
      <c r="O22" s="2">
        <v>1761</v>
      </c>
      <c r="P22" s="2">
        <v>771</v>
      </c>
      <c r="U22" s="2"/>
      <c r="V22" s="2"/>
      <c r="W22" s="2"/>
      <c r="X22" s="2"/>
    </row>
    <row r="23" spans="1:24">
      <c r="B23">
        <v>0</v>
      </c>
      <c r="C23">
        <v>0</v>
      </c>
      <c r="D23">
        <v>28</v>
      </c>
      <c r="E23">
        <f t="shared" si="12"/>
        <v>43.392857142857146</v>
      </c>
      <c r="F23">
        <f t="shared" si="13"/>
        <v>0.14705882352941177</v>
      </c>
      <c r="G23">
        <f t="shared" si="14"/>
        <v>2.6470588235294115E-4</v>
      </c>
      <c r="H23" s="1">
        <v>8262</v>
      </c>
      <c r="I23" s="2">
        <v>7156</v>
      </c>
      <c r="J23">
        <f t="shared" si="15"/>
        <v>0.86613410796417334</v>
      </c>
      <c r="K23" s="1">
        <v>4590000</v>
      </c>
      <c r="L23">
        <f t="shared" si="16"/>
        <v>641.41978759083281</v>
      </c>
      <c r="M23" s="2">
        <v>549</v>
      </c>
      <c r="N23" s="2">
        <v>213</v>
      </c>
      <c r="O23" s="2">
        <v>1215</v>
      </c>
      <c r="P23" s="2">
        <v>549</v>
      </c>
      <c r="U23" s="2"/>
      <c r="V23" s="2"/>
      <c r="W23" s="2"/>
      <c r="X23" s="2"/>
    </row>
    <row r="24" spans="1:24">
      <c r="B24">
        <v>0</v>
      </c>
      <c r="C24">
        <v>0</v>
      </c>
      <c r="D24">
        <v>40</v>
      </c>
      <c r="E24">
        <f t="shared" si="12"/>
        <v>29.774999999999999</v>
      </c>
      <c r="F24" s="1">
        <f t="shared" si="13"/>
        <v>0.14736451373422421</v>
      </c>
      <c r="G24" s="1">
        <f t="shared" si="14"/>
        <v>2.7569444444444446E-4</v>
      </c>
      <c r="H24" s="1">
        <v>8082</v>
      </c>
      <c r="I24" s="2">
        <v>7017</v>
      </c>
      <c r="J24" s="2">
        <f t="shared" si="15"/>
        <v>0.86822568671121014</v>
      </c>
      <c r="K24" s="1">
        <v>4320000</v>
      </c>
      <c r="L24" s="2">
        <f t="shared" si="16"/>
        <v>615.64771269773405</v>
      </c>
      <c r="M24" s="2">
        <v>549</v>
      </c>
      <c r="N24" s="2">
        <v>165</v>
      </c>
      <c r="O24" s="2">
        <v>1191</v>
      </c>
      <c r="P24" s="2">
        <v>518</v>
      </c>
      <c r="U24" s="2"/>
      <c r="V24" s="2"/>
      <c r="W24" s="2"/>
      <c r="X24" s="2"/>
    </row>
    <row r="25" spans="1:24">
      <c r="B25">
        <v>0</v>
      </c>
      <c r="C25">
        <v>0</v>
      </c>
      <c r="D25">
        <v>64</v>
      </c>
      <c r="E25">
        <f t="shared" si="12"/>
        <v>69.421875</v>
      </c>
      <c r="F25" s="1">
        <f t="shared" si="13"/>
        <v>0.15753643229443676</v>
      </c>
      <c r="G25" s="1">
        <f t="shared" si="14"/>
        <v>2.6493738819320217E-4</v>
      </c>
      <c r="H25" s="1">
        <v>28203</v>
      </c>
      <c r="I25" s="2">
        <v>24485</v>
      </c>
      <c r="J25" s="2">
        <f t="shared" si="15"/>
        <v>0.86817005283125903</v>
      </c>
      <c r="K25" s="1">
        <v>16770000</v>
      </c>
      <c r="L25" s="2">
        <f t="shared" si="16"/>
        <v>684.90912803757408</v>
      </c>
      <c r="M25" s="2">
        <v>1893</v>
      </c>
      <c r="N25" s="2">
        <v>790</v>
      </c>
      <c r="O25" s="2">
        <v>4443</v>
      </c>
      <c r="P25" s="2">
        <v>2100</v>
      </c>
      <c r="U25" s="2"/>
      <c r="V25" s="2"/>
      <c r="W25" s="2"/>
      <c r="X25" s="2"/>
    </row>
    <row r="26" spans="1:24">
      <c r="B26">
        <v>0</v>
      </c>
      <c r="C26">
        <v>0</v>
      </c>
      <c r="D26">
        <v>66</v>
      </c>
      <c r="E26">
        <f t="shared" si="12"/>
        <v>31.90909090909091</v>
      </c>
      <c r="F26" s="1">
        <f t="shared" si="13"/>
        <v>0.14946770759403832</v>
      </c>
      <c r="G26" s="1">
        <f t="shared" si="14"/>
        <v>2.793103448275862E-4</v>
      </c>
      <c r="H26" s="1">
        <v>14090</v>
      </c>
      <c r="I26" s="2">
        <v>12273</v>
      </c>
      <c r="J26" s="2">
        <f t="shared" si="15"/>
        <v>0.87104329311568485</v>
      </c>
      <c r="K26" s="1">
        <v>7540000</v>
      </c>
      <c r="L26" s="2">
        <f t="shared" si="16"/>
        <v>614.35671799885927</v>
      </c>
      <c r="M26" s="2">
        <v>935</v>
      </c>
      <c r="N26" s="2">
        <v>369</v>
      </c>
      <c r="O26" s="2">
        <v>2106</v>
      </c>
      <c r="P26" s="2">
        <v>927</v>
      </c>
      <c r="U26" s="2"/>
      <c r="V26" s="2"/>
      <c r="W26" s="2"/>
      <c r="X26" s="2"/>
    </row>
    <row r="27" spans="1:24">
      <c r="B27">
        <v>0</v>
      </c>
      <c r="C27">
        <v>0</v>
      </c>
      <c r="D27">
        <v>67</v>
      </c>
      <c r="E27">
        <f t="shared" si="12"/>
        <v>22.104477611940297</v>
      </c>
      <c r="F27" s="1">
        <f t="shared" si="13"/>
        <v>0.15904209621993126</v>
      </c>
      <c r="G27" s="1">
        <f t="shared" si="14"/>
        <v>2.9501992031872508E-4</v>
      </c>
      <c r="H27" s="1">
        <v>9312</v>
      </c>
      <c r="I27" s="2">
        <v>8084</v>
      </c>
      <c r="J27" s="2">
        <f t="shared" si="15"/>
        <v>0.86812714776632305</v>
      </c>
      <c r="K27" s="1">
        <v>5020000</v>
      </c>
      <c r="L27" s="2">
        <f t="shared" si="16"/>
        <v>620.97971301335974</v>
      </c>
      <c r="M27" s="2">
        <v>703</v>
      </c>
      <c r="N27" s="2">
        <v>249</v>
      </c>
      <c r="O27" s="2">
        <v>1481</v>
      </c>
      <c r="P27" s="2">
        <v>570</v>
      </c>
      <c r="U27" s="2"/>
      <c r="V27" s="2"/>
      <c r="W27" s="2"/>
      <c r="X27" s="2"/>
    </row>
    <row r="28" spans="1:24">
      <c r="F28" s="1"/>
      <c r="G28" s="1"/>
      <c r="H28" s="1"/>
      <c r="I28" s="2"/>
      <c r="J28" s="2"/>
      <c r="K28" s="1"/>
      <c r="L28" s="2"/>
      <c r="U28" s="2"/>
      <c r="V28" s="2"/>
      <c r="W28" s="2"/>
      <c r="X28" s="2"/>
    </row>
    <row r="29" spans="1:24">
      <c r="F29" s="1">
        <f>AVERAGE(F20:F27)</f>
        <v>0.15587410774519339</v>
      </c>
    </row>
    <row r="30" spans="1:24">
      <c r="F30" s="1">
        <f>STDEVA(F20:F27)</f>
        <v>6.887386298812111E-3</v>
      </c>
    </row>
    <row r="31" spans="1:24">
      <c r="F31" s="1">
        <f>F30*100/F29</f>
        <v>4.4185569999033367</v>
      </c>
    </row>
    <row r="32" spans="1:24">
      <c r="F32" s="1"/>
    </row>
    <row r="33" spans="1:24">
      <c r="A33">
        <v>28112013</v>
      </c>
      <c r="R33" s="9"/>
    </row>
    <row r="34" spans="1:24">
      <c r="B34" t="s">
        <v>7</v>
      </c>
      <c r="C34" t="s">
        <v>8</v>
      </c>
      <c r="D34" t="s">
        <v>6</v>
      </c>
      <c r="E34" t="s">
        <v>11</v>
      </c>
      <c r="F34" t="s">
        <v>12</v>
      </c>
      <c r="G34" t="s">
        <v>13</v>
      </c>
      <c r="H34" t="s">
        <v>57</v>
      </c>
      <c r="I34" t="s">
        <v>0</v>
      </c>
      <c r="J34" t="s">
        <v>58</v>
      </c>
      <c r="K34" s="1" t="s">
        <v>1</v>
      </c>
      <c r="L34" s="1" t="s">
        <v>17</v>
      </c>
      <c r="M34" t="s">
        <v>2</v>
      </c>
      <c r="N34" t="s">
        <v>3</v>
      </c>
      <c r="O34" t="s">
        <v>4</v>
      </c>
      <c r="P34" t="s">
        <v>5</v>
      </c>
      <c r="Q34" t="s">
        <v>67</v>
      </c>
      <c r="R34" t="s">
        <v>46</v>
      </c>
      <c r="S34" s="1"/>
      <c r="T34" s="1"/>
      <c r="U34" s="2"/>
      <c r="V34" s="2"/>
      <c r="W34" s="2"/>
      <c r="X34" s="2"/>
    </row>
    <row r="35" spans="1:24">
      <c r="Q35" s="1"/>
      <c r="S35" s="1"/>
      <c r="T35" s="1"/>
      <c r="U35" s="2"/>
      <c r="V35" s="2"/>
      <c r="W35" s="2"/>
      <c r="X35" s="2"/>
    </row>
    <row r="36" spans="1:24">
      <c r="B36">
        <v>0</v>
      </c>
      <c r="C36">
        <v>0</v>
      </c>
      <c r="D36">
        <v>19</v>
      </c>
      <c r="E36">
        <f>O36/D36</f>
        <v>401.84210526315792</v>
      </c>
      <c r="F36" s="1">
        <f>O36/I36</f>
        <v>0.46427485557920339</v>
      </c>
      <c r="G36" s="1">
        <f>O36/K36</f>
        <v>6.3572023313905081E-4</v>
      </c>
      <c r="H36" s="3">
        <v>18365</v>
      </c>
      <c r="I36" s="3">
        <v>16445</v>
      </c>
      <c r="J36" s="2">
        <f t="shared" ref="J36:J51" si="17">I36/H36</f>
        <v>0.89545330792267896</v>
      </c>
      <c r="K36" s="1">
        <v>12010000</v>
      </c>
      <c r="L36" s="2">
        <f t="shared" ref="L36:L51" si="18">K36/I36</f>
        <v>730.3131650957738</v>
      </c>
      <c r="M36">
        <v>1908</v>
      </c>
      <c r="N36">
        <v>537</v>
      </c>
      <c r="O36">
        <v>7635</v>
      </c>
      <c r="P36">
        <v>2250</v>
      </c>
      <c r="S36" s="1"/>
      <c r="T36" s="1"/>
      <c r="U36" s="2"/>
      <c r="V36" s="2"/>
      <c r="W36" s="2"/>
      <c r="X36" s="2"/>
    </row>
    <row r="37" spans="1:24">
      <c r="B37">
        <v>0</v>
      </c>
      <c r="C37">
        <v>0</v>
      </c>
      <c r="D37">
        <v>60</v>
      </c>
      <c r="E37">
        <f>O37/D37</f>
        <v>138.06666666666666</v>
      </c>
      <c r="F37" s="1">
        <f>O37/I37</f>
        <v>0.45085446827038206</v>
      </c>
      <c r="G37" s="1">
        <f>O37/K37</f>
        <v>2.8526170798898073E-4</v>
      </c>
      <c r="H37">
        <v>20583</v>
      </c>
      <c r="I37">
        <v>18374</v>
      </c>
      <c r="J37" s="2">
        <f t="shared" si="17"/>
        <v>0.89267842394208818</v>
      </c>
      <c r="K37" s="1">
        <v>29040000</v>
      </c>
      <c r="L37" s="2">
        <f t="shared" si="18"/>
        <v>1580.494176553826</v>
      </c>
      <c r="M37">
        <v>1896</v>
      </c>
      <c r="N37">
        <v>589</v>
      </c>
      <c r="O37">
        <v>8284</v>
      </c>
      <c r="P37">
        <v>2475</v>
      </c>
    </row>
    <row r="38" spans="1:24">
      <c r="B38">
        <v>0</v>
      </c>
      <c r="C38">
        <v>0</v>
      </c>
      <c r="D38">
        <v>60</v>
      </c>
      <c r="E38">
        <f>O38/D38</f>
        <v>103.6</v>
      </c>
      <c r="F38" s="1">
        <f>O38/I38</f>
        <v>0.45335861716869669</v>
      </c>
      <c r="G38" s="1">
        <f>O38/K38</f>
        <v>2.6735483870967742E-4</v>
      </c>
      <c r="H38">
        <v>15443</v>
      </c>
      <c r="I38">
        <v>13711</v>
      </c>
      <c r="J38" s="2">
        <f t="shared" si="17"/>
        <v>0.88784562584989968</v>
      </c>
      <c r="K38" s="1">
        <v>23250000</v>
      </c>
      <c r="L38" s="2">
        <f t="shared" si="18"/>
        <v>1695.7187659543433</v>
      </c>
      <c r="M38">
        <v>1440</v>
      </c>
      <c r="N38">
        <v>457</v>
      </c>
      <c r="O38">
        <v>6216</v>
      </c>
      <c r="P38">
        <v>1857</v>
      </c>
    </row>
    <row r="39" spans="1:24">
      <c r="B39">
        <v>0</v>
      </c>
      <c r="C39">
        <v>0</v>
      </c>
      <c r="D39">
        <v>59</v>
      </c>
      <c r="E39">
        <f>O39/D39</f>
        <v>115.66101694915254</v>
      </c>
      <c r="F39" s="1">
        <f>O39/I39</f>
        <v>0.46189251387572761</v>
      </c>
      <c r="G39" s="1">
        <f>O39/K39</f>
        <v>2.7661126874746657E-4</v>
      </c>
      <c r="H39">
        <v>16648</v>
      </c>
      <c r="I39">
        <v>14774</v>
      </c>
      <c r="J39" s="2">
        <f t="shared" si="17"/>
        <v>0.88743392599711679</v>
      </c>
      <c r="K39" s="1">
        <v>24670000</v>
      </c>
      <c r="L39" s="2">
        <f t="shared" si="18"/>
        <v>1669.8253688912955</v>
      </c>
      <c r="M39" s="1">
        <v>1554</v>
      </c>
      <c r="N39" s="1">
        <v>490</v>
      </c>
      <c r="O39" s="1">
        <v>6824</v>
      </c>
      <c r="P39" s="1">
        <v>1915</v>
      </c>
      <c r="Q39" s="1"/>
    </row>
    <row r="40" spans="1:24">
      <c r="B40">
        <v>-0.5</v>
      </c>
      <c r="C40">
        <v>0</v>
      </c>
      <c r="D40">
        <v>34</v>
      </c>
      <c r="E40">
        <f>O40/D40</f>
        <v>112.67647058823529</v>
      </c>
      <c r="F40" s="1">
        <f>O40/I40</f>
        <v>0.46396996487828507</v>
      </c>
      <c r="G40" s="1">
        <f>O40/K40</f>
        <v>2.7740767559739321E-4</v>
      </c>
      <c r="H40">
        <v>9296</v>
      </c>
      <c r="I40">
        <v>8257</v>
      </c>
      <c r="J40" s="2">
        <f t="shared" si="17"/>
        <v>0.88823149741824436</v>
      </c>
      <c r="K40" s="1">
        <v>13810000</v>
      </c>
      <c r="L40" s="2">
        <f t="shared" si="18"/>
        <v>1672.5202858180937</v>
      </c>
      <c r="M40">
        <v>1416</v>
      </c>
      <c r="N40">
        <v>391</v>
      </c>
      <c r="O40" s="1">
        <v>3831</v>
      </c>
      <c r="P40" s="1">
        <v>1118</v>
      </c>
      <c r="Q40" s="1"/>
    </row>
    <row r="41" spans="1:24">
      <c r="B41">
        <v>-1</v>
      </c>
      <c r="C41">
        <v>0</v>
      </c>
      <c r="D41">
        <v>43</v>
      </c>
      <c r="E41">
        <f>O41/D41</f>
        <v>115.32558139534883</v>
      </c>
      <c r="F41" s="1">
        <f>O41/I41</f>
        <v>0.46036019309320458</v>
      </c>
      <c r="G41" s="1">
        <f>O41/K41</f>
        <v>2.7703910614525142E-4</v>
      </c>
      <c r="H41">
        <v>12155</v>
      </c>
      <c r="I41">
        <v>10772</v>
      </c>
      <c r="J41" s="2">
        <f t="shared" si="17"/>
        <v>0.88621966269025088</v>
      </c>
      <c r="K41" s="1">
        <v>17900000</v>
      </c>
      <c r="L41" s="1">
        <f t="shared" si="18"/>
        <v>1661.7155588562941</v>
      </c>
      <c r="M41">
        <v>2459</v>
      </c>
      <c r="N41">
        <v>702</v>
      </c>
      <c r="O41" s="1">
        <v>4959</v>
      </c>
      <c r="P41" s="1">
        <v>1511</v>
      </c>
      <c r="Q41" s="1"/>
    </row>
    <row r="42" spans="1:24">
      <c r="B42">
        <v>-1.5</v>
      </c>
      <c r="C42">
        <v>0</v>
      </c>
      <c r="D42">
        <v>53</v>
      </c>
      <c r="E42">
        <f>O42/D42</f>
        <v>97.962264150943398</v>
      </c>
      <c r="F42" s="1">
        <f>O42/I42</f>
        <v>0.40632336828924714</v>
      </c>
      <c r="G42" s="1">
        <f>O42/K42</f>
        <v>2.4432941176470588E-4</v>
      </c>
      <c r="H42">
        <v>14380</v>
      </c>
      <c r="I42">
        <v>12778</v>
      </c>
      <c r="J42" s="2">
        <f t="shared" si="17"/>
        <v>0.88859527121001392</v>
      </c>
      <c r="K42" s="1">
        <v>21250000</v>
      </c>
      <c r="L42" s="2">
        <f t="shared" si="18"/>
        <v>1663.0145562685866</v>
      </c>
      <c r="M42">
        <v>3833</v>
      </c>
      <c r="N42">
        <v>1056</v>
      </c>
      <c r="O42" s="1">
        <v>5192</v>
      </c>
      <c r="P42" s="1">
        <v>1453</v>
      </c>
    </row>
    <row r="43" spans="1:24">
      <c r="B43">
        <v>0.5</v>
      </c>
      <c r="C43">
        <v>0</v>
      </c>
      <c r="D43">
        <v>40</v>
      </c>
      <c r="E43">
        <f>O43/D43</f>
        <v>90.025000000000006</v>
      </c>
      <c r="F43" s="1">
        <f>O43/I43</f>
        <v>0.38377917510391135</v>
      </c>
      <c r="G43" s="1">
        <f>O43/K43</f>
        <v>2.2633563796354493E-4</v>
      </c>
      <c r="H43">
        <v>10610</v>
      </c>
      <c r="I43">
        <v>9383</v>
      </c>
      <c r="J43" s="2">
        <f t="shared" si="17"/>
        <v>0.88435438265786992</v>
      </c>
      <c r="K43" s="1">
        <v>15910000</v>
      </c>
      <c r="L43" s="2">
        <f t="shared" si="18"/>
        <v>1695.6197378237237</v>
      </c>
      <c r="M43">
        <v>664</v>
      </c>
      <c r="N43">
        <v>215</v>
      </c>
      <c r="O43" s="1">
        <v>3601</v>
      </c>
      <c r="P43" s="1">
        <v>1217</v>
      </c>
    </row>
    <row r="44" spans="1:24">
      <c r="B44">
        <v>1</v>
      </c>
      <c r="C44">
        <v>0</v>
      </c>
      <c r="D44">
        <v>42</v>
      </c>
      <c r="E44">
        <f>O44/D44</f>
        <v>82.238095238095241</v>
      </c>
      <c r="F44" s="1">
        <f>O44/I44</f>
        <v>0.31500227998176017</v>
      </c>
      <c r="G44" s="1">
        <f>O44/K44</f>
        <v>1.9669703872437358E-4</v>
      </c>
      <c r="H44">
        <v>12286</v>
      </c>
      <c r="I44">
        <v>10965</v>
      </c>
      <c r="J44" s="2">
        <f t="shared" si="17"/>
        <v>0.89247924466872863</v>
      </c>
      <c r="K44" s="1">
        <v>17560000</v>
      </c>
      <c r="L44" s="2">
        <f t="shared" si="18"/>
        <v>1601.4591883264934</v>
      </c>
      <c r="M44">
        <v>451</v>
      </c>
      <c r="N44">
        <v>131</v>
      </c>
      <c r="O44" s="1">
        <v>3454</v>
      </c>
      <c r="P44" s="1">
        <v>1050</v>
      </c>
    </row>
    <row r="45" spans="1:24">
      <c r="B45">
        <v>0</v>
      </c>
      <c r="C45">
        <v>0</v>
      </c>
      <c r="D45">
        <v>36</v>
      </c>
      <c r="E45">
        <f>O45/D45</f>
        <v>139.66666666666666</v>
      </c>
      <c r="F45" s="1">
        <f>O45/I45</f>
        <v>0.45452901826071235</v>
      </c>
      <c r="G45" s="1">
        <f>O45/K45</f>
        <v>2.9386323787258914E-4</v>
      </c>
      <c r="H45">
        <v>12440</v>
      </c>
      <c r="I45">
        <v>11062</v>
      </c>
      <c r="J45" s="2">
        <f t="shared" si="17"/>
        <v>0.88922829581993568</v>
      </c>
      <c r="K45" s="1">
        <v>17110000</v>
      </c>
      <c r="L45" s="2">
        <f t="shared" si="18"/>
        <v>1546.7365756644367</v>
      </c>
      <c r="M45">
        <v>1532</v>
      </c>
      <c r="N45">
        <v>403</v>
      </c>
      <c r="O45" s="1">
        <v>5028</v>
      </c>
      <c r="P45" s="1">
        <v>1309</v>
      </c>
    </row>
    <row r="46" spans="1:24">
      <c r="B46">
        <v>0</v>
      </c>
      <c r="C46">
        <v>0.5</v>
      </c>
      <c r="D46">
        <v>34</v>
      </c>
      <c r="E46">
        <f>O46/D46</f>
        <v>143.38235294117646</v>
      </c>
      <c r="F46" s="1">
        <f>O46/I46</f>
        <v>0.46579399961781004</v>
      </c>
      <c r="G46" s="1">
        <f>O46/K46</f>
        <v>3.073770491803279E-4</v>
      </c>
      <c r="H46">
        <v>11834</v>
      </c>
      <c r="I46">
        <v>10466</v>
      </c>
      <c r="J46" s="2">
        <f t="shared" si="17"/>
        <v>0.8844008788237282</v>
      </c>
      <c r="K46" s="1">
        <v>15860000</v>
      </c>
      <c r="L46" s="2">
        <f t="shared" si="18"/>
        <v>1515.3831454232754</v>
      </c>
      <c r="M46">
        <v>1404</v>
      </c>
      <c r="N46">
        <v>557</v>
      </c>
      <c r="O46" s="1">
        <v>4875</v>
      </c>
      <c r="P46" s="1">
        <v>1814</v>
      </c>
      <c r="Q46">
        <v>350</v>
      </c>
    </row>
    <row r="47" spans="1:24">
      <c r="B47">
        <v>0</v>
      </c>
      <c r="C47">
        <v>1</v>
      </c>
      <c r="D47">
        <v>37</v>
      </c>
      <c r="E47">
        <f>O47/D47</f>
        <v>141.83783783783784</v>
      </c>
      <c r="F47" s="1">
        <f>O47/I47</f>
        <v>0.4832857537526476</v>
      </c>
      <c r="G47" s="1">
        <f>O47/K47</f>
        <v>3.058275058275058E-4</v>
      </c>
      <c r="H47">
        <v>12228</v>
      </c>
      <c r="I47">
        <v>10859</v>
      </c>
      <c r="J47" s="2">
        <f t="shared" si="17"/>
        <v>0.88804383382401042</v>
      </c>
      <c r="K47" s="1">
        <v>17160000</v>
      </c>
      <c r="L47" s="2">
        <f t="shared" si="18"/>
        <v>1580.256008840593</v>
      </c>
      <c r="M47">
        <v>1536</v>
      </c>
      <c r="N47">
        <v>805</v>
      </c>
      <c r="O47" s="1">
        <v>5248</v>
      </c>
      <c r="P47" s="1">
        <v>2760</v>
      </c>
    </row>
    <row r="48" spans="1:24">
      <c r="B48">
        <v>0</v>
      </c>
      <c r="C48">
        <v>1.5</v>
      </c>
      <c r="D48">
        <v>32</v>
      </c>
      <c r="E48">
        <f>O48/D48</f>
        <v>134.03125</v>
      </c>
      <c r="F48" s="1">
        <f>O48/I48</f>
        <v>0.43006116514589393</v>
      </c>
      <c r="G48" s="1">
        <f>O48/K48</f>
        <v>2.7778497409326427E-4</v>
      </c>
      <c r="H48">
        <v>11185</v>
      </c>
      <c r="I48">
        <v>9973</v>
      </c>
      <c r="J48" s="2">
        <f t="shared" si="17"/>
        <v>0.89164059007599461</v>
      </c>
      <c r="K48" s="1">
        <v>15440000</v>
      </c>
      <c r="L48" s="2">
        <f t="shared" si="18"/>
        <v>1548.1800862328287</v>
      </c>
      <c r="M48">
        <v>1310</v>
      </c>
      <c r="N48">
        <v>885</v>
      </c>
      <c r="O48" s="1">
        <v>4289</v>
      </c>
      <c r="P48" s="1">
        <v>3292</v>
      </c>
    </row>
    <row r="49" spans="1:17">
      <c r="B49">
        <v>0</v>
      </c>
      <c r="C49">
        <v>2</v>
      </c>
      <c r="D49">
        <v>31</v>
      </c>
      <c r="E49">
        <f>O49/D49</f>
        <v>107.54838709677419</v>
      </c>
      <c r="F49" s="1">
        <f>O49/I49</f>
        <v>0.33937296416938112</v>
      </c>
      <c r="G49" s="1">
        <f>O49/K49</f>
        <v>2.2301003344481606E-4</v>
      </c>
      <c r="H49">
        <v>10997</v>
      </c>
      <c r="I49">
        <v>9824</v>
      </c>
      <c r="J49" s="2">
        <f t="shared" si="17"/>
        <v>0.8933345457852141</v>
      </c>
      <c r="K49" s="1">
        <v>14950000</v>
      </c>
      <c r="L49" s="2">
        <f t="shared" si="18"/>
        <v>1521.7833876221498</v>
      </c>
      <c r="M49">
        <v>1146</v>
      </c>
      <c r="N49">
        <v>1136</v>
      </c>
      <c r="O49" s="1">
        <v>3334</v>
      </c>
      <c r="P49" s="1">
        <v>4013</v>
      </c>
    </row>
    <row r="50" spans="1:17">
      <c r="B50">
        <v>0</v>
      </c>
      <c r="C50">
        <v>-0.5</v>
      </c>
      <c r="D50">
        <v>47</v>
      </c>
      <c r="E50">
        <f>O50/D50</f>
        <v>132.87234042553192</v>
      </c>
      <c r="F50" s="1">
        <f>O50/I50</f>
        <v>0.4084636012819674</v>
      </c>
      <c r="G50" s="1">
        <f>O50/K50</f>
        <v>2.6745182012847965E-4</v>
      </c>
      <c r="H50">
        <v>17235</v>
      </c>
      <c r="I50">
        <v>15289</v>
      </c>
      <c r="J50" s="2">
        <f t="shared" si="17"/>
        <v>0.88709022338265153</v>
      </c>
      <c r="K50" s="1">
        <v>23350000</v>
      </c>
      <c r="L50" s="2">
        <f t="shared" si="18"/>
        <v>1527.2418078356989</v>
      </c>
      <c r="M50">
        <v>1713</v>
      </c>
      <c r="N50">
        <v>369</v>
      </c>
      <c r="O50" s="1">
        <v>6245</v>
      </c>
      <c r="P50" s="1">
        <v>1316</v>
      </c>
    </row>
    <row r="51" spans="1:17">
      <c r="B51">
        <v>-0.5</v>
      </c>
      <c r="C51">
        <v>0.8</v>
      </c>
      <c r="D51">
        <v>31</v>
      </c>
      <c r="E51">
        <f>O51/D51</f>
        <v>180.93548387096774</v>
      </c>
      <c r="F51" s="1">
        <f>O51/I51</f>
        <v>0.4876967220241718</v>
      </c>
      <c r="G51" s="1">
        <f>O51/K51</f>
        <v>3.2897360703812315E-4</v>
      </c>
      <c r="H51">
        <v>12978</v>
      </c>
      <c r="I51">
        <v>11501</v>
      </c>
      <c r="J51" s="2">
        <f t="shared" si="17"/>
        <v>0.88619201725997843</v>
      </c>
      <c r="K51" s="1">
        <v>17050000</v>
      </c>
      <c r="L51" s="2">
        <f t="shared" si="18"/>
        <v>1482.4797843665767</v>
      </c>
      <c r="M51">
        <v>2220</v>
      </c>
      <c r="N51">
        <v>999</v>
      </c>
      <c r="O51" s="1">
        <v>5609</v>
      </c>
      <c r="P51" s="1">
        <v>2934</v>
      </c>
    </row>
    <row r="53" spans="1:17">
      <c r="A53" t="s">
        <v>66</v>
      </c>
    </row>
    <row r="54" spans="1:17">
      <c r="B54">
        <v>-0.5</v>
      </c>
      <c r="C54">
        <v>0.8</v>
      </c>
      <c r="D54">
        <v>42</v>
      </c>
      <c r="E54">
        <f>O54/D54</f>
        <v>161.3095238095238</v>
      </c>
      <c r="F54" s="1">
        <f>O54/I54</f>
        <v>0.47117323875095624</v>
      </c>
      <c r="G54" s="1">
        <f>O54/K54</f>
        <v>3.1293302540415707E-4</v>
      </c>
      <c r="H54">
        <v>16245</v>
      </c>
      <c r="I54">
        <v>14379</v>
      </c>
      <c r="J54" s="2">
        <f t="shared" ref="J54:J56" si="19">I54/H54</f>
        <v>0.8851338873499538</v>
      </c>
      <c r="K54" s="1">
        <v>21650000</v>
      </c>
      <c r="L54" s="2">
        <f t="shared" ref="L54:L56" si="20">K54/I54</f>
        <v>1505.6679880381112</v>
      </c>
      <c r="M54">
        <v>2685</v>
      </c>
      <c r="N54">
        <v>1328</v>
      </c>
      <c r="O54" s="1">
        <v>6775</v>
      </c>
      <c r="P54" s="1">
        <v>3593</v>
      </c>
      <c r="Q54">
        <v>365</v>
      </c>
    </row>
    <row r="55" spans="1:17">
      <c r="D55">
        <v>49</v>
      </c>
      <c r="E55">
        <f>O55/D55</f>
        <v>155.0204081632653</v>
      </c>
      <c r="F55" s="1">
        <f>O55/I55</f>
        <v>0.46698635189966803</v>
      </c>
      <c r="G55" s="1">
        <f>O55/K55</f>
        <v>3.05182804339092E-4</v>
      </c>
      <c r="H55">
        <v>18250</v>
      </c>
      <c r="I55">
        <v>16266</v>
      </c>
      <c r="J55" s="2">
        <f t="shared" si="19"/>
        <v>0.89128767123287667</v>
      </c>
      <c r="K55" s="1">
        <v>24890000</v>
      </c>
      <c r="L55" s="2">
        <f t="shared" si="20"/>
        <v>1530.1856633468585</v>
      </c>
      <c r="M55">
        <v>2919</v>
      </c>
      <c r="N55">
        <v>1413</v>
      </c>
      <c r="O55">
        <v>7596</v>
      </c>
      <c r="P55" s="1">
        <v>4009</v>
      </c>
      <c r="Q55">
        <v>360</v>
      </c>
    </row>
    <row r="56" spans="1:17">
      <c r="D56">
        <v>60</v>
      </c>
      <c r="E56">
        <f>O56/D56</f>
        <v>285.8</v>
      </c>
      <c r="F56" s="1">
        <f>O56/I56</f>
        <v>0.46538388471245962</v>
      </c>
      <c r="G56" s="1">
        <f>O56/K56</f>
        <v>4.147037484885127E-4</v>
      </c>
      <c r="H56">
        <v>41634</v>
      </c>
      <c r="I56">
        <v>36847</v>
      </c>
      <c r="J56" s="2">
        <f t="shared" si="19"/>
        <v>0.88502185713599457</v>
      </c>
      <c r="K56" s="1">
        <v>41350000</v>
      </c>
      <c r="L56" s="2">
        <f t="shared" si="20"/>
        <v>1122.2080495019948</v>
      </c>
      <c r="M56">
        <v>6855</v>
      </c>
      <c r="N56">
        <v>3303</v>
      </c>
      <c r="O56">
        <v>17148</v>
      </c>
      <c r="P56" s="1">
        <v>9212</v>
      </c>
      <c r="Q56">
        <v>564</v>
      </c>
    </row>
    <row r="59" spans="1:17">
      <c r="E59" t="s">
        <v>20</v>
      </c>
      <c r="F59" s="1">
        <f>AVERAGE(F51:F56)</f>
        <v>0.47281004934681392</v>
      </c>
    </row>
    <row r="60" spans="1:17">
      <c r="E60" t="s">
        <v>68</v>
      </c>
      <c r="F60">
        <f>STDEVA(F51:F56)</f>
        <v>1.0220168711293923E-2</v>
      </c>
    </row>
    <row r="61" spans="1:17">
      <c r="E61" t="s">
        <v>69</v>
      </c>
      <c r="F61" s="1">
        <f>F60*100/F59</f>
        <v>2.1615802636625561</v>
      </c>
    </row>
    <row r="64" spans="1:17">
      <c r="A64" t="s">
        <v>89</v>
      </c>
    </row>
    <row r="65" spans="1:17">
      <c r="A65" t="s">
        <v>94</v>
      </c>
    </row>
    <row r="66" spans="1:17">
      <c r="A66" s="15" t="s">
        <v>25</v>
      </c>
      <c r="D66">
        <v>33</v>
      </c>
      <c r="E66">
        <f>O66/D66</f>
        <v>227.24242424242425</v>
      </c>
      <c r="F66" s="14">
        <f>O66/I66</f>
        <v>0.48383766694625457</v>
      </c>
      <c r="G66" s="1">
        <f>O66/K66</f>
        <v>3.5794749403341287E-4</v>
      </c>
      <c r="H66">
        <v>17349</v>
      </c>
      <c r="I66">
        <v>15499</v>
      </c>
      <c r="J66" s="2">
        <f t="shared" ref="J66:J69" si="21">I66/H66</f>
        <v>0.89336561185082719</v>
      </c>
      <c r="K66" s="1">
        <v>20950000</v>
      </c>
      <c r="L66" s="2">
        <f t="shared" ref="L66:L69" si="22">K66/I66</f>
        <v>1351.7001096844958</v>
      </c>
      <c r="M66">
        <v>2726</v>
      </c>
      <c r="N66">
        <v>1406</v>
      </c>
      <c r="O66" s="14">
        <v>7499</v>
      </c>
      <c r="P66" s="1">
        <v>4081</v>
      </c>
      <c r="Q66">
        <v>460</v>
      </c>
    </row>
    <row r="67" spans="1:17">
      <c r="A67" s="15" t="s">
        <v>90</v>
      </c>
      <c r="D67">
        <v>33</v>
      </c>
      <c r="E67">
        <f>O67/D67</f>
        <v>53.363636363636367</v>
      </c>
      <c r="F67" s="14">
        <f>P67/I67</f>
        <v>0.47040358744394617</v>
      </c>
      <c r="G67" s="1">
        <f>O67/K67</f>
        <v>9.129082426127527E-5</v>
      </c>
      <c r="H67">
        <v>15139</v>
      </c>
      <c r="I67">
        <v>13380</v>
      </c>
      <c r="J67" s="2">
        <f t="shared" si="21"/>
        <v>0.88381002708237</v>
      </c>
      <c r="K67" s="1">
        <v>19290000</v>
      </c>
      <c r="L67" s="2">
        <f t="shared" si="22"/>
        <v>1441.7040358744396</v>
      </c>
      <c r="M67">
        <v>670</v>
      </c>
      <c r="N67">
        <v>1929</v>
      </c>
      <c r="O67">
        <v>1761</v>
      </c>
      <c r="P67" s="15">
        <v>6294</v>
      </c>
    </row>
    <row r="68" spans="1:17">
      <c r="A68" s="15" t="s">
        <v>91</v>
      </c>
      <c r="D68">
        <v>33</v>
      </c>
      <c r="E68">
        <f>O68/D68</f>
        <v>18.939393939393938</v>
      </c>
      <c r="F68" s="14">
        <f>N68/I68</f>
        <v>0.37055757384299481</v>
      </c>
      <c r="G68" s="1">
        <f>O68/K68</f>
        <v>3.3747300215982723E-5</v>
      </c>
      <c r="H68">
        <v>14372</v>
      </c>
      <c r="I68">
        <v>12662</v>
      </c>
      <c r="J68" s="2">
        <f t="shared" si="21"/>
        <v>0.88101864736988589</v>
      </c>
      <c r="K68" s="1">
        <v>18520000</v>
      </c>
      <c r="L68" s="2">
        <f t="shared" si="22"/>
        <v>1462.6441320486495</v>
      </c>
      <c r="M68">
        <v>1357</v>
      </c>
      <c r="N68" s="15">
        <v>4692</v>
      </c>
      <c r="O68">
        <v>625</v>
      </c>
      <c r="P68">
        <v>2224</v>
      </c>
    </row>
    <row r="69" spans="1:17">
      <c r="A69" s="15" t="s">
        <v>92</v>
      </c>
      <c r="D69">
        <v>33</v>
      </c>
      <c r="E69">
        <f>O69/D69</f>
        <v>77.333333333333329</v>
      </c>
      <c r="F69" s="14">
        <f>M69/I69</f>
        <v>0.44976590682324047</v>
      </c>
      <c r="G69" s="1">
        <f>O69/K69</f>
        <v>1.3361256544502619E-4</v>
      </c>
      <c r="H69">
        <v>14757</v>
      </c>
      <c r="I69">
        <v>13029</v>
      </c>
      <c r="J69" s="2">
        <f t="shared" si="21"/>
        <v>0.88290302907094942</v>
      </c>
      <c r="K69" s="1">
        <v>19100000</v>
      </c>
      <c r="L69" s="2">
        <f t="shared" si="22"/>
        <v>1465.9605495433264</v>
      </c>
      <c r="M69" s="15">
        <v>5860</v>
      </c>
      <c r="N69">
        <v>3331</v>
      </c>
      <c r="O69">
        <v>2552</v>
      </c>
      <c r="P69">
        <v>1551</v>
      </c>
      <c r="Q69">
        <v>411</v>
      </c>
    </row>
    <row r="72" spans="1:17">
      <c r="A72" t="s">
        <v>93</v>
      </c>
    </row>
    <row r="73" spans="1:17">
      <c r="D73">
        <v>36</v>
      </c>
      <c r="H73">
        <v>13483</v>
      </c>
      <c r="I73">
        <v>11935</v>
      </c>
      <c r="J73" s="2">
        <f t="shared" ref="J73" si="23">I73/H73</f>
        <v>0.8851887562115256</v>
      </c>
      <c r="K73">
        <v>499700</v>
      </c>
      <c r="O73" s="1">
        <f>O66/D66</f>
        <v>227.24242424242425</v>
      </c>
    </row>
    <row r="75" spans="1:17">
      <c r="I75" s="1">
        <f>I73*F59</f>
        <v>5642.9879389542239</v>
      </c>
    </row>
    <row r="76" spans="1:17">
      <c r="I76" s="1">
        <f>I75/0.00000114</f>
        <v>4949989420.1352835</v>
      </c>
      <c r="J76" s="1"/>
    </row>
    <row r="77" spans="1:17">
      <c r="G77" s="1">
        <v>5.0000000000000003E-10</v>
      </c>
    </row>
    <row r="78" spans="1:17">
      <c r="G78" s="1">
        <f>G77/1.6E-19</f>
        <v>3125000000.0000005</v>
      </c>
    </row>
    <row r="79" spans="1:17">
      <c r="G79" s="1">
        <f>G78*0.08</f>
        <v>250000000.00000003</v>
      </c>
    </row>
    <row r="80" spans="1:17">
      <c r="G80" s="1">
        <f>G79/33</f>
        <v>7575757.5757575771</v>
      </c>
      <c r="H8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workbookViewId="0">
      <selection activeCell="L10" sqref="L10"/>
    </sheetView>
  </sheetViews>
  <sheetFormatPr baseColWidth="10" defaultRowHeight="15" x14ac:dyDescent="0"/>
  <cols>
    <col min="2" max="2" width="16.1640625" bestFit="1" customWidth="1"/>
    <col min="3" max="3" width="16.1640625" customWidth="1"/>
    <col min="7" max="7" width="14.33203125" bestFit="1" customWidth="1"/>
    <col min="14" max="14" width="8.83203125" bestFit="1" customWidth="1"/>
    <col min="15" max="15" width="8" customWidth="1"/>
    <col min="16" max="16" width="54.33203125" customWidth="1"/>
  </cols>
  <sheetData>
    <row r="2" spans="1:21">
      <c r="H2" t="s">
        <v>22</v>
      </c>
      <c r="I2" s="1">
        <f>'Beam profile 27-28 nov'!F29</f>
        <v>0.15587410774519339</v>
      </c>
      <c r="S2" s="1"/>
    </row>
    <row r="3" spans="1:21">
      <c r="R3" t="s">
        <v>33</v>
      </c>
      <c r="S3" t="s">
        <v>34</v>
      </c>
      <c r="T3" t="s">
        <v>6</v>
      </c>
      <c r="U3" t="s">
        <v>35</v>
      </c>
    </row>
    <row r="4" spans="1:21" ht="45">
      <c r="B4" t="s">
        <v>21</v>
      </c>
      <c r="C4" t="s">
        <v>60</v>
      </c>
      <c r="D4" t="s">
        <v>50</v>
      </c>
      <c r="E4" t="s">
        <v>0</v>
      </c>
      <c r="F4" s="7" t="s">
        <v>25</v>
      </c>
      <c r="G4" t="s">
        <v>49</v>
      </c>
      <c r="H4" s="8" t="s">
        <v>28</v>
      </c>
      <c r="I4" s="8" t="s">
        <v>27</v>
      </c>
      <c r="J4" s="8" t="s">
        <v>29</v>
      </c>
      <c r="K4" s="8" t="s">
        <v>30</v>
      </c>
      <c r="L4" s="8" t="s">
        <v>32</v>
      </c>
      <c r="M4" s="8" t="s">
        <v>36</v>
      </c>
      <c r="N4" s="8" t="s">
        <v>70</v>
      </c>
      <c r="O4" s="8" t="s">
        <v>71</v>
      </c>
      <c r="R4">
        <v>1000</v>
      </c>
      <c r="S4">
        <v>50000</v>
      </c>
      <c r="T4" s="2">
        <f>S4/(R4*L5)</f>
        <v>1066.7837374222986</v>
      </c>
      <c r="U4">
        <f>T4/60</f>
        <v>17.779728957038309</v>
      </c>
    </row>
    <row r="5" spans="1:21" ht="45">
      <c r="A5">
        <v>1</v>
      </c>
      <c r="B5" t="s">
        <v>65</v>
      </c>
      <c r="C5" t="s">
        <v>61</v>
      </c>
      <c r="D5">
        <v>1290</v>
      </c>
      <c r="E5">
        <v>141970</v>
      </c>
      <c r="F5" s="1">
        <f>E5*$I$2</f>
        <v>22129.447076585107</v>
      </c>
      <c r="G5" s="1">
        <v>1.1400000000000001E-6</v>
      </c>
      <c r="H5" s="1">
        <f>F5/G5</f>
        <v>19411795681.215004</v>
      </c>
      <c r="I5" s="1">
        <f>H5/Fluka!$D$13</f>
        <v>226561574243.87259</v>
      </c>
      <c r="J5" s="1">
        <f>I5*Fluka!$D$11</f>
        <v>66.54113435542537</v>
      </c>
      <c r="K5" s="2">
        <f>J5*100/1000</f>
        <v>6.6541134355425378</v>
      </c>
      <c r="L5" s="1">
        <f>K5*1000/E5</f>
        <v>4.6869855853648924E-2</v>
      </c>
      <c r="M5" s="1">
        <f>J5/E5</f>
        <v>4.6869855853648917E-4</v>
      </c>
      <c r="N5" s="1"/>
      <c r="O5" s="1" t="s">
        <v>72</v>
      </c>
      <c r="P5" s="8" t="s">
        <v>23</v>
      </c>
    </row>
    <row r="6" spans="1:21">
      <c r="A6">
        <v>2</v>
      </c>
      <c r="B6" t="s">
        <v>65</v>
      </c>
      <c r="C6" t="s">
        <v>62</v>
      </c>
      <c r="F6" s="1"/>
      <c r="G6" s="1"/>
      <c r="H6" s="1"/>
      <c r="I6" s="1"/>
      <c r="J6" s="1"/>
      <c r="K6" s="2"/>
      <c r="L6" s="1"/>
      <c r="M6" s="1"/>
      <c r="N6" s="1"/>
      <c r="O6" s="1"/>
    </row>
    <row r="7" spans="1:21">
      <c r="A7">
        <v>3</v>
      </c>
      <c r="B7" t="s">
        <v>65</v>
      </c>
      <c r="C7" t="s">
        <v>63</v>
      </c>
      <c r="F7" s="1"/>
      <c r="G7" s="1"/>
      <c r="H7" s="1"/>
      <c r="I7" s="1"/>
      <c r="J7" s="1"/>
      <c r="K7" s="2"/>
      <c r="L7" s="1"/>
      <c r="M7" s="1"/>
      <c r="N7" s="1"/>
      <c r="O7" s="1"/>
    </row>
    <row r="8" spans="1:21">
      <c r="B8" t="s">
        <v>65</v>
      </c>
      <c r="C8" t="s">
        <v>64</v>
      </c>
      <c r="D8">
        <v>2292</v>
      </c>
      <c r="E8">
        <v>2284093</v>
      </c>
      <c r="F8" s="1">
        <f>E8*$I$2</f>
        <v>356030.95838204201</v>
      </c>
      <c r="G8" s="1">
        <v>1.1400000000000001E-6</v>
      </c>
      <c r="H8" s="1">
        <f>F8/G8</f>
        <v>312307858229.86139</v>
      </c>
      <c r="I8" s="1">
        <f>H8/Fluka!$D$13</f>
        <v>3645049699228.0737</v>
      </c>
      <c r="J8" s="1">
        <f>I8*Fluka!$D$11</f>
        <v>1070.5510966632851</v>
      </c>
      <c r="K8" s="2">
        <f>J8*100/1000</f>
        <v>107.05510966632852</v>
      </c>
      <c r="L8" s="1">
        <f>K8*1000/E8</f>
        <v>4.6869855853648917E-2</v>
      </c>
      <c r="M8" s="1">
        <f>J8/E8</f>
        <v>4.6869855853648912E-4</v>
      </c>
      <c r="N8" s="1"/>
      <c r="O8" s="1"/>
    </row>
    <row r="9" spans="1:21">
      <c r="F9" s="1"/>
      <c r="G9" s="1"/>
      <c r="H9" s="1"/>
      <c r="I9" s="1"/>
      <c r="J9" s="1"/>
      <c r="K9" s="2"/>
      <c r="L9" s="1"/>
      <c r="M9" s="1"/>
      <c r="N9" s="1"/>
      <c r="O9" s="1"/>
    </row>
    <row r="10" spans="1:21">
      <c r="H10" s="1"/>
    </row>
    <row r="12" spans="1:21">
      <c r="A12">
        <v>28112013</v>
      </c>
    </row>
    <row r="13" spans="1:21">
      <c r="H13" t="s">
        <v>22</v>
      </c>
      <c r="I13" s="1">
        <f>'Beam profile 27-28 nov'!F59</f>
        <v>0.47281004934681392</v>
      </c>
      <c r="J13" s="1"/>
    </row>
    <row r="15" spans="1:21">
      <c r="A15">
        <v>1</v>
      </c>
      <c r="B15" t="s">
        <v>73</v>
      </c>
      <c r="C15" t="s">
        <v>74</v>
      </c>
      <c r="F15" s="1"/>
      <c r="G15" s="1"/>
      <c r="H15" s="1"/>
      <c r="I15" s="1"/>
      <c r="J15" s="1"/>
      <c r="K15" s="2"/>
      <c r="L15" s="1"/>
      <c r="M15" s="1"/>
      <c r="N15">
        <v>483</v>
      </c>
      <c r="O15">
        <v>426</v>
      </c>
    </row>
    <row r="16" spans="1:21">
      <c r="C16" t="s">
        <v>63</v>
      </c>
    </row>
    <row r="17" spans="1:16">
      <c r="C17" t="s">
        <v>75</v>
      </c>
      <c r="D17">
        <v>2472</v>
      </c>
      <c r="E17">
        <v>3109238</v>
      </c>
      <c r="F17" s="1">
        <f>E17*$I$13</f>
        <v>1470078.9722109891</v>
      </c>
      <c r="G17" s="1">
        <v>1.1400000000000001E-6</v>
      </c>
      <c r="H17" s="1">
        <f>F17/G17</f>
        <v>1289542958079.8149</v>
      </c>
      <c r="I17" s="1">
        <f>H17/Fluka!$D$13</f>
        <v>15050688119512.311</v>
      </c>
      <c r="J17" s="1">
        <f>I17*Fluka!$D$11</f>
        <v>4420.3871007007656</v>
      </c>
      <c r="K17" s="2">
        <f>J17*100/1000</f>
        <v>442.03871007007655</v>
      </c>
      <c r="L17" s="1">
        <f>K17*1000/E17</f>
        <v>0.14216946726821059</v>
      </c>
      <c r="M17" s="1">
        <f>J17/E17</f>
        <v>1.4216946726821058E-3</v>
      </c>
      <c r="N17">
        <v>1300</v>
      </c>
      <c r="P17" t="s">
        <v>76</v>
      </c>
    </row>
    <row r="18" spans="1:16">
      <c r="N18" s="1"/>
      <c r="O18" s="1"/>
    </row>
    <row r="19" spans="1:16">
      <c r="N19" s="1"/>
      <c r="O19" s="1"/>
    </row>
    <row r="20" spans="1:16">
      <c r="M20" s="1"/>
    </row>
    <row r="21" spans="1:16">
      <c r="A21">
        <v>2</v>
      </c>
      <c r="B21" t="s">
        <v>78</v>
      </c>
      <c r="C21" t="s">
        <v>77</v>
      </c>
      <c r="D21">
        <v>923</v>
      </c>
      <c r="E21">
        <v>1165849</v>
      </c>
      <c r="F21" s="1">
        <f>E21*$I$13</f>
        <v>551225.12322093372</v>
      </c>
      <c r="G21" s="1">
        <v>1.1400000000000001E-6</v>
      </c>
      <c r="H21" s="1">
        <f>F21/G21</f>
        <v>483530809842.92426</v>
      </c>
      <c r="I21" s="1">
        <f>H21/Fluka!$D$13</f>
        <v>5643450161565.4092</v>
      </c>
      <c r="J21" s="1">
        <f>I21*Fluka!$D$11</f>
        <v>1657.4813124517605</v>
      </c>
      <c r="K21" s="2">
        <f>J21*100/1000</f>
        <v>165.74813124517604</v>
      </c>
      <c r="L21" s="1">
        <f>K21*1000/E21</f>
        <v>0.14216946726821059</v>
      </c>
      <c r="M21" s="1">
        <f>J21/E21</f>
        <v>1.4216946726821058E-3</v>
      </c>
      <c r="N21">
        <v>830</v>
      </c>
    </row>
    <row r="22" spans="1:16">
      <c r="A22">
        <v>3</v>
      </c>
      <c r="B22" t="s">
        <v>80</v>
      </c>
      <c r="D22">
        <v>116</v>
      </c>
      <c r="E22">
        <v>169413</v>
      </c>
      <c r="F22" s="1">
        <f>E22*$I$13</f>
        <v>80100.168889991794</v>
      </c>
      <c r="G22" s="1">
        <v>1.1400000000000001E-6</v>
      </c>
      <c r="H22" s="1">
        <f>F22/G22</f>
        <v>70263306043.852448</v>
      </c>
      <c r="I22" s="1">
        <f>H22/Fluka!$D$13</f>
        <v>820066597150.47205</v>
      </c>
      <c r="J22" s="1">
        <f>I22*Fluka!$D$11</f>
        <v>240.85355958309361</v>
      </c>
      <c r="K22" s="2">
        <f>J22*100/1000</f>
        <v>24.085355958309364</v>
      </c>
      <c r="L22" s="1">
        <f>K22*1000/E22</f>
        <v>0.14216946726821061</v>
      </c>
      <c r="M22" s="1">
        <f>J22/E22</f>
        <v>1.421694672682106E-3</v>
      </c>
      <c r="P22" t="s">
        <v>79</v>
      </c>
    </row>
    <row r="23" spans="1:16">
      <c r="A23">
        <v>4</v>
      </c>
      <c r="B23" t="s">
        <v>81</v>
      </c>
      <c r="C23" t="s">
        <v>82</v>
      </c>
      <c r="D23">
        <v>1385</v>
      </c>
      <c r="E23">
        <v>2698510</v>
      </c>
      <c r="F23" s="1">
        <f>E23*$I$13</f>
        <v>1275882.6462628709</v>
      </c>
      <c r="G23" s="1">
        <v>1.1400000000000001E-6</v>
      </c>
      <c r="H23" s="1">
        <f>F23/G23</f>
        <v>1119195303739.3604</v>
      </c>
      <c r="I23" s="1">
        <f>H23/Fluka!$D$13</f>
        <v>13062503545043.887</v>
      </c>
      <c r="J23" s="1">
        <f>I23*Fluka!$D$11</f>
        <v>3836.4572911793894</v>
      </c>
      <c r="K23" s="2">
        <f>J23*100/1000</f>
        <v>383.64572911793897</v>
      </c>
      <c r="L23" s="1">
        <f>K23*1000/E23</f>
        <v>0.14216946726821059</v>
      </c>
      <c r="M23" s="1">
        <f>J23/E23</f>
        <v>1.4216946726821058E-3</v>
      </c>
      <c r="N23">
        <v>910</v>
      </c>
      <c r="P23" t="s">
        <v>85</v>
      </c>
    </row>
    <row r="24" spans="1:16">
      <c r="A24">
        <v>5</v>
      </c>
      <c r="B24" t="s">
        <v>83</v>
      </c>
      <c r="C24" t="s">
        <v>84</v>
      </c>
      <c r="D24">
        <v>528</v>
      </c>
      <c r="E24">
        <v>1415917</v>
      </c>
      <c r="F24" s="1">
        <f>E24*$I$13</f>
        <v>669459.78664099274</v>
      </c>
      <c r="G24" s="1">
        <v>1.1400000000000001E-6</v>
      </c>
      <c r="H24" s="1">
        <f>F24/G24</f>
        <v>587245426878.06372</v>
      </c>
      <c r="I24" s="1">
        <f>H24/Fluka!$D$13</f>
        <v>6853938222199.623</v>
      </c>
      <c r="J24" s="1">
        <f>I24*Fluka!$D$11</f>
        <v>2013.0016558600291</v>
      </c>
      <c r="K24" s="2">
        <f>J24*100/1000</f>
        <v>201.30016558600292</v>
      </c>
      <c r="L24" s="1">
        <f>K24*1000/E24</f>
        <v>0.14216946726821059</v>
      </c>
      <c r="M24" s="1">
        <f>J24/E24</f>
        <v>1.4216946726821058E-3</v>
      </c>
      <c r="N24">
        <v>1564</v>
      </c>
    </row>
    <row r="25" spans="1:16">
      <c r="A25">
        <v>6</v>
      </c>
      <c r="B25" t="s">
        <v>86</v>
      </c>
      <c r="C25" t="s">
        <v>87</v>
      </c>
      <c r="D25">
        <v>480</v>
      </c>
      <c r="E25">
        <v>1136269</v>
      </c>
      <c r="F25" s="1">
        <f>E25*$I$13</f>
        <v>537239.40196125489</v>
      </c>
      <c r="G25" s="1">
        <v>1.1400000000000001E-6</v>
      </c>
      <c r="H25" s="1">
        <f>F25/G25</f>
        <v>471262633299.34637</v>
      </c>
      <c r="I25" s="1">
        <f>H25/Fluka!$D$13</f>
        <v>5500264160823.3701</v>
      </c>
      <c r="J25" s="1">
        <f>I25*Fluka!$D$11</f>
        <v>1615.4275840338237</v>
      </c>
      <c r="K25" s="2">
        <f>J25*100/1000</f>
        <v>161.54275840338238</v>
      </c>
      <c r="L25" s="1">
        <f>K25*1000/E25</f>
        <v>0.14216946726821059</v>
      </c>
      <c r="M25" s="1">
        <f>J25/E25</f>
        <v>1.4216946726821058E-3</v>
      </c>
      <c r="N25">
        <v>1388</v>
      </c>
    </row>
    <row r="26" spans="1:16">
      <c r="A26">
        <v>7</v>
      </c>
      <c r="B26" t="s">
        <v>88</v>
      </c>
      <c r="C26">
        <v>2900</v>
      </c>
      <c r="E26">
        <v>736000</v>
      </c>
      <c r="F26" s="1">
        <f>E26*$I$13</f>
        <v>347988.19631925505</v>
      </c>
      <c r="G26" s="1">
        <v>1.1400000000000001E-6</v>
      </c>
      <c r="H26" s="1">
        <f>F26/G26</f>
        <v>305252803788.82019</v>
      </c>
      <c r="I26" s="1">
        <f>H26/Fluka!$D$13</f>
        <v>3562707793987.1636</v>
      </c>
      <c r="J26" s="1">
        <f>I26*Fluka!$D$11</f>
        <v>1046.3672790940298</v>
      </c>
      <c r="K26" s="2">
        <f>J26*100/1000</f>
        <v>104.63672790940298</v>
      </c>
      <c r="L26" s="1">
        <f>K26*1000/E26</f>
        <v>0.14216946726821056</v>
      </c>
      <c r="M26" s="1">
        <f>J26/E26</f>
        <v>1.4216946726821056E-3</v>
      </c>
      <c r="N26">
        <v>1670</v>
      </c>
    </row>
    <row r="32" spans="1:16">
      <c r="E32">
        <v>116</v>
      </c>
      <c r="F32" s="1">
        <f>E32/H8</f>
        <v>3.7142837409689178E-10</v>
      </c>
      <c r="G32" s="1">
        <f>1/F32</f>
        <v>2692309122.6712189</v>
      </c>
    </row>
    <row r="33" spans="7:8">
      <c r="G33" s="1">
        <f>G32/3000/5</f>
        <v>179487.27484474791</v>
      </c>
      <c r="H33" s="1"/>
    </row>
    <row r="34" spans="7:8">
      <c r="G34" s="1">
        <f>G33/216</f>
        <v>830.95960576272182</v>
      </c>
      <c r="H34" s="1">
        <f>G34/60/60</f>
        <v>0.23082211271186717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Beam profile 14-15 nov</vt:lpstr>
      <vt:lpstr>Beamtest 15 nov</vt:lpstr>
      <vt:lpstr>Fluka</vt:lpstr>
      <vt:lpstr>Beam profile 27-28 nov</vt:lpstr>
      <vt:lpstr>Beamtest 27 nov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Ketil</cp:lastModifiedBy>
  <dcterms:created xsi:type="dcterms:W3CDTF">2013-11-14T13:49:56Z</dcterms:created>
  <dcterms:modified xsi:type="dcterms:W3CDTF">2013-11-30T09:44:43Z</dcterms:modified>
</cp:coreProperties>
</file>