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935" yWindow="9000" windowWidth="19980" windowHeight="16440" tabRatio="500" firstSheet="4" activeTab="6"/>
  </bookViews>
  <sheets>
    <sheet name="Beam profile 14-15 nov" sheetId="1" r:id="rId1"/>
    <sheet name="Beamtest 15 nov" sheetId="2" r:id="rId2"/>
    <sheet name="Fluka" sheetId="3" r:id="rId3"/>
    <sheet name="Beam profile 27-28 nov" sheetId="4" r:id="rId4"/>
    <sheet name="Beamtest 27 nov" sheetId="6" r:id="rId5"/>
    <sheet name="Beam profile 9-11 april" sheetId="7" r:id="rId6"/>
    <sheet name="Beamtest 9 april" sheetId="8" r:id="rId7"/>
    <sheet name="Sheet3" sheetId="9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8"/>
  <c r="F29"/>
  <c r="H29"/>
  <c r="U29"/>
  <c r="T35"/>
  <c r="F20"/>
  <c r="H20"/>
  <c r="F21"/>
  <c r="H21"/>
  <c r="F22"/>
  <c r="H22"/>
  <c r="F23"/>
  <c r="H23"/>
  <c r="H31"/>
  <c r="Q31"/>
  <c r="P31"/>
  <c r="U31"/>
  <c r="T31"/>
  <c r="O31"/>
  <c r="N31"/>
  <c r="I20"/>
  <c r="J20"/>
  <c r="K20"/>
  <c r="I21"/>
  <c r="J21"/>
  <c r="K21"/>
  <c r="I22"/>
  <c r="J22"/>
  <c r="K22"/>
  <c r="I23"/>
  <c r="J23"/>
  <c r="K23"/>
  <c r="I29"/>
  <c r="J29"/>
  <c r="K29"/>
  <c r="K31"/>
  <c r="S29"/>
  <c r="Q29"/>
  <c r="P29"/>
  <c r="M29"/>
  <c r="L29"/>
  <c r="Q23"/>
  <c r="P23"/>
  <c r="I14"/>
  <c r="F16"/>
  <c r="H16"/>
  <c r="I16"/>
  <c r="J16"/>
  <c r="K16"/>
  <c r="U23"/>
  <c r="M23"/>
  <c r="L23"/>
  <c r="Q22"/>
  <c r="P22"/>
  <c r="U22"/>
  <c r="M22"/>
  <c r="L22"/>
  <c r="Q21"/>
  <c r="P21"/>
  <c r="O21"/>
  <c r="N21"/>
  <c r="U21"/>
  <c r="M21"/>
  <c r="L21"/>
  <c r="U20"/>
  <c r="Q20"/>
  <c r="P20"/>
  <c r="M20"/>
  <c r="L20"/>
  <c r="G78" i="7"/>
  <c r="E74"/>
  <c r="F74"/>
  <c r="G74"/>
  <c r="E73"/>
  <c r="F73"/>
  <c r="G73"/>
  <c r="E72"/>
  <c r="F72"/>
  <c r="G72"/>
  <c r="E71"/>
  <c r="F71"/>
  <c r="G71"/>
  <c r="E70"/>
  <c r="F70"/>
  <c r="G70"/>
  <c r="E69"/>
  <c r="F69"/>
  <c r="G69"/>
  <c r="E68"/>
  <c r="F68"/>
  <c r="G68"/>
  <c r="E67"/>
  <c r="F67"/>
  <c r="G67"/>
  <c r="E66"/>
  <c r="F66"/>
  <c r="G66"/>
  <c r="E65"/>
  <c r="F65"/>
  <c r="G65"/>
  <c r="E64"/>
  <c r="F64"/>
  <c r="G64"/>
  <c r="E60"/>
  <c r="E61"/>
  <c r="E62"/>
  <c r="E63"/>
  <c r="E59"/>
  <c r="G63"/>
  <c r="F63"/>
  <c r="G62"/>
  <c r="F62"/>
  <c r="G61"/>
  <c r="F61"/>
  <c r="G60"/>
  <c r="F60"/>
  <c r="H59"/>
  <c r="G59"/>
  <c r="F59"/>
  <c r="P16" i="8"/>
  <c r="Q16"/>
  <c r="O14"/>
  <c r="N14"/>
  <c r="M16"/>
  <c r="L16"/>
  <c r="H31" i="7"/>
  <c r="G53"/>
  <c r="F49"/>
  <c r="G49"/>
  <c r="F48"/>
  <c r="G48"/>
  <c r="F47"/>
  <c r="G47"/>
  <c r="F46"/>
  <c r="G46"/>
  <c r="F45"/>
  <c r="G45"/>
  <c r="F44"/>
  <c r="G44"/>
  <c r="F43"/>
  <c r="G43"/>
  <c r="F42"/>
  <c r="G42"/>
  <c r="F41"/>
  <c r="G41"/>
  <c r="F40"/>
  <c r="G40"/>
  <c r="F39"/>
  <c r="G39"/>
  <c r="F38"/>
  <c r="G38"/>
  <c r="F37"/>
  <c r="G37"/>
  <c r="F36"/>
  <c r="G36"/>
  <c r="G35"/>
  <c r="F35"/>
  <c r="G34"/>
  <c r="F34"/>
  <c r="G33"/>
  <c r="F33"/>
  <c r="G32"/>
  <c r="F32"/>
  <c r="G31"/>
  <c r="F31"/>
  <c r="G30"/>
  <c r="H25" i="3"/>
  <c r="H20"/>
  <c r="J20"/>
  <c r="I3" i="8"/>
  <c r="F10"/>
  <c r="H10"/>
  <c r="I10"/>
  <c r="J10"/>
  <c r="M10"/>
  <c r="K10"/>
  <c r="L10"/>
  <c r="G26" i="7"/>
  <c r="H12" i="8"/>
  <c r="G12"/>
  <c r="G10"/>
  <c r="G24" i="7"/>
  <c r="R24"/>
  <c r="I2" i="8"/>
  <c r="F8"/>
  <c r="H8"/>
  <c r="I8"/>
  <c r="J8"/>
  <c r="M8"/>
  <c r="K8"/>
  <c r="L8"/>
  <c r="F7"/>
  <c r="H7"/>
  <c r="I7"/>
  <c r="J7"/>
  <c r="M7"/>
  <c r="K7"/>
  <c r="L7"/>
  <c r="F6"/>
  <c r="H6"/>
  <c r="I6"/>
  <c r="J6"/>
  <c r="M6"/>
  <c r="K6"/>
  <c r="L6"/>
  <c r="F5"/>
  <c r="H5"/>
  <c r="I5"/>
  <c r="J5"/>
  <c r="M5"/>
  <c r="K5"/>
  <c r="L5"/>
  <c r="Z4"/>
  <c r="AA4"/>
  <c r="G23" i="7"/>
  <c r="G22"/>
  <c r="G21"/>
  <c r="G20"/>
  <c r="R23"/>
  <c r="R22"/>
  <c r="R21"/>
  <c r="R20"/>
  <c r="I13" i="6"/>
  <c r="F26"/>
  <c r="H26"/>
  <c r="I26"/>
  <c r="J26"/>
  <c r="K26"/>
  <c r="L26"/>
  <c r="L28"/>
  <c r="E17" i="7"/>
  <c r="F17"/>
  <c r="G17"/>
  <c r="E16"/>
  <c r="F16"/>
  <c r="G16"/>
  <c r="E15"/>
  <c r="F15"/>
  <c r="G15"/>
  <c r="E14"/>
  <c r="F14"/>
  <c r="G14"/>
  <c r="E13"/>
  <c r="F13"/>
  <c r="G13"/>
  <c r="E12"/>
  <c r="F12"/>
  <c r="G12"/>
  <c r="E11"/>
  <c r="F11"/>
  <c r="G11"/>
  <c r="E10"/>
  <c r="F10"/>
  <c r="G10"/>
  <c r="E9"/>
  <c r="F9"/>
  <c r="G9"/>
  <c r="E8"/>
  <c r="F8"/>
  <c r="G8"/>
  <c r="G7"/>
  <c r="F7"/>
  <c r="E7"/>
  <c r="G6"/>
  <c r="F6"/>
  <c r="E6"/>
  <c r="G5"/>
  <c r="F5"/>
  <c r="E5"/>
  <c r="F4"/>
  <c r="G4"/>
  <c r="X17"/>
  <c r="W17"/>
  <c r="V17"/>
  <c r="U17"/>
  <c r="X16"/>
  <c r="W16"/>
  <c r="V16"/>
  <c r="U16"/>
  <c r="X15"/>
  <c r="W15"/>
  <c r="V15"/>
  <c r="U15"/>
  <c r="X14"/>
  <c r="W14"/>
  <c r="V14"/>
  <c r="U14"/>
  <c r="X13"/>
  <c r="W13"/>
  <c r="V13"/>
  <c r="U13"/>
  <c r="X12"/>
  <c r="W12"/>
  <c r="V12"/>
  <c r="U12"/>
  <c r="X11"/>
  <c r="W11"/>
  <c r="V11"/>
  <c r="U11"/>
  <c r="X10"/>
  <c r="W10"/>
  <c r="V10"/>
  <c r="U10"/>
  <c r="X9"/>
  <c r="W9"/>
  <c r="V9"/>
  <c r="U9"/>
  <c r="X8"/>
  <c r="W8"/>
  <c r="V8"/>
  <c r="U8"/>
  <c r="X7"/>
  <c r="W7"/>
  <c r="V7"/>
  <c r="U7"/>
  <c r="X6"/>
  <c r="W6"/>
  <c r="V6"/>
  <c r="U6"/>
  <c r="X5"/>
  <c r="W5"/>
  <c r="V5"/>
  <c r="U5"/>
  <c r="X4"/>
  <c r="W4"/>
  <c r="V4"/>
  <c r="U4"/>
  <c r="L4"/>
  <c r="E4"/>
  <c r="I2" i="6"/>
  <c r="F8"/>
  <c r="H8"/>
  <c r="F32"/>
  <c r="G32"/>
  <c r="G33"/>
  <c r="G34"/>
  <c r="H34"/>
  <c r="G80" i="4"/>
  <c r="G79"/>
  <c r="G78"/>
  <c r="O73"/>
  <c r="I76"/>
  <c r="I75"/>
  <c r="J73"/>
  <c r="J69"/>
  <c r="F69"/>
  <c r="G69"/>
  <c r="E69"/>
  <c r="L69"/>
  <c r="L68"/>
  <c r="J68"/>
  <c r="F68"/>
  <c r="G68"/>
  <c r="E68"/>
  <c r="F67"/>
  <c r="G67"/>
  <c r="E67"/>
  <c r="J67"/>
  <c r="L67"/>
  <c r="L66"/>
  <c r="J66"/>
  <c r="G66"/>
  <c r="F66"/>
  <c r="E66"/>
  <c r="M26" i="6"/>
  <c r="F25"/>
  <c r="H25"/>
  <c r="I25"/>
  <c r="J25"/>
  <c r="M25"/>
  <c r="K25"/>
  <c r="L25"/>
  <c r="F24"/>
  <c r="H24"/>
  <c r="I24"/>
  <c r="J24"/>
  <c r="M24"/>
  <c r="K24"/>
  <c r="L24"/>
  <c r="F23"/>
  <c r="H23"/>
  <c r="I23"/>
  <c r="J23"/>
  <c r="M23"/>
  <c r="K23"/>
  <c r="L23"/>
  <c r="F22"/>
  <c r="H22"/>
  <c r="I22"/>
  <c r="J22"/>
  <c r="M22"/>
  <c r="K22"/>
  <c r="L22"/>
  <c r="F21"/>
  <c r="H21"/>
  <c r="I21"/>
  <c r="J21"/>
  <c r="M21"/>
  <c r="K21"/>
  <c r="L21"/>
  <c r="F17"/>
  <c r="H17"/>
  <c r="I17"/>
  <c r="J17"/>
  <c r="M17"/>
  <c r="K17"/>
  <c r="L17"/>
  <c r="F61" i="4"/>
  <c r="F60"/>
  <c r="F59"/>
  <c r="G56"/>
  <c r="F56"/>
  <c r="E56"/>
  <c r="L56"/>
  <c r="J56"/>
  <c r="L55"/>
  <c r="J55"/>
  <c r="G55"/>
  <c r="F55"/>
  <c r="E55"/>
  <c r="L54"/>
  <c r="J54"/>
  <c r="G54"/>
  <c r="F54"/>
  <c r="E54"/>
  <c r="E51"/>
  <c r="F51"/>
  <c r="G51"/>
  <c r="J51"/>
  <c r="L51"/>
  <c r="E50"/>
  <c r="F50"/>
  <c r="G50"/>
  <c r="J50"/>
  <c r="L50"/>
  <c r="E49"/>
  <c r="F49"/>
  <c r="G49"/>
  <c r="J49"/>
  <c r="L49"/>
  <c r="E48"/>
  <c r="F48"/>
  <c r="G48"/>
  <c r="J48"/>
  <c r="L48"/>
  <c r="E47"/>
  <c r="F47"/>
  <c r="G47"/>
  <c r="J47"/>
  <c r="L47"/>
  <c r="E46"/>
  <c r="F46"/>
  <c r="G46"/>
  <c r="J46"/>
  <c r="L46"/>
  <c r="E45"/>
  <c r="F45"/>
  <c r="G45"/>
  <c r="J45"/>
  <c r="L45"/>
  <c r="E44"/>
  <c r="F44"/>
  <c r="G44"/>
  <c r="J44"/>
  <c r="L44"/>
  <c r="E43"/>
  <c r="F43"/>
  <c r="G43"/>
  <c r="J43"/>
  <c r="L43"/>
  <c r="E42"/>
  <c r="F42"/>
  <c r="G42"/>
  <c r="J42"/>
  <c r="L42"/>
  <c r="E41"/>
  <c r="F41"/>
  <c r="G41"/>
  <c r="J41"/>
  <c r="L41"/>
  <c r="E40"/>
  <c r="F40"/>
  <c r="G40"/>
  <c r="J40"/>
  <c r="L40"/>
  <c r="L39"/>
  <c r="J39"/>
  <c r="G39"/>
  <c r="F39"/>
  <c r="E39"/>
  <c r="L38"/>
  <c r="G38"/>
  <c r="F38"/>
  <c r="E38"/>
  <c r="J38"/>
  <c r="L37"/>
  <c r="J37"/>
  <c r="G37"/>
  <c r="F37"/>
  <c r="E37"/>
  <c r="J36"/>
  <c r="L36"/>
  <c r="G36"/>
  <c r="F36"/>
  <c r="E36"/>
  <c r="I8" i="6"/>
  <c r="J8"/>
  <c r="M8"/>
  <c r="K8"/>
  <c r="L8"/>
  <c r="F5"/>
  <c r="H5"/>
  <c r="I5"/>
  <c r="J5"/>
  <c r="H2" i="2"/>
  <c r="D15" i="3"/>
  <c r="M5" i="6"/>
  <c r="K5"/>
  <c r="L5"/>
  <c r="T4"/>
  <c r="U4"/>
  <c r="F31" i="4"/>
  <c r="F30"/>
  <c r="F29"/>
  <c r="E27"/>
  <c r="F27"/>
  <c r="G27"/>
  <c r="J27"/>
  <c r="L27"/>
  <c r="E26"/>
  <c r="E25"/>
  <c r="F26"/>
  <c r="G26"/>
  <c r="J26"/>
  <c r="L26"/>
  <c r="F25"/>
  <c r="G25"/>
  <c r="J25"/>
  <c r="L25"/>
  <c r="E24"/>
  <c r="F24"/>
  <c r="G24"/>
  <c r="J24"/>
  <c r="L24"/>
  <c r="L23"/>
  <c r="J23"/>
  <c r="G23"/>
  <c r="F23"/>
  <c r="E23"/>
  <c r="L22"/>
  <c r="G22"/>
  <c r="G21"/>
  <c r="F22"/>
  <c r="E22"/>
  <c r="J22"/>
  <c r="L21"/>
  <c r="J21"/>
  <c r="F21"/>
  <c r="E21"/>
  <c r="E20"/>
  <c r="X17"/>
  <c r="F20"/>
  <c r="G20"/>
  <c r="U17"/>
  <c r="V17"/>
  <c r="W17"/>
  <c r="J20"/>
  <c r="L20"/>
  <c r="E16"/>
  <c r="X16"/>
  <c r="F16"/>
  <c r="G16"/>
  <c r="U16"/>
  <c r="V16"/>
  <c r="W16"/>
  <c r="J16"/>
  <c r="L16"/>
  <c r="E15"/>
  <c r="F15"/>
  <c r="G15"/>
  <c r="J15"/>
  <c r="L15"/>
  <c r="E14"/>
  <c r="F14"/>
  <c r="G14"/>
  <c r="J14"/>
  <c r="L14"/>
  <c r="E13"/>
  <c r="F13"/>
  <c r="G13"/>
  <c r="J13"/>
  <c r="L13"/>
  <c r="E12"/>
  <c r="F12"/>
  <c r="G12"/>
  <c r="J12"/>
  <c r="L12"/>
  <c r="E11"/>
  <c r="F11"/>
  <c r="G11"/>
  <c r="J11"/>
  <c r="L11"/>
  <c r="F10"/>
  <c r="E10"/>
  <c r="G10"/>
  <c r="J10"/>
  <c r="L10"/>
  <c r="F9"/>
  <c r="E9"/>
  <c r="G9"/>
  <c r="J9"/>
  <c r="L9"/>
  <c r="E8"/>
  <c r="J8"/>
  <c r="L8"/>
  <c r="L7"/>
  <c r="F8"/>
  <c r="F6"/>
  <c r="L6"/>
  <c r="J6"/>
  <c r="J7"/>
  <c r="G8"/>
  <c r="G7"/>
  <c r="F7"/>
  <c r="E7"/>
  <c r="G6"/>
  <c r="E6"/>
  <c r="L5"/>
  <c r="G5"/>
  <c r="F5"/>
  <c r="E5"/>
  <c r="X15"/>
  <c r="W15"/>
  <c r="V15"/>
  <c r="U15"/>
  <c r="X14"/>
  <c r="W14"/>
  <c r="V14"/>
  <c r="U14"/>
  <c r="X13"/>
  <c r="W13"/>
  <c r="V13"/>
  <c r="U13"/>
  <c r="X12"/>
  <c r="W12"/>
  <c r="V12"/>
  <c r="U12"/>
  <c r="X11"/>
  <c r="W11"/>
  <c r="V11"/>
  <c r="U11"/>
  <c r="X10"/>
  <c r="W10"/>
  <c r="V10"/>
  <c r="U10"/>
  <c r="X9"/>
  <c r="W9"/>
  <c r="V9"/>
  <c r="U9"/>
  <c r="X8"/>
  <c r="W8"/>
  <c r="V8"/>
  <c r="U8"/>
  <c r="X7"/>
  <c r="W7"/>
  <c r="V7"/>
  <c r="U7"/>
  <c r="X6"/>
  <c r="W6"/>
  <c r="V6"/>
  <c r="U6"/>
  <c r="X5"/>
  <c r="W5"/>
  <c r="V5"/>
  <c r="U5"/>
  <c r="X4"/>
  <c r="W4"/>
  <c r="V4"/>
  <c r="U4"/>
  <c r="L4"/>
  <c r="G4"/>
  <c r="F4"/>
  <c r="E4"/>
  <c r="D7" i="3"/>
  <c r="V4" i="1"/>
  <c r="U4"/>
  <c r="T4"/>
  <c r="S4"/>
  <c r="V5"/>
  <c r="U5"/>
  <c r="T5"/>
  <c r="S5"/>
  <c r="V6"/>
  <c r="U6"/>
  <c r="T6"/>
  <c r="S6"/>
  <c r="V7"/>
  <c r="U7"/>
  <c r="T7"/>
  <c r="S7"/>
  <c r="V8"/>
  <c r="U8"/>
  <c r="T8"/>
  <c r="S8"/>
  <c r="V9"/>
  <c r="U9"/>
  <c r="T9"/>
  <c r="S9"/>
  <c r="V10"/>
  <c r="U10"/>
  <c r="T10"/>
  <c r="S10"/>
  <c r="V11"/>
  <c r="U11"/>
  <c r="T11"/>
  <c r="S11"/>
  <c r="V12"/>
  <c r="U12"/>
  <c r="T12"/>
  <c r="S12"/>
  <c r="V13"/>
  <c r="U13"/>
  <c r="T13"/>
  <c r="S13"/>
  <c r="V14"/>
  <c r="U14"/>
  <c r="T14"/>
  <c r="S14"/>
  <c r="V15"/>
  <c r="U15"/>
  <c r="T15"/>
  <c r="S15"/>
  <c r="V36"/>
  <c r="U36"/>
  <c r="T36"/>
  <c r="S36"/>
  <c r="V28"/>
  <c r="U28"/>
  <c r="T28"/>
  <c r="S28"/>
  <c r="V27"/>
  <c r="U27"/>
  <c r="T27"/>
  <c r="S27"/>
  <c r="V26"/>
  <c r="U26"/>
  <c r="T26"/>
  <c r="S26"/>
  <c r="V25"/>
  <c r="U25"/>
  <c r="T25"/>
  <c r="S25"/>
  <c r="V23"/>
  <c r="U23"/>
  <c r="T23"/>
  <c r="S23"/>
  <c r="V22"/>
  <c r="U22"/>
  <c r="T22"/>
  <c r="S22"/>
  <c r="V21"/>
  <c r="U21"/>
  <c r="T21"/>
  <c r="S21"/>
  <c r="V20"/>
  <c r="U20"/>
  <c r="T20"/>
  <c r="S20"/>
  <c r="V19"/>
  <c r="U19"/>
  <c r="T19"/>
  <c r="S19"/>
  <c r="V18"/>
  <c r="U18"/>
  <c r="T18"/>
  <c r="S18"/>
  <c r="E8" i="2"/>
  <c r="G8"/>
  <c r="H8"/>
  <c r="I8"/>
  <c r="L8"/>
  <c r="J8"/>
  <c r="K8"/>
  <c r="E9"/>
  <c r="G9"/>
  <c r="H9"/>
  <c r="I9"/>
  <c r="L9"/>
  <c r="J9"/>
  <c r="K9"/>
  <c r="R36" i="1"/>
  <c r="R35"/>
  <c r="R34"/>
  <c r="E7" i="2"/>
  <c r="G7"/>
  <c r="H7"/>
  <c r="I7"/>
  <c r="L7"/>
  <c r="J7"/>
  <c r="K7"/>
  <c r="Q36" i="1"/>
  <c r="Q35"/>
  <c r="Q34"/>
  <c r="E6" i="2"/>
  <c r="E5"/>
  <c r="G6"/>
  <c r="H6"/>
  <c r="I6"/>
  <c r="L6"/>
  <c r="J6"/>
  <c r="K6"/>
  <c r="G5"/>
  <c r="H5"/>
  <c r="I5"/>
  <c r="L5"/>
  <c r="J5"/>
  <c r="K5"/>
  <c r="R4"/>
  <c r="S4"/>
  <c r="F39" i="1"/>
  <c r="J36"/>
  <c r="G36"/>
  <c r="F36"/>
  <c r="V35"/>
  <c r="U35"/>
  <c r="T35"/>
  <c r="S35"/>
  <c r="J35"/>
  <c r="G35"/>
  <c r="F35"/>
  <c r="V34"/>
  <c r="U34"/>
  <c r="T34"/>
  <c r="S34"/>
  <c r="U24"/>
  <c r="V24"/>
  <c r="T24"/>
  <c r="S24"/>
  <c r="J34"/>
  <c r="G34"/>
  <c r="F34"/>
  <c r="G28"/>
  <c r="J28"/>
  <c r="F28"/>
  <c r="E28"/>
  <c r="J27"/>
  <c r="G27"/>
  <c r="F27"/>
  <c r="E27"/>
  <c r="J26"/>
  <c r="G26"/>
  <c r="F26"/>
  <c r="E26"/>
  <c r="G25"/>
  <c r="J25"/>
  <c r="F25"/>
  <c r="E25"/>
  <c r="G24"/>
  <c r="J24"/>
  <c r="F24"/>
  <c r="E24"/>
  <c r="G23"/>
  <c r="J23"/>
  <c r="F23"/>
  <c r="E23"/>
  <c r="J22"/>
  <c r="G22"/>
  <c r="F22"/>
  <c r="E22"/>
  <c r="J21"/>
  <c r="F21"/>
  <c r="E21"/>
  <c r="G21"/>
  <c r="E20"/>
  <c r="J20"/>
  <c r="F20"/>
  <c r="G20"/>
  <c r="G19"/>
  <c r="F19"/>
  <c r="E19"/>
  <c r="J19"/>
  <c r="J18"/>
  <c r="J15"/>
  <c r="J14"/>
  <c r="J13"/>
  <c r="J12"/>
  <c r="J11"/>
  <c r="J10"/>
  <c r="J9"/>
  <c r="J8"/>
  <c r="J7"/>
  <c r="J6"/>
  <c r="J5"/>
  <c r="J4"/>
  <c r="E18"/>
  <c r="G18"/>
  <c r="F18"/>
  <c r="E15"/>
  <c r="E14"/>
  <c r="E13"/>
  <c r="E12"/>
  <c r="E11"/>
  <c r="E10"/>
  <c r="E9"/>
  <c r="E8"/>
  <c r="E7"/>
  <c r="E6"/>
  <c r="E5"/>
  <c r="E4"/>
  <c r="G15"/>
  <c r="F15"/>
  <c r="G14"/>
  <c r="F14"/>
  <c r="G13"/>
  <c r="F13"/>
  <c r="G12"/>
  <c r="F12"/>
  <c r="G11"/>
  <c r="F11"/>
  <c r="G10"/>
  <c r="F10"/>
  <c r="G9"/>
  <c r="F9"/>
  <c r="G8"/>
  <c r="F8"/>
  <c r="G7"/>
  <c r="G6"/>
  <c r="G5"/>
  <c r="G4"/>
  <c r="F7"/>
  <c r="F6"/>
  <c r="F5"/>
  <c r="F4"/>
</calcChain>
</file>

<file path=xl/sharedStrings.xml><?xml version="1.0" encoding="utf-8"?>
<sst xmlns="http://schemas.openxmlformats.org/spreadsheetml/2006/main" count="331" uniqueCount="153">
  <si>
    <t>Scint rel</t>
  </si>
  <si>
    <t>Scint low beam</t>
  </si>
  <si>
    <t>sram1</t>
  </si>
  <si>
    <t>sram2</t>
  </si>
  <si>
    <t>sram3</t>
  </si>
  <si>
    <t>sram4</t>
  </si>
  <si>
    <t>Time</t>
  </si>
  <si>
    <t>x</t>
  </si>
  <si>
    <t>y</t>
  </si>
  <si>
    <t>3.5 cm</t>
  </si>
  <si>
    <t>mA</t>
  </si>
  <si>
    <t>sram3/s</t>
  </si>
  <si>
    <t>sram3/scint rel</t>
  </si>
  <si>
    <t>sram3/scint low beam</t>
  </si>
  <si>
    <t>Possible no reset of counters in counting room</t>
  </si>
  <si>
    <t>With film on beam exit an infront of sram</t>
  </si>
  <si>
    <t>measured with external graphite faraday cup at ~3.5 cm from the beam exit point (thus minimal with ionization in the air)</t>
  </si>
  <si>
    <t>Scint beam/rel</t>
  </si>
  <si>
    <t>time</t>
  </si>
  <si>
    <t>Laser position</t>
  </si>
  <si>
    <t>Avg</t>
  </si>
  <si>
    <t>Device</t>
  </si>
  <si>
    <t>Scint conv</t>
  </si>
  <si>
    <t>A problem with the labview boxes at ~580s, Lost connection. Restarted the software and continued to run. RF lost after 800 s.Beam back at 970 s.</t>
  </si>
  <si>
    <t>TSP51200-1</t>
  </si>
  <si>
    <t>SRAM3</t>
  </si>
  <si>
    <t>Gy</t>
  </si>
  <si>
    <t>Estimated fluence at Bexit</t>
  </si>
  <si>
    <t>Estimated  fluence at DUT</t>
  </si>
  <si>
    <t>Estimated dose Gy</t>
  </si>
  <si>
    <t>Estimated dose kRad</t>
  </si>
  <si>
    <t>MIC69302-1</t>
  </si>
  <si>
    <t>Dose/scint count [Rad]</t>
  </si>
  <si>
    <t>Count Rate</t>
  </si>
  <si>
    <t>Dose Limit</t>
  </si>
  <si>
    <t>Min</t>
  </si>
  <si>
    <t>Dose/scint count [Gy]</t>
  </si>
  <si>
    <t>fcup/scint rel</t>
  </si>
  <si>
    <t>qs3v3h257</t>
  </si>
  <si>
    <t>sn74avc2t245</t>
  </si>
  <si>
    <t>SN74avcb16245-1</t>
  </si>
  <si>
    <t>Calibration</t>
  </si>
  <si>
    <t>SRAM3/SRAM1</t>
  </si>
  <si>
    <t>SRAM3/SRAM4</t>
  </si>
  <si>
    <t>SRAM3/SRAM3</t>
  </si>
  <si>
    <t>SRAM3/SRAM2</t>
  </si>
  <si>
    <t>Z[cm]</t>
  </si>
  <si>
    <t>fluence [p/cm2]</t>
  </si>
  <si>
    <t>fcup  beam exit [A]</t>
  </si>
  <si>
    <t>CS [cm2/device]</t>
  </si>
  <si>
    <t>time [s]</t>
  </si>
  <si>
    <t>Dose/primary particle at DUT</t>
  </si>
  <si>
    <t>Primary particles at DUT</t>
  </si>
  <si>
    <t>Primary particles at Beam exit</t>
  </si>
  <si>
    <t>Beam intensity reduction  at DUT</t>
  </si>
  <si>
    <t>Fluka simulation results</t>
  </si>
  <si>
    <t>Scint low was place two low. Put in correct postion</t>
  </si>
  <si>
    <t>Scint rel ctrl room</t>
  </si>
  <si>
    <t>rel/ctrl room</t>
  </si>
  <si>
    <t>Calibration with different beam current</t>
  </si>
  <si>
    <t>counts/s</t>
  </si>
  <si>
    <t>~100</t>
  </si>
  <si>
    <t>~250</t>
  </si>
  <si>
    <t>~1000</t>
  </si>
  <si>
    <t>~1400</t>
  </si>
  <si>
    <t>ADN2814-1</t>
  </si>
  <si>
    <t>Calibrering</t>
  </si>
  <si>
    <t>neutron [uS/h]</t>
  </si>
  <si>
    <t>stdv</t>
  </si>
  <si>
    <t>%</t>
  </si>
  <si>
    <t>Neutron uS/h</t>
  </si>
  <si>
    <t>Neutron beam off</t>
  </si>
  <si>
    <t>uS/h</t>
  </si>
  <si>
    <t>MAX3748</t>
  </si>
  <si>
    <t>~460</t>
  </si>
  <si>
    <t>~2000</t>
  </si>
  <si>
    <t>1200pA was measured at the end of irradiation</t>
  </si>
  <si>
    <t>~1100</t>
  </si>
  <si>
    <t>SY89831U-2</t>
  </si>
  <si>
    <t>Stopped due to wrong voltage, changed to new device</t>
  </si>
  <si>
    <t>TSP51200-2</t>
  </si>
  <si>
    <t>MIC69302-2</t>
  </si>
  <si>
    <t>~1300</t>
  </si>
  <si>
    <t>SN74avcb16245-2</t>
  </si>
  <si>
    <t>~2500</t>
  </si>
  <si>
    <t>Increased intensity during run</t>
  </si>
  <si>
    <t>sn74avc2t245-2</t>
  </si>
  <si>
    <t>~2100</t>
  </si>
  <si>
    <t>qs3v3h257-2</t>
  </si>
  <si>
    <t>Afer irr. Test</t>
  </si>
  <si>
    <t>SRAM4</t>
  </si>
  <si>
    <t>SRAM2</t>
  </si>
  <si>
    <t>SRAM1</t>
  </si>
  <si>
    <t>Measurement with collimator in front of beam low scintillator (in beam)</t>
  </si>
  <si>
    <t>Moving each SRAM in beam center</t>
  </si>
  <si>
    <t>x mm</t>
  </si>
  <si>
    <t>Bergen SRAM</t>
  </si>
  <si>
    <t>ESA SRAM</t>
  </si>
  <si>
    <t>die 0</t>
  </si>
  <si>
    <t xml:space="preserve">die 1 </t>
  </si>
  <si>
    <t>die 2</t>
  </si>
  <si>
    <t>die 3</t>
  </si>
  <si>
    <t>total</t>
  </si>
  <si>
    <t>16 mbit</t>
  </si>
  <si>
    <t>4mbit/chip</t>
  </si>
  <si>
    <t>8 mbit/chip</t>
  </si>
  <si>
    <t>32 mbit</t>
  </si>
  <si>
    <t>Increasing intensity ~x4</t>
  </si>
  <si>
    <t>total/scint rel</t>
  </si>
  <si>
    <t>INA210-1</t>
  </si>
  <si>
    <t>INA210-2</t>
  </si>
  <si>
    <t>reduced intensity a bit</t>
  </si>
  <si>
    <t>Labview program stopped and was restarted during the test</t>
  </si>
  <si>
    <t>TLV3011-1</t>
  </si>
  <si>
    <t>TLV3011-2</t>
  </si>
  <si>
    <t>2.47e+14</t>
  </si>
  <si>
    <t>1.14e+13</t>
  </si>
  <si>
    <t>Measuring after test of ina210 and tlv</t>
  </si>
  <si>
    <t>Scint conv Bergen SRAM</t>
  </si>
  <si>
    <t>Scint conv ESA</t>
  </si>
  <si>
    <t>MeVcm2/mg</t>
  </si>
  <si>
    <t xml:space="preserve">MeV cm2 </t>
  </si>
  <si>
    <t>g</t>
  </si>
  <si>
    <t>p</t>
  </si>
  <si>
    <t>cm2</t>
  </si>
  <si>
    <t>8.852e2</t>
  </si>
  <si>
    <t>ESA sram</t>
  </si>
  <si>
    <t>scint rel</t>
  </si>
  <si>
    <t>scint low beam</t>
  </si>
  <si>
    <t>SF2</t>
  </si>
  <si>
    <t>Conv</t>
  </si>
  <si>
    <t>40 MHz, stopped due to short shift register 128</t>
  </si>
  <si>
    <t>usram</t>
  </si>
  <si>
    <t>lsram</t>
  </si>
  <si>
    <t>bits</t>
  </si>
  <si>
    <t>cs</t>
  </si>
  <si>
    <t>shiftreg</t>
  </si>
  <si>
    <t>pll lock</t>
  </si>
  <si>
    <t>ca 75 sec</t>
  </si>
  <si>
    <t>40 Mhz 2000reg 4 inv</t>
  </si>
  <si>
    <t>20140411-1230-40mhz-2000r-4inv-1.txt</t>
  </si>
  <si>
    <t>pll cs</t>
  </si>
  <si>
    <t>Reset gives 396mA and 300mA</t>
  </si>
  <si>
    <t>Power cycles does not reduce the current.</t>
  </si>
  <si>
    <t>current increased within 15 ms  from 277mA -&gt; 745mA (1.2V) and 222mA-&gt; 500 mA (3.3V).</t>
  </si>
  <si>
    <t>log/2014041-1430-40mhz-2000r-4inv-4.txt</t>
  </si>
  <si>
    <t>Reset uC system and restarted labview programs, curren is back to 270mA and 220mA.</t>
  </si>
  <si>
    <t>Shiftregister har ikke kjørt fram til nå (static var aktivert)</t>
  </si>
  <si>
    <t>Aktiverter shiftregister og strømmen gikk opp til 405mA (1,2V) og 290 mA (3.3V)</t>
  </si>
  <si>
    <t>shiftreg cs</t>
  </si>
  <si>
    <t>Current jumped to 900mA og 592mA at the end of run</t>
  </si>
  <si>
    <t>Curren jumps between 900mA and 400mA for a while before it gets stuck at 900mA.</t>
  </si>
  <si>
    <t>Sum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</si>
</sst>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2" borderId="0" xfId="1"/>
    <xf numFmtId="11" fontId="1" fillId="2" borderId="0" xfId="1" applyNumberFormat="1"/>
    <xf numFmtId="2" fontId="1" fillId="2" borderId="0" xfId="1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1" fontId="5" fillId="0" borderId="0" xfId="0" applyNumberFormat="1" applyFont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11" fontId="0" fillId="5" borderId="0" xfId="0" applyNumberFormat="1" applyFill="1"/>
    <xf numFmtId="0" fontId="0" fillId="5" borderId="0" xfId="0" applyFill="1"/>
    <xf numFmtId="11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11" fontId="6" fillId="0" borderId="0" xfId="0" applyNumberFormat="1" applyFont="1"/>
  </cellXfs>
  <cellStyles count="59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topLeftCell="A3" workbookViewId="0">
      <selection activeCell="F40" sqref="F40"/>
    </sheetView>
  </sheetViews>
  <sheetFormatPr defaultColWidth="11" defaultRowHeight="15.75"/>
  <cols>
    <col min="4" max="4" width="8.875" bestFit="1" customWidth="1"/>
    <col min="5" max="5" width="8.875" customWidth="1"/>
    <col min="6" max="6" width="13" bestFit="1" customWidth="1"/>
    <col min="7" max="7" width="19.375" bestFit="1" customWidth="1"/>
    <col min="8" max="8" width="8.875" bestFit="1" customWidth="1"/>
    <col min="9" max="9" width="13.625" bestFit="1" customWidth="1"/>
    <col min="10" max="10" width="13.625" customWidth="1"/>
    <col min="11" max="12" width="8.875" bestFit="1" customWidth="1"/>
    <col min="13" max="13" width="11.125" bestFit="1" customWidth="1"/>
    <col min="15" max="15" width="16.5" bestFit="1" customWidth="1"/>
    <col min="17" max="17" width="14.125" bestFit="1" customWidth="1"/>
    <col min="18" max="18" width="12" bestFit="1" customWidth="1"/>
    <col min="19" max="22" width="13.875" bestFit="1" customWidth="1"/>
  </cols>
  <sheetData>
    <row r="1" spans="1:24">
      <c r="A1" s="12">
        <v>14112013</v>
      </c>
      <c r="O1" t="s">
        <v>9</v>
      </c>
      <c r="Q1" t="s">
        <v>10</v>
      </c>
    </row>
    <row r="2" spans="1:24">
      <c r="B2" t="s">
        <v>7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0</v>
      </c>
      <c r="I2" s="1" t="s">
        <v>1</v>
      </c>
      <c r="J2" s="1" t="s">
        <v>17</v>
      </c>
      <c r="K2" t="s">
        <v>2</v>
      </c>
      <c r="L2" t="s">
        <v>3</v>
      </c>
      <c r="M2" t="s">
        <v>4</v>
      </c>
      <c r="N2" t="s">
        <v>5</v>
      </c>
      <c r="O2" t="s">
        <v>48</v>
      </c>
      <c r="P2" t="s">
        <v>46</v>
      </c>
    </row>
    <row r="3" spans="1:24">
      <c r="A3">
        <v>1</v>
      </c>
      <c r="O3" s="1">
        <v>5.0000000000000002E-11</v>
      </c>
      <c r="S3" t="s">
        <v>42</v>
      </c>
      <c r="T3" t="s">
        <v>45</v>
      </c>
      <c r="U3" t="s">
        <v>44</v>
      </c>
      <c r="V3" t="s">
        <v>43</v>
      </c>
    </row>
    <row r="4" spans="1:24">
      <c r="A4">
        <v>2</v>
      </c>
      <c r="B4">
        <v>0</v>
      </c>
      <c r="C4">
        <v>0</v>
      </c>
      <c r="D4">
        <v>250</v>
      </c>
      <c r="E4">
        <f t="shared" ref="E4:E15" si="0">M4/D4</f>
        <v>7.8840000000000003</v>
      </c>
      <c r="F4" s="1">
        <f t="shared" ref="F4:F15" si="1">M4/H4</f>
        <v>8.2769915592323523E-2</v>
      </c>
      <c r="G4" s="1">
        <f t="shared" ref="G4:G15" si="2">M4/I4</f>
        <v>1.9135922330097086E-4</v>
      </c>
      <c r="H4" s="2">
        <v>23813</v>
      </c>
      <c r="I4" s="1">
        <v>10300000</v>
      </c>
      <c r="J4" s="2">
        <f t="shared" ref="J4:J15" si="3">I4/H4</f>
        <v>432.53684961995549</v>
      </c>
      <c r="K4">
        <v>250</v>
      </c>
      <c r="L4">
        <v>174</v>
      </c>
      <c r="M4">
        <v>1971</v>
      </c>
      <c r="N4">
        <v>1580</v>
      </c>
      <c r="S4" s="2">
        <f t="shared" ref="S4:S15" si="4">M4/K4</f>
        <v>7.8840000000000003</v>
      </c>
      <c r="T4" s="2">
        <f t="shared" ref="T4:T15" si="5">M4/L4</f>
        <v>11.327586206896552</v>
      </c>
      <c r="U4" s="2">
        <f t="shared" ref="U4:U15" si="6">M4/M4</f>
        <v>1</v>
      </c>
      <c r="V4" s="2">
        <f t="shared" ref="V4:V15" si="7">M4/N4</f>
        <v>1.2474683544303797</v>
      </c>
      <c r="X4" t="s">
        <v>16</v>
      </c>
    </row>
    <row r="5" spans="1:24">
      <c r="A5">
        <v>3</v>
      </c>
      <c r="B5">
        <v>0</v>
      </c>
      <c r="C5">
        <v>-0.5</v>
      </c>
      <c r="D5" s="3">
        <v>229</v>
      </c>
      <c r="E5">
        <f t="shared" si="0"/>
        <v>16.886462882096069</v>
      </c>
      <c r="F5" s="1">
        <f t="shared" si="1"/>
        <v>0.10195096229897178</v>
      </c>
      <c r="G5" s="1">
        <f t="shared" si="2"/>
        <v>2.3295180722891567E-4</v>
      </c>
      <c r="H5" s="2">
        <v>37930</v>
      </c>
      <c r="I5" s="1">
        <v>16600000</v>
      </c>
      <c r="J5" s="2">
        <f t="shared" si="3"/>
        <v>437.64829949907727</v>
      </c>
      <c r="K5" s="3">
        <v>483</v>
      </c>
      <c r="L5" s="3">
        <v>228</v>
      </c>
      <c r="M5" s="3">
        <v>3867</v>
      </c>
      <c r="N5" s="3">
        <v>2008</v>
      </c>
      <c r="S5" s="2">
        <f t="shared" si="4"/>
        <v>8.0062111801242235</v>
      </c>
      <c r="T5" s="2">
        <f t="shared" si="5"/>
        <v>16.960526315789473</v>
      </c>
      <c r="U5" s="2">
        <f t="shared" si="6"/>
        <v>1</v>
      </c>
      <c r="V5" s="2">
        <f t="shared" si="7"/>
        <v>1.9257968127490039</v>
      </c>
    </row>
    <row r="6" spans="1:24">
      <c r="B6">
        <v>0</v>
      </c>
      <c r="C6">
        <v>-1</v>
      </c>
      <c r="D6">
        <v>140</v>
      </c>
      <c r="E6">
        <f t="shared" si="0"/>
        <v>20.12142857142857</v>
      </c>
      <c r="F6" s="1">
        <f t="shared" si="1"/>
        <v>0.10233588840047952</v>
      </c>
      <c r="G6" s="1">
        <f t="shared" si="2"/>
        <v>2.3474999999999999E-4</v>
      </c>
      <c r="H6" s="2">
        <v>27527</v>
      </c>
      <c r="I6" s="1">
        <v>12000000</v>
      </c>
      <c r="J6" s="2">
        <f t="shared" si="3"/>
        <v>435.93562683910341</v>
      </c>
      <c r="K6">
        <v>331</v>
      </c>
      <c r="L6">
        <v>121</v>
      </c>
      <c r="M6">
        <v>2817</v>
      </c>
      <c r="N6">
        <v>973</v>
      </c>
      <c r="S6" s="2">
        <f t="shared" si="4"/>
        <v>8.5105740181268885</v>
      </c>
      <c r="T6" s="2">
        <f t="shared" si="5"/>
        <v>23.280991735537189</v>
      </c>
      <c r="U6" s="2">
        <f t="shared" si="6"/>
        <v>1</v>
      </c>
      <c r="V6" s="2">
        <f t="shared" si="7"/>
        <v>2.895169578622816</v>
      </c>
    </row>
    <row r="7" spans="1:24">
      <c r="B7">
        <v>0</v>
      </c>
      <c r="C7">
        <v>-1.5</v>
      </c>
      <c r="D7">
        <v>155</v>
      </c>
      <c r="E7">
        <f t="shared" si="0"/>
        <v>21.677419354838708</v>
      </c>
      <c r="F7" s="1">
        <f t="shared" si="1"/>
        <v>9.7637520704384972E-2</v>
      </c>
      <c r="G7" s="1">
        <f t="shared" si="2"/>
        <v>2.24E-4</v>
      </c>
      <c r="H7" s="2">
        <v>34413</v>
      </c>
      <c r="I7" s="1">
        <v>15000000</v>
      </c>
      <c r="J7" s="2">
        <f t="shared" si="3"/>
        <v>435.88178885886146</v>
      </c>
      <c r="K7">
        <v>441</v>
      </c>
      <c r="L7">
        <v>122</v>
      </c>
      <c r="M7">
        <v>3360</v>
      </c>
      <c r="N7">
        <v>762</v>
      </c>
      <c r="S7" s="2">
        <f t="shared" si="4"/>
        <v>7.6190476190476186</v>
      </c>
      <c r="T7" s="2">
        <f t="shared" si="5"/>
        <v>27.540983606557376</v>
      </c>
      <c r="U7" s="2">
        <f t="shared" si="6"/>
        <v>1</v>
      </c>
      <c r="V7" s="2">
        <f t="shared" si="7"/>
        <v>4.409448818897638</v>
      </c>
    </row>
    <row r="8" spans="1:24">
      <c r="B8">
        <v>0</v>
      </c>
      <c r="C8">
        <v>-2</v>
      </c>
      <c r="D8">
        <v>155</v>
      </c>
      <c r="E8">
        <f t="shared" si="0"/>
        <v>17.825806451612902</v>
      </c>
      <c r="F8" s="1">
        <f t="shared" si="1"/>
        <v>8.4461834744596953E-2</v>
      </c>
      <c r="G8" s="1">
        <f t="shared" si="2"/>
        <v>1.9321678321678322E-4</v>
      </c>
      <c r="H8" s="2">
        <v>32713</v>
      </c>
      <c r="I8" s="1">
        <v>14300000</v>
      </c>
      <c r="J8" s="2">
        <f t="shared" si="3"/>
        <v>437.13508391159479</v>
      </c>
      <c r="K8">
        <v>327</v>
      </c>
      <c r="L8">
        <v>88</v>
      </c>
      <c r="M8">
        <v>2763</v>
      </c>
      <c r="N8">
        <v>426</v>
      </c>
      <c r="S8" s="2">
        <f t="shared" si="4"/>
        <v>8.4495412844036704</v>
      </c>
      <c r="T8" s="2">
        <f t="shared" si="5"/>
        <v>31.397727272727273</v>
      </c>
      <c r="U8" s="2">
        <f t="shared" si="6"/>
        <v>1</v>
      </c>
      <c r="V8" s="2">
        <f t="shared" si="7"/>
        <v>6.4859154929577461</v>
      </c>
    </row>
    <row r="9" spans="1:24">
      <c r="B9">
        <v>0.5</v>
      </c>
      <c r="C9">
        <v>0</v>
      </c>
      <c r="D9">
        <v>158</v>
      </c>
      <c r="E9">
        <f t="shared" si="0"/>
        <v>17.145569620253166</v>
      </c>
      <c r="F9" s="1">
        <f t="shared" si="1"/>
        <v>6.9904265476221195E-2</v>
      </c>
      <c r="G9" s="1">
        <f t="shared" si="2"/>
        <v>1.6124999999999999E-4</v>
      </c>
      <c r="H9" s="2">
        <v>38753</v>
      </c>
      <c r="I9" s="1">
        <v>16800000</v>
      </c>
      <c r="J9" s="2">
        <f t="shared" si="3"/>
        <v>433.51482465873607</v>
      </c>
      <c r="K9">
        <v>265</v>
      </c>
      <c r="L9">
        <v>195</v>
      </c>
      <c r="M9">
        <v>2709</v>
      </c>
      <c r="N9">
        <v>2169</v>
      </c>
      <c r="S9" s="2">
        <f t="shared" si="4"/>
        <v>10.222641509433963</v>
      </c>
      <c r="T9" s="2">
        <f t="shared" si="5"/>
        <v>13.892307692307693</v>
      </c>
      <c r="U9" s="2">
        <f t="shared" si="6"/>
        <v>1</v>
      </c>
      <c r="V9" s="2">
        <f t="shared" si="7"/>
        <v>1.2489626556016598</v>
      </c>
    </row>
    <row r="10" spans="1:24">
      <c r="B10">
        <v>-0.5</v>
      </c>
      <c r="C10">
        <v>0</v>
      </c>
      <c r="D10">
        <v>106</v>
      </c>
      <c r="E10">
        <f t="shared" si="0"/>
        <v>23.424528301886792</v>
      </c>
      <c r="F10" s="1">
        <f t="shared" si="1"/>
        <v>0.1060204953031597</v>
      </c>
      <c r="G10" s="1">
        <f t="shared" si="2"/>
        <v>2.3875E-4</v>
      </c>
      <c r="H10" s="2">
        <v>23420</v>
      </c>
      <c r="I10" s="1">
        <v>10400000</v>
      </c>
      <c r="J10" s="2">
        <f t="shared" si="3"/>
        <v>444.064901793339</v>
      </c>
      <c r="K10">
        <v>490</v>
      </c>
      <c r="L10">
        <v>318</v>
      </c>
      <c r="M10">
        <v>2483</v>
      </c>
      <c r="N10">
        <v>2013</v>
      </c>
      <c r="S10" s="2">
        <f t="shared" si="4"/>
        <v>5.0673469387755103</v>
      </c>
      <c r="T10" s="2">
        <f t="shared" si="5"/>
        <v>7.8081761006289305</v>
      </c>
      <c r="U10" s="2">
        <f t="shared" si="6"/>
        <v>1</v>
      </c>
      <c r="V10" s="2">
        <f t="shared" si="7"/>
        <v>1.2334823646299056</v>
      </c>
    </row>
    <row r="11" spans="1:24">
      <c r="B11">
        <v>-1</v>
      </c>
      <c r="C11">
        <v>0</v>
      </c>
      <c r="D11">
        <v>94</v>
      </c>
      <c r="E11">
        <f t="shared" si="0"/>
        <v>23.74468085106383</v>
      </c>
      <c r="F11" s="1">
        <f t="shared" si="1"/>
        <v>0.10829168890398332</v>
      </c>
      <c r="G11" s="1">
        <f t="shared" si="2"/>
        <v>2.4527472527472528E-4</v>
      </c>
      <c r="H11" s="2">
        <v>20611</v>
      </c>
      <c r="I11" s="1">
        <v>9100000</v>
      </c>
      <c r="J11" s="2">
        <f t="shared" si="3"/>
        <v>441.51181407986024</v>
      </c>
      <c r="K11">
        <v>629</v>
      </c>
      <c r="L11">
        <v>522</v>
      </c>
      <c r="M11">
        <v>2232</v>
      </c>
      <c r="N11">
        <v>1972</v>
      </c>
      <c r="S11" s="2">
        <f t="shared" si="4"/>
        <v>3.5484896661367249</v>
      </c>
      <c r="T11" s="2">
        <f t="shared" si="5"/>
        <v>4.2758620689655169</v>
      </c>
      <c r="U11" s="2">
        <f t="shared" si="6"/>
        <v>1</v>
      </c>
      <c r="V11" s="2">
        <f t="shared" si="7"/>
        <v>1.1318458417849899</v>
      </c>
    </row>
    <row r="12" spans="1:24">
      <c r="A12" s="4"/>
      <c r="B12" s="4">
        <v>-1.5</v>
      </c>
      <c r="C12" s="4">
        <v>0</v>
      </c>
      <c r="D12" s="4">
        <v>94</v>
      </c>
      <c r="E12">
        <f t="shared" si="0"/>
        <v>25.638297872340427</v>
      </c>
      <c r="F12" s="5">
        <f t="shared" si="1"/>
        <v>0.11468544779670696</v>
      </c>
      <c r="G12" s="5">
        <f t="shared" si="2"/>
        <v>1.3097826086956523E-4</v>
      </c>
      <c r="H12" s="6">
        <v>21014</v>
      </c>
      <c r="I12" s="5">
        <v>18400000</v>
      </c>
      <c r="J12" s="6">
        <f t="shared" si="3"/>
        <v>875.60673836489957</v>
      </c>
      <c r="K12" s="4">
        <v>702</v>
      </c>
      <c r="L12" s="4">
        <v>584</v>
      </c>
      <c r="M12" s="4">
        <v>2410</v>
      </c>
      <c r="N12" s="4">
        <v>1969</v>
      </c>
      <c r="O12" s="4"/>
      <c r="S12" s="2">
        <f t="shared" si="4"/>
        <v>3.433048433048433</v>
      </c>
      <c r="T12" s="2">
        <f t="shared" si="5"/>
        <v>4.1267123287671232</v>
      </c>
      <c r="U12" s="2">
        <f t="shared" si="6"/>
        <v>1</v>
      </c>
      <c r="V12" s="2">
        <f t="shared" si="7"/>
        <v>1.2239715591670899</v>
      </c>
      <c r="X12" t="s">
        <v>14</v>
      </c>
    </row>
    <row r="13" spans="1:24">
      <c r="B13">
        <v>-1.5</v>
      </c>
      <c r="C13">
        <v>0</v>
      </c>
      <c r="D13">
        <v>89</v>
      </c>
      <c r="E13">
        <f t="shared" si="0"/>
        <v>25.393258426966291</v>
      </c>
      <c r="F13" s="1">
        <f t="shared" si="1"/>
        <v>0.10930547494679822</v>
      </c>
      <c r="G13" s="1">
        <f t="shared" si="2"/>
        <v>2.5111111111111113E-4</v>
      </c>
      <c r="H13" s="2">
        <v>20676</v>
      </c>
      <c r="I13" s="1">
        <v>9000000</v>
      </c>
      <c r="J13" s="2">
        <f t="shared" si="3"/>
        <v>435.28728961114336</v>
      </c>
      <c r="K13">
        <v>637</v>
      </c>
      <c r="L13">
        <v>514</v>
      </c>
      <c r="M13">
        <v>2260</v>
      </c>
      <c r="N13">
        <v>1878</v>
      </c>
      <c r="S13" s="2">
        <f t="shared" si="4"/>
        <v>3.5478806907378337</v>
      </c>
      <c r="T13" s="2">
        <f t="shared" si="5"/>
        <v>4.3968871595330743</v>
      </c>
      <c r="U13" s="2">
        <f t="shared" si="6"/>
        <v>1</v>
      </c>
      <c r="V13" s="2">
        <f t="shared" si="7"/>
        <v>1.2034078807241746</v>
      </c>
    </row>
    <row r="14" spans="1:24">
      <c r="B14">
        <v>-2</v>
      </c>
      <c r="D14">
        <v>158</v>
      </c>
      <c r="E14">
        <f t="shared" si="0"/>
        <v>23.898734177215189</v>
      </c>
      <c r="F14" s="1">
        <f t="shared" si="1"/>
        <v>0.105513175175343</v>
      </c>
      <c r="G14" s="1">
        <f t="shared" si="2"/>
        <v>2.4050955414012739E-4</v>
      </c>
      <c r="H14" s="2">
        <v>35787</v>
      </c>
      <c r="I14" s="1">
        <v>15700000</v>
      </c>
      <c r="J14" s="2">
        <f t="shared" si="3"/>
        <v>438.70679296951408</v>
      </c>
      <c r="K14">
        <v>1703</v>
      </c>
      <c r="L14">
        <v>1223</v>
      </c>
      <c r="M14">
        <v>3776</v>
      </c>
      <c r="N14">
        <v>2976</v>
      </c>
      <c r="S14" s="2">
        <f t="shared" si="4"/>
        <v>2.2172636523781564</v>
      </c>
      <c r="T14" s="2">
        <f t="shared" si="5"/>
        <v>3.0874897792313982</v>
      </c>
      <c r="U14" s="2">
        <f t="shared" si="6"/>
        <v>1</v>
      </c>
      <c r="V14" s="2">
        <f t="shared" si="7"/>
        <v>1.2688172043010753</v>
      </c>
    </row>
    <row r="15" spans="1:24">
      <c r="B15">
        <v>-2.5</v>
      </c>
      <c r="D15">
        <v>104</v>
      </c>
      <c r="E15">
        <f t="shared" si="0"/>
        <v>24.153846153846153</v>
      </c>
      <c r="F15" s="1">
        <f t="shared" si="1"/>
        <v>9.0207203648507914E-2</v>
      </c>
      <c r="G15" s="1">
        <f t="shared" si="2"/>
        <v>2.0933333333333334E-4</v>
      </c>
      <c r="H15" s="2">
        <v>27847</v>
      </c>
      <c r="I15" s="1">
        <v>12000000</v>
      </c>
      <c r="J15" s="2">
        <f t="shared" si="3"/>
        <v>430.9261320788595</v>
      </c>
      <c r="K15">
        <v>1854</v>
      </c>
      <c r="L15">
        <v>1358</v>
      </c>
      <c r="M15">
        <v>2512</v>
      </c>
      <c r="N15">
        <v>2134</v>
      </c>
      <c r="S15" s="2">
        <f t="shared" si="4"/>
        <v>1.354908306364617</v>
      </c>
      <c r="T15" s="2">
        <f t="shared" si="5"/>
        <v>1.849779086892489</v>
      </c>
      <c r="U15" s="2">
        <f t="shared" si="6"/>
        <v>1</v>
      </c>
      <c r="V15" s="2">
        <f t="shared" si="7"/>
        <v>1.1771321462043112</v>
      </c>
    </row>
    <row r="16" spans="1:24">
      <c r="B16">
        <v>-1</v>
      </c>
      <c r="C16">
        <v>-0.8</v>
      </c>
      <c r="H16" s="1"/>
      <c r="I16" s="1"/>
      <c r="J16" s="1"/>
      <c r="X16" t="s">
        <v>15</v>
      </c>
    </row>
    <row r="17" spans="1:22" s="12" customFormat="1">
      <c r="F17" s="13"/>
    </row>
    <row r="18" spans="1:22">
      <c r="A18" s="12">
        <v>15112013</v>
      </c>
      <c r="B18">
        <v>-0.8</v>
      </c>
      <c r="C18">
        <v>-1</v>
      </c>
      <c r="D18">
        <v>244</v>
      </c>
      <c r="E18">
        <f t="shared" ref="E18:E28" si="8">M18/D18</f>
        <v>5.9959016393442619</v>
      </c>
      <c r="F18" s="1">
        <f t="shared" ref="F18:F28" si="9">M18/H18</f>
        <v>5.2629685588891285E-2</v>
      </c>
      <c r="G18" s="1">
        <f t="shared" ref="G18:G28" si="10">N18/I18</f>
        <v>3.6625766871165646E-5</v>
      </c>
      <c r="H18" s="2">
        <v>27798</v>
      </c>
      <c r="I18" s="1">
        <v>16300000</v>
      </c>
      <c r="J18" s="2">
        <f t="shared" ref="J18:J28" si="11">I18/H18</f>
        <v>586.37312036837181</v>
      </c>
      <c r="K18">
        <v>111</v>
      </c>
      <c r="L18">
        <v>49</v>
      </c>
      <c r="M18">
        <v>1463</v>
      </c>
      <c r="N18">
        <v>597</v>
      </c>
      <c r="S18" s="2">
        <f t="shared" ref="S18:S28" si="12">M18/K18</f>
        <v>13.18018018018018</v>
      </c>
      <c r="T18" s="2">
        <f t="shared" ref="T18:T28" si="13">M18/L18</f>
        <v>29.857142857142858</v>
      </c>
      <c r="U18" s="2">
        <f t="shared" ref="U18:U28" si="14">M18/M18</f>
        <v>1</v>
      </c>
      <c r="V18" s="2">
        <f t="shared" ref="V18:V28" si="15">M18/N18</f>
        <v>2.4505862646566166</v>
      </c>
    </row>
    <row r="19" spans="1:22">
      <c r="B19">
        <v>-1.3</v>
      </c>
      <c r="C19">
        <v>-1</v>
      </c>
      <c r="D19">
        <v>150</v>
      </c>
      <c r="E19">
        <f t="shared" si="8"/>
        <v>8.26</v>
      </c>
      <c r="F19" s="1">
        <f t="shared" si="9"/>
        <v>6.9917047570678861E-2</v>
      </c>
      <c r="G19" s="1">
        <f t="shared" si="10"/>
        <v>4.372549019607843E-5</v>
      </c>
      <c r="H19" s="2">
        <v>17721</v>
      </c>
      <c r="I19" s="1">
        <v>10200000</v>
      </c>
      <c r="J19" s="2">
        <f t="shared" si="11"/>
        <v>575.58828508549175</v>
      </c>
      <c r="K19">
        <v>141</v>
      </c>
      <c r="L19">
        <v>60</v>
      </c>
      <c r="M19">
        <v>1239</v>
      </c>
      <c r="N19">
        <v>446</v>
      </c>
      <c r="S19" s="2">
        <f t="shared" si="12"/>
        <v>8.787234042553191</v>
      </c>
      <c r="T19" s="2">
        <f t="shared" si="13"/>
        <v>20.65</v>
      </c>
      <c r="U19" s="2">
        <f t="shared" si="14"/>
        <v>1</v>
      </c>
      <c r="V19" s="2">
        <f t="shared" si="15"/>
        <v>2.7780269058295963</v>
      </c>
    </row>
    <row r="20" spans="1:22">
      <c r="B20">
        <v>-1.8</v>
      </c>
      <c r="C20">
        <v>-1</v>
      </c>
      <c r="D20">
        <v>115</v>
      </c>
      <c r="E20">
        <f t="shared" si="8"/>
        <v>10.460869565217392</v>
      </c>
      <c r="F20" s="1">
        <f t="shared" si="9"/>
        <v>9.3226906385616856E-2</v>
      </c>
      <c r="G20" s="1">
        <f t="shared" si="10"/>
        <v>5.6266666666666668E-5</v>
      </c>
      <c r="H20" s="2">
        <v>12904</v>
      </c>
      <c r="I20" s="1">
        <v>7500000</v>
      </c>
      <c r="J20" s="2">
        <f t="shared" si="11"/>
        <v>581.21512709237447</v>
      </c>
      <c r="K20">
        <v>154</v>
      </c>
      <c r="L20">
        <v>60</v>
      </c>
      <c r="M20">
        <v>1203</v>
      </c>
      <c r="N20">
        <v>422</v>
      </c>
      <c r="S20" s="2">
        <f t="shared" si="12"/>
        <v>7.8116883116883118</v>
      </c>
      <c r="T20" s="2">
        <f t="shared" si="13"/>
        <v>20.05</v>
      </c>
      <c r="U20" s="2">
        <f t="shared" si="14"/>
        <v>1</v>
      </c>
      <c r="V20" s="2">
        <f t="shared" si="15"/>
        <v>2.8507109004739335</v>
      </c>
    </row>
    <row r="21" spans="1:22">
      <c r="B21">
        <v>-2.2999999999999998</v>
      </c>
      <c r="C21">
        <v>-1</v>
      </c>
      <c r="D21">
        <v>108</v>
      </c>
      <c r="E21">
        <f t="shared" si="8"/>
        <v>11.814814814814815</v>
      </c>
      <c r="F21" s="1">
        <f t="shared" si="9"/>
        <v>9.5501833695082708E-2</v>
      </c>
      <c r="G21" s="1">
        <f t="shared" si="10"/>
        <v>6.0759493670886077E-5</v>
      </c>
      <c r="H21" s="2">
        <v>13361</v>
      </c>
      <c r="I21" s="1">
        <v>7900000</v>
      </c>
      <c r="J21" s="2">
        <f t="shared" si="11"/>
        <v>591.27310830027693</v>
      </c>
      <c r="K21">
        <v>338</v>
      </c>
      <c r="L21">
        <v>136</v>
      </c>
      <c r="M21">
        <v>1276</v>
      </c>
      <c r="N21">
        <v>480</v>
      </c>
      <c r="S21" s="2">
        <f t="shared" si="12"/>
        <v>3.775147928994083</v>
      </c>
      <c r="T21" s="2">
        <f t="shared" si="13"/>
        <v>9.382352941176471</v>
      </c>
      <c r="U21" s="2">
        <f t="shared" si="14"/>
        <v>1</v>
      </c>
      <c r="V21" s="2">
        <f t="shared" si="15"/>
        <v>2.6583333333333332</v>
      </c>
    </row>
    <row r="22" spans="1:22">
      <c r="B22">
        <v>-2.8</v>
      </c>
      <c r="C22">
        <v>-1</v>
      </c>
      <c r="D22">
        <v>103</v>
      </c>
      <c r="E22">
        <f t="shared" si="8"/>
        <v>12.019417475728156</v>
      </c>
      <c r="F22" s="1">
        <f t="shared" si="9"/>
        <v>9.6824651963084624E-2</v>
      </c>
      <c r="G22" s="1">
        <f t="shared" si="10"/>
        <v>6.1081081081081079E-5</v>
      </c>
      <c r="H22" s="2">
        <v>12786</v>
      </c>
      <c r="I22" s="1">
        <v>7400000</v>
      </c>
      <c r="J22" s="2">
        <f t="shared" si="11"/>
        <v>578.75801658063506</v>
      </c>
      <c r="K22">
        <v>479</v>
      </c>
      <c r="L22">
        <v>136</v>
      </c>
      <c r="M22">
        <v>1238</v>
      </c>
      <c r="N22">
        <v>452</v>
      </c>
      <c r="S22" s="2">
        <f t="shared" si="12"/>
        <v>2.5845511482254699</v>
      </c>
      <c r="T22" s="2">
        <f t="shared" si="13"/>
        <v>9.1029411764705888</v>
      </c>
      <c r="U22" s="2">
        <f t="shared" si="14"/>
        <v>1</v>
      </c>
      <c r="V22" s="2">
        <f t="shared" si="15"/>
        <v>2.7389380530973453</v>
      </c>
    </row>
    <row r="23" spans="1:22">
      <c r="B23">
        <v>-3.3</v>
      </c>
      <c r="C23">
        <v>-1</v>
      </c>
      <c r="D23">
        <v>105</v>
      </c>
      <c r="E23">
        <f t="shared" si="8"/>
        <v>11.009523809523809</v>
      </c>
      <c r="F23" s="1">
        <f t="shared" si="9"/>
        <v>9.366391184573003E-2</v>
      </c>
      <c r="G23" s="1">
        <f t="shared" si="10"/>
        <v>5.4109589041095888E-5</v>
      </c>
      <c r="H23" s="2">
        <v>12342</v>
      </c>
      <c r="I23" s="1">
        <v>7300000</v>
      </c>
      <c r="J23" s="2">
        <f t="shared" si="11"/>
        <v>591.47625992545784</v>
      </c>
      <c r="K23">
        <v>715</v>
      </c>
      <c r="L23">
        <v>232</v>
      </c>
      <c r="M23">
        <v>1156</v>
      </c>
      <c r="N23">
        <v>395</v>
      </c>
      <c r="S23" s="2">
        <f t="shared" si="12"/>
        <v>1.6167832167832168</v>
      </c>
      <c r="T23" s="2">
        <f t="shared" si="13"/>
        <v>4.9827586206896548</v>
      </c>
      <c r="U23" s="2">
        <f t="shared" si="14"/>
        <v>1</v>
      </c>
      <c r="V23" s="2">
        <f t="shared" si="15"/>
        <v>2.9265822784810127</v>
      </c>
    </row>
    <row r="24" spans="1:22">
      <c r="B24">
        <v>-2.5</v>
      </c>
      <c r="C24">
        <v>-1</v>
      </c>
      <c r="D24">
        <v>105</v>
      </c>
      <c r="E24">
        <f t="shared" si="8"/>
        <v>11.647619047619047</v>
      </c>
      <c r="F24" s="1">
        <f t="shared" si="9"/>
        <v>0.10456566347469221</v>
      </c>
      <c r="G24" s="1">
        <f t="shared" si="10"/>
        <v>5.8405797101449273E-5</v>
      </c>
      <c r="H24" s="2">
        <v>11696</v>
      </c>
      <c r="I24" s="1">
        <v>6900000</v>
      </c>
      <c r="J24" s="2">
        <f t="shared" si="11"/>
        <v>589.94528043775654</v>
      </c>
      <c r="K24">
        <v>343</v>
      </c>
      <c r="L24">
        <v>119</v>
      </c>
      <c r="M24">
        <v>1223</v>
      </c>
      <c r="N24">
        <v>403</v>
      </c>
      <c r="S24" s="2">
        <f t="shared" si="12"/>
        <v>3.565597667638484</v>
      </c>
      <c r="T24" s="2">
        <f t="shared" si="13"/>
        <v>10.277310924369749</v>
      </c>
      <c r="U24" s="2">
        <f t="shared" si="14"/>
        <v>1</v>
      </c>
      <c r="V24" s="2">
        <f t="shared" si="15"/>
        <v>3.0347394540942929</v>
      </c>
    </row>
    <row r="25" spans="1:22">
      <c r="B25">
        <v>-2.5</v>
      </c>
      <c r="C25">
        <v>-1.5</v>
      </c>
      <c r="D25">
        <v>101</v>
      </c>
      <c r="E25">
        <f t="shared" si="8"/>
        <v>10.643564356435643</v>
      </c>
      <c r="F25" s="1">
        <f t="shared" si="9"/>
        <v>9.7487984039176565E-2</v>
      </c>
      <c r="G25" s="1">
        <f t="shared" si="10"/>
        <v>3.1999999999999999E-5</v>
      </c>
      <c r="H25" s="2">
        <v>11027</v>
      </c>
      <c r="I25" s="1">
        <v>6500000</v>
      </c>
      <c r="J25" s="2">
        <f t="shared" si="11"/>
        <v>589.46222907409083</v>
      </c>
      <c r="K25">
        <v>305</v>
      </c>
      <c r="L25">
        <v>47</v>
      </c>
      <c r="M25">
        <v>1075</v>
      </c>
      <c r="N25">
        <v>208</v>
      </c>
      <c r="S25" s="2">
        <f t="shared" si="12"/>
        <v>3.5245901639344264</v>
      </c>
      <c r="T25" s="2">
        <f t="shared" si="13"/>
        <v>22.872340425531913</v>
      </c>
      <c r="U25" s="2">
        <f t="shared" si="14"/>
        <v>1</v>
      </c>
      <c r="V25" s="2">
        <f t="shared" si="15"/>
        <v>5.1682692307692308</v>
      </c>
    </row>
    <row r="26" spans="1:22">
      <c r="B26">
        <v>-2.5</v>
      </c>
      <c r="C26">
        <v>-2</v>
      </c>
      <c r="D26">
        <v>110</v>
      </c>
      <c r="E26">
        <f t="shared" si="8"/>
        <v>9.663636363636364</v>
      </c>
      <c r="F26" s="1">
        <f t="shared" si="9"/>
        <v>8.9818335445711869E-2</v>
      </c>
      <c r="G26" s="1">
        <f t="shared" si="10"/>
        <v>2.661764705882353E-5</v>
      </c>
      <c r="H26" s="2">
        <v>11835</v>
      </c>
      <c r="I26" s="1">
        <v>6800000</v>
      </c>
      <c r="J26" s="2">
        <f t="shared" si="11"/>
        <v>574.56696239966197</v>
      </c>
      <c r="K26">
        <v>224</v>
      </c>
      <c r="L26">
        <v>65</v>
      </c>
      <c r="M26">
        <v>1063</v>
      </c>
      <c r="N26">
        <v>181</v>
      </c>
      <c r="S26" s="2">
        <f t="shared" si="12"/>
        <v>4.7455357142857144</v>
      </c>
      <c r="T26" s="2">
        <f t="shared" si="13"/>
        <v>16.353846153846153</v>
      </c>
      <c r="U26" s="2">
        <f t="shared" si="14"/>
        <v>1</v>
      </c>
      <c r="V26" s="2">
        <f t="shared" si="15"/>
        <v>5.8729281767955799</v>
      </c>
    </row>
    <row r="27" spans="1:22">
      <c r="B27">
        <v>-2.5</v>
      </c>
      <c r="C27">
        <v>-0.5</v>
      </c>
      <c r="D27">
        <v>163</v>
      </c>
      <c r="E27">
        <f t="shared" si="8"/>
        <v>9.4478527607361968</v>
      </c>
      <c r="F27" s="1">
        <f t="shared" si="9"/>
        <v>9.8762265118963632E-2</v>
      </c>
      <c r="G27" s="1">
        <f t="shared" si="10"/>
        <v>9.3444444444444445E-5</v>
      </c>
      <c r="H27" s="2">
        <v>15593</v>
      </c>
      <c r="I27" s="1">
        <v>9000000</v>
      </c>
      <c r="J27" s="2">
        <f t="shared" si="11"/>
        <v>577.18206887706026</v>
      </c>
      <c r="K27">
        <v>398</v>
      </c>
      <c r="L27">
        <v>213</v>
      </c>
      <c r="M27">
        <v>1540</v>
      </c>
      <c r="N27">
        <v>841</v>
      </c>
      <c r="S27" s="2">
        <f t="shared" si="12"/>
        <v>3.8693467336683418</v>
      </c>
      <c r="T27" s="2">
        <f t="shared" si="13"/>
        <v>7.2300469483568079</v>
      </c>
      <c r="U27" s="2">
        <f t="shared" si="14"/>
        <v>1</v>
      </c>
      <c r="V27" s="2">
        <f t="shared" si="15"/>
        <v>1.83115338882283</v>
      </c>
    </row>
    <row r="28" spans="1:22">
      <c r="B28">
        <v>-2.5</v>
      </c>
      <c r="C28">
        <v>0</v>
      </c>
      <c r="D28">
        <v>149</v>
      </c>
      <c r="E28">
        <f t="shared" si="8"/>
        <v>6.9395973154362416</v>
      </c>
      <c r="F28" s="1">
        <f t="shared" si="9"/>
        <v>8.193343898573692E-2</v>
      </c>
      <c r="G28" s="1">
        <f t="shared" si="10"/>
        <v>1.1813333333333334E-4</v>
      </c>
      <c r="H28" s="2">
        <v>12620</v>
      </c>
      <c r="I28" s="1">
        <v>7500000</v>
      </c>
      <c r="J28" s="2">
        <f t="shared" si="11"/>
        <v>594.29477020602224</v>
      </c>
      <c r="K28">
        <v>299</v>
      </c>
      <c r="L28">
        <v>214</v>
      </c>
      <c r="M28">
        <v>1034</v>
      </c>
      <c r="N28">
        <v>886</v>
      </c>
      <c r="S28" s="2">
        <f t="shared" si="12"/>
        <v>3.4581939799331103</v>
      </c>
      <c r="T28" s="2">
        <f t="shared" si="13"/>
        <v>4.8317757009345792</v>
      </c>
      <c r="U28" s="2">
        <f t="shared" si="14"/>
        <v>1</v>
      </c>
      <c r="V28" s="2">
        <f t="shared" si="15"/>
        <v>1.1670428893905191</v>
      </c>
    </row>
    <row r="30" spans="1:22">
      <c r="A30" t="s">
        <v>19</v>
      </c>
      <c r="B30">
        <v>-0.8</v>
      </c>
      <c r="C30">
        <v>-0.7</v>
      </c>
    </row>
    <row r="32" spans="1:22">
      <c r="A32" t="s">
        <v>41</v>
      </c>
      <c r="F32" s="1"/>
    </row>
    <row r="33" spans="2:22">
      <c r="D33" t="s">
        <v>18</v>
      </c>
      <c r="K33" t="s">
        <v>2</v>
      </c>
      <c r="L33" t="s">
        <v>3</v>
      </c>
      <c r="M33" t="s">
        <v>4</v>
      </c>
      <c r="N33" t="s">
        <v>5</v>
      </c>
      <c r="O33" t="s">
        <v>48</v>
      </c>
      <c r="P33" s="9" t="s">
        <v>46</v>
      </c>
      <c r="Q33" t="s">
        <v>47</v>
      </c>
      <c r="R33" t="s">
        <v>37</v>
      </c>
    </row>
    <row r="34" spans="2:22">
      <c r="B34">
        <v>-2.5</v>
      </c>
      <c r="C34">
        <v>-1</v>
      </c>
      <c r="D34">
        <v>101</v>
      </c>
      <c r="F34" s="1">
        <f t="shared" ref="F34:G36" si="16">M34/H34</f>
        <v>9.1896446078431379E-2</v>
      </c>
      <c r="G34" s="1">
        <f t="shared" si="16"/>
        <v>6.0227272727272729E-5</v>
      </c>
      <c r="H34">
        <v>65280</v>
      </c>
      <c r="I34" s="1">
        <v>35200000</v>
      </c>
      <c r="J34" s="2">
        <f>I34/H34</f>
        <v>539.21568627450984</v>
      </c>
      <c r="K34">
        <v>4249</v>
      </c>
      <c r="L34">
        <v>1430</v>
      </c>
      <c r="M34">
        <v>5999</v>
      </c>
      <c r="N34">
        <v>2120</v>
      </c>
      <c r="O34" s="1">
        <v>1E-10</v>
      </c>
      <c r="P34">
        <v>5</v>
      </c>
      <c r="Q34" s="1">
        <f>O34/1.602E-19</f>
        <v>624219725.34332085</v>
      </c>
      <c r="R34" s="1">
        <f>O34/(H34/D34)</f>
        <v>1.5471813725490196E-13</v>
      </c>
      <c r="S34" s="2">
        <f>M34/K34</f>
        <v>1.4118616144975289</v>
      </c>
      <c r="T34" s="2">
        <f>M34/L34</f>
        <v>4.1951048951048948</v>
      </c>
      <c r="U34" s="2">
        <f>M34/M34</f>
        <v>1</v>
      </c>
      <c r="V34" s="2">
        <f>M34/N34</f>
        <v>2.8297169811320755</v>
      </c>
    </row>
    <row r="35" spans="2:22">
      <c r="B35">
        <v>-2.5</v>
      </c>
      <c r="C35">
        <v>-1</v>
      </c>
      <c r="D35">
        <v>60</v>
      </c>
      <c r="F35" s="1">
        <f t="shared" si="16"/>
        <v>9.1048680618744313E-2</v>
      </c>
      <c r="G35" s="1">
        <f t="shared" si="16"/>
        <v>6.9868637110016425E-5</v>
      </c>
      <c r="H35">
        <v>52752</v>
      </c>
      <c r="I35" s="1">
        <v>24360000</v>
      </c>
      <c r="J35" s="2">
        <f>I35/H35</f>
        <v>461.78343949044586</v>
      </c>
      <c r="K35">
        <v>3306</v>
      </c>
      <c r="L35">
        <v>1147</v>
      </c>
      <c r="M35">
        <v>4803</v>
      </c>
      <c r="N35">
        <v>1702</v>
      </c>
      <c r="O35" s="1">
        <v>2.0000000000000001E-10</v>
      </c>
      <c r="P35">
        <v>5</v>
      </c>
      <c r="Q35" s="1">
        <f>O35/1.602E-19</f>
        <v>1248439450.6866417</v>
      </c>
      <c r="R35" s="1">
        <f>O35/(H35/D35)</f>
        <v>2.2747952684258418E-13</v>
      </c>
      <c r="S35" s="2">
        <f>M35/K35</f>
        <v>1.4528130671506352</v>
      </c>
      <c r="T35" s="2">
        <f>M35/L35</f>
        <v>4.1874455100261549</v>
      </c>
      <c r="U35" s="2">
        <f>M35/M35</f>
        <v>1</v>
      </c>
      <c r="V35" s="2">
        <f>M35/N35</f>
        <v>2.8219741480611047</v>
      </c>
    </row>
    <row r="36" spans="2:22">
      <c r="B36">
        <v>-2.5</v>
      </c>
      <c r="C36">
        <v>-1</v>
      </c>
      <c r="D36">
        <v>43</v>
      </c>
      <c r="F36" s="1">
        <f t="shared" si="16"/>
        <v>9.1736706914326657E-2</v>
      </c>
      <c r="G36" s="1">
        <f t="shared" si="16"/>
        <v>8.917705735660848E-5</v>
      </c>
      <c r="H36">
        <v>57229</v>
      </c>
      <c r="I36" s="1">
        <v>20050000</v>
      </c>
      <c r="J36" s="2">
        <f>I36/H36</f>
        <v>350.34685212042848</v>
      </c>
      <c r="K36">
        <v>3604</v>
      </c>
      <c r="L36">
        <v>1145</v>
      </c>
      <c r="M36">
        <v>5250</v>
      </c>
      <c r="N36">
        <v>1788</v>
      </c>
      <c r="O36" s="1">
        <v>2.5000000000000002E-10</v>
      </c>
      <c r="P36">
        <v>5</v>
      </c>
      <c r="Q36" s="1">
        <f>O36/1.602E-19</f>
        <v>1560549313.3583024</v>
      </c>
      <c r="R36" s="1">
        <f>O36/(H36/D36)</f>
        <v>1.8784182844362125E-13</v>
      </c>
      <c r="S36" s="2">
        <f>M36/K36</f>
        <v>1.4567147613762486</v>
      </c>
      <c r="T36" s="2">
        <f>M36/L36</f>
        <v>4.5851528384279474</v>
      </c>
      <c r="U36" s="2">
        <f>M36/M36</f>
        <v>1</v>
      </c>
      <c r="V36" s="2">
        <f>M36/N36</f>
        <v>2.936241610738255</v>
      </c>
    </row>
    <row r="39" spans="2:22">
      <c r="E39" t="s">
        <v>20</v>
      </c>
      <c r="F39" s="11">
        <f>(F24+F34+F35+F36)/4</f>
        <v>9.4811874271548649E-2</v>
      </c>
      <c r="M39" s="1"/>
      <c r="N39" s="1"/>
      <c r="O39" s="1"/>
    </row>
    <row r="40" spans="2:22">
      <c r="M40" s="1"/>
      <c r="N40" s="1"/>
      <c r="O40" s="1"/>
    </row>
    <row r="41" spans="2:22">
      <c r="I41" s="1"/>
      <c r="J41" s="1"/>
      <c r="M41" s="1"/>
      <c r="N41" s="1"/>
      <c r="O41" s="1"/>
    </row>
    <row r="43" spans="2:22">
      <c r="F43" s="1">
        <v>1.1400000000000001E-6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S21"/>
  <sheetViews>
    <sheetView workbookViewId="0">
      <selection activeCell="G9" sqref="G9"/>
    </sheetView>
  </sheetViews>
  <sheetFormatPr defaultColWidth="11" defaultRowHeight="15.75"/>
  <cols>
    <col min="2" max="2" width="16.125" bestFit="1" customWidth="1"/>
    <col min="6" max="6" width="14.375" bestFit="1" customWidth="1"/>
    <col min="14" max="14" width="54.375" customWidth="1"/>
  </cols>
  <sheetData>
    <row r="2" spans="1:19">
      <c r="G2" t="s">
        <v>22</v>
      </c>
      <c r="H2" s="1">
        <f>'Beam profile 14-15 nov'!F39</f>
        <v>9.4811874271548649E-2</v>
      </c>
      <c r="Q2" s="1"/>
    </row>
    <row r="3" spans="1:19">
      <c r="P3" t="s">
        <v>33</v>
      </c>
      <c r="Q3" t="s">
        <v>34</v>
      </c>
      <c r="R3" t="s">
        <v>6</v>
      </c>
      <c r="S3" t="s">
        <v>35</v>
      </c>
    </row>
    <row r="4" spans="1:19" ht="47.25">
      <c r="B4" t="s">
        <v>21</v>
      </c>
      <c r="C4" t="s">
        <v>50</v>
      </c>
      <c r="D4" t="s">
        <v>0</v>
      </c>
      <c r="E4" s="7" t="s">
        <v>25</v>
      </c>
      <c r="F4" t="s">
        <v>49</v>
      </c>
      <c r="G4" s="8" t="s">
        <v>28</v>
      </c>
      <c r="H4" s="8" t="s">
        <v>27</v>
      </c>
      <c r="I4" s="8" t="s">
        <v>29</v>
      </c>
      <c r="J4" s="8" t="s">
        <v>30</v>
      </c>
      <c r="K4" s="8" t="s">
        <v>32</v>
      </c>
      <c r="L4" s="8" t="s">
        <v>36</v>
      </c>
      <c r="M4" s="8"/>
      <c r="P4">
        <v>3000</v>
      </c>
      <c r="Q4">
        <v>50000</v>
      </c>
      <c r="R4" s="2">
        <f>Q4/(P4*K5)</f>
        <v>654.06619436272331</v>
      </c>
      <c r="S4">
        <f>R4/60</f>
        <v>10.901103239378722</v>
      </c>
    </row>
    <row r="5" spans="1:19" ht="47.25">
      <c r="A5">
        <v>1</v>
      </c>
      <c r="B5" t="s">
        <v>24</v>
      </c>
      <c r="C5">
        <v>3148</v>
      </c>
      <c r="D5">
        <v>1639988</v>
      </c>
      <c r="E5" s="1">
        <f>D5*$H$2</f>
        <v>155490.33606284854</v>
      </c>
      <c r="F5" s="1">
        <v>1.1400000000000001E-6</v>
      </c>
      <c r="G5" s="1">
        <f>E5/F5</f>
        <v>136395031634.07765</v>
      </c>
      <c r="H5" s="1">
        <f>G5/Fluka!$D$5</f>
        <v>1024756060361.2146</v>
      </c>
      <c r="I5" s="1">
        <f>H5*Fluka!$D$3</f>
        <v>417.89552141530328</v>
      </c>
      <c r="J5" s="2">
        <f>I5*100/1000</f>
        <v>41.789552141530329</v>
      </c>
      <c r="K5" s="1">
        <f>J5*1000/D5</f>
        <v>2.5481620683523495E-2</v>
      </c>
      <c r="L5" s="1">
        <f>I5/D5</f>
        <v>2.5481620683523491E-4</v>
      </c>
      <c r="M5" s="1"/>
      <c r="N5" s="8" t="s">
        <v>23</v>
      </c>
    </row>
    <row r="6" spans="1:19">
      <c r="A6">
        <v>2</v>
      </c>
      <c r="B6" t="s">
        <v>31</v>
      </c>
      <c r="C6">
        <v>2448</v>
      </c>
      <c r="D6" s="1">
        <v>6438058</v>
      </c>
      <c r="E6" s="1">
        <f>D6*$H$2</f>
        <v>610404.34564893798</v>
      </c>
      <c r="F6" s="1">
        <v>1.1400000000000001E-6</v>
      </c>
      <c r="G6" s="1">
        <f>E6/F6</f>
        <v>535442408463.98065</v>
      </c>
      <c r="H6" s="1">
        <f>G6/Fluka!$D$5</f>
        <v>4022858065093.769</v>
      </c>
      <c r="I6" s="1">
        <f>H6*Fluka!$D$3</f>
        <v>1640.521518945239</v>
      </c>
      <c r="J6" s="2">
        <f>I6*100/1000</f>
        <v>164.05215189452392</v>
      </c>
      <c r="K6" s="1">
        <f>J6*1000/D6</f>
        <v>2.5481620683523495E-2</v>
      </c>
      <c r="L6" s="1">
        <f>I6/D6</f>
        <v>2.5481620683523491E-4</v>
      </c>
      <c r="M6" s="1"/>
    </row>
    <row r="7" spans="1:19">
      <c r="A7">
        <v>3</v>
      </c>
      <c r="B7" t="s">
        <v>40</v>
      </c>
      <c r="C7">
        <v>991</v>
      </c>
      <c r="D7">
        <v>2558493</v>
      </c>
      <c r="E7" s="1">
        <f>D7*$H$2</f>
        <v>242575.51664063733</v>
      </c>
      <c r="F7" s="1">
        <v>1.1400000000000001E-6</v>
      </c>
      <c r="G7" s="1">
        <f>E7/F7</f>
        <v>212785540912.83975</v>
      </c>
      <c r="H7" s="1">
        <f>G7/Fluka!$D$5</f>
        <v>1598689263056.6472</v>
      </c>
      <c r="I7" s="1">
        <f>H7*Fluka!$D$3</f>
        <v>651.94548147450075</v>
      </c>
      <c r="J7" s="2">
        <f>I7*100/1000</f>
        <v>65.194548147450078</v>
      </c>
      <c r="K7" s="1">
        <f>J7*1000/D7</f>
        <v>2.5481620683523495E-2</v>
      </c>
      <c r="L7" s="1">
        <f>I7/D7</f>
        <v>2.5481620683523497E-4</v>
      </c>
      <c r="M7" s="1"/>
    </row>
    <row r="8" spans="1:19">
      <c r="A8">
        <v>4</v>
      </c>
      <c r="B8" t="s">
        <v>39</v>
      </c>
      <c r="C8">
        <v>916</v>
      </c>
      <c r="D8">
        <v>2213156</v>
      </c>
      <c r="E8" s="1">
        <f>D8*$H$2</f>
        <v>209833.46841532353</v>
      </c>
      <c r="F8" s="1">
        <v>1.1400000000000001E-6</v>
      </c>
      <c r="G8" s="1">
        <f>E8/F8</f>
        <v>184064445978.35394</v>
      </c>
      <c r="H8" s="1">
        <f>G8/Fluka!$D$5</f>
        <v>1382903425832.8621</v>
      </c>
      <c r="I8" s="1">
        <f>H8*Fluka!$D$3</f>
        <v>563.94801705464113</v>
      </c>
      <c r="J8" s="2">
        <f>I8*100/1000</f>
        <v>56.394801705464111</v>
      </c>
      <c r="K8" s="1">
        <f>J8*1000/D8</f>
        <v>2.5481620683523488E-2</v>
      </c>
      <c r="L8" s="1">
        <f>I8/D8</f>
        <v>2.5481620683523491E-4</v>
      </c>
      <c r="M8" s="1"/>
    </row>
    <row r="9" spans="1:19">
      <c r="A9">
        <v>5</v>
      </c>
      <c r="B9" t="s">
        <v>38</v>
      </c>
      <c r="C9">
        <v>806</v>
      </c>
      <c r="D9">
        <v>2069453</v>
      </c>
      <c r="E9" s="1">
        <f>D9*$H$2</f>
        <v>196208.71764687917</v>
      </c>
      <c r="F9" s="1">
        <v>1.1400000000000001E-6</v>
      </c>
      <c r="G9" s="1">
        <f>E9/F9</f>
        <v>172112910216.56067</v>
      </c>
      <c r="H9" s="1">
        <f>G9/Fluka!$D$5</f>
        <v>1293109768719.4641</v>
      </c>
      <c r="I9" s="1">
        <f>H9*Fluka!$D$3</f>
        <v>527.33016368379742</v>
      </c>
      <c r="J9" s="2">
        <f>I9*100/1000</f>
        <v>52.733016368379744</v>
      </c>
      <c r="K9" s="1">
        <f>J9*1000/D9</f>
        <v>2.5481620683523495E-2</v>
      </c>
      <c r="L9" s="1">
        <f>I9/D9</f>
        <v>2.5481620683523491E-4</v>
      </c>
      <c r="M9" s="1"/>
    </row>
    <row r="18" spans="12:13">
      <c r="M18" s="1"/>
    </row>
    <row r="19" spans="12:13">
      <c r="M19" s="1"/>
    </row>
    <row r="20" spans="12:13">
      <c r="L20" s="1"/>
    </row>
    <row r="21" spans="12:13">
      <c r="L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C2:J32"/>
  <sheetViews>
    <sheetView topLeftCell="A23" workbookViewId="0">
      <selection activeCell="H31" sqref="H31"/>
    </sheetView>
  </sheetViews>
  <sheetFormatPr defaultColWidth="11" defaultRowHeight="15.75"/>
  <cols>
    <col min="3" max="3" width="28.125" bestFit="1" customWidth="1"/>
    <col min="4" max="4" width="12.125" bestFit="1" customWidth="1"/>
  </cols>
  <sheetData>
    <row r="2" spans="3:5">
      <c r="C2" t="s">
        <v>55</v>
      </c>
    </row>
    <row r="3" spans="3:5">
      <c r="C3" s="9" t="s">
        <v>51</v>
      </c>
      <c r="D3" s="10">
        <v>4.0779999999999998E-10</v>
      </c>
      <c r="E3" t="s">
        <v>26</v>
      </c>
    </row>
    <row r="4" spans="3:5">
      <c r="C4" s="9" t="s">
        <v>53</v>
      </c>
      <c r="D4" s="9">
        <v>1</v>
      </c>
    </row>
    <row r="5" spans="3:5">
      <c r="C5" t="s">
        <v>52</v>
      </c>
      <c r="D5">
        <v>0.1331</v>
      </c>
    </row>
    <row r="7" spans="3:5">
      <c r="C7" t="s">
        <v>54</v>
      </c>
      <c r="D7">
        <f>1/D5</f>
        <v>7.5131480090157776</v>
      </c>
    </row>
    <row r="10" spans="3:5">
      <c r="C10" t="s">
        <v>55</v>
      </c>
    </row>
    <row r="11" spans="3:5">
      <c r="C11" s="9" t="s">
        <v>51</v>
      </c>
      <c r="D11" s="10">
        <v>2.9369999999999998E-10</v>
      </c>
      <c r="E11" t="s">
        <v>26</v>
      </c>
    </row>
    <row r="12" spans="3:5">
      <c r="C12" s="9" t="s">
        <v>53</v>
      </c>
      <c r="D12" s="9">
        <v>1</v>
      </c>
    </row>
    <row r="13" spans="3:5">
      <c r="C13" t="s">
        <v>52</v>
      </c>
      <c r="D13" s="1">
        <v>8.5680000000000006E-2</v>
      </c>
    </row>
    <row r="15" spans="3:5">
      <c r="C15" t="s">
        <v>54</v>
      </c>
      <c r="D15">
        <f>1/D13</f>
        <v>11.671335200746965</v>
      </c>
    </row>
    <row r="20" spans="4:10">
      <c r="E20">
        <v>18.739999999999998</v>
      </c>
      <c r="F20" s="1">
        <v>1000000</v>
      </c>
      <c r="G20" s="1">
        <v>1.602E-19</v>
      </c>
      <c r="H20" s="3">
        <f>E20*F20*G20/G21</f>
        <v>3.0021480000000002E-9</v>
      </c>
      <c r="I20" s="1">
        <v>448000000000</v>
      </c>
      <c r="J20" s="1">
        <f>I20*H20</f>
        <v>1344.9623040000001</v>
      </c>
    </row>
    <row r="21" spans="4:10">
      <c r="G21" s="1">
        <v>1E-3</v>
      </c>
    </row>
    <row r="24" spans="4:10">
      <c r="E24" t="s">
        <v>120</v>
      </c>
    </row>
    <row r="25" spans="4:10">
      <c r="E25" s="1">
        <v>884.8</v>
      </c>
      <c r="F25" s="1">
        <v>1000000</v>
      </c>
      <c r="G25" s="1">
        <v>1.602E-19</v>
      </c>
      <c r="H25" s="3">
        <f>E25*F25*G25/G26</f>
        <v>1.4174495999999999E-7</v>
      </c>
    </row>
    <row r="26" spans="4:10">
      <c r="G26" s="1">
        <v>1E-3</v>
      </c>
    </row>
    <row r="28" spans="4:10">
      <c r="D28" t="s">
        <v>121</v>
      </c>
      <c r="E28" t="s">
        <v>123</v>
      </c>
    </row>
    <row r="29" spans="4:10">
      <c r="D29" t="s">
        <v>122</v>
      </c>
      <c r="E29" t="s">
        <v>124</v>
      </c>
    </row>
    <row r="31" spans="4:10">
      <c r="D31" t="s">
        <v>125</v>
      </c>
      <c r="E31">
        <v>1</v>
      </c>
      <c r="F31" s="1">
        <v>1000000</v>
      </c>
      <c r="G31" s="1">
        <v>1.602E-19</v>
      </c>
    </row>
    <row r="32" spans="4:10">
      <c r="E32" s="1">
        <v>1E-3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Z80"/>
  <sheetViews>
    <sheetView topLeftCell="B21" workbookViewId="0">
      <selection activeCell="F29" sqref="F29"/>
    </sheetView>
  </sheetViews>
  <sheetFormatPr defaultColWidth="11" defaultRowHeight="15.75"/>
  <cols>
    <col min="4" max="4" width="8.875" bestFit="1" customWidth="1"/>
    <col min="5" max="5" width="8.875" customWidth="1"/>
    <col min="6" max="6" width="13" bestFit="1" customWidth="1"/>
    <col min="7" max="7" width="19.375" bestFit="1" customWidth="1"/>
    <col min="8" max="8" width="19.375" customWidth="1"/>
    <col min="9" max="9" width="12" bestFit="1" customWidth="1"/>
    <col min="10" max="10" width="12" customWidth="1"/>
    <col min="11" max="11" width="13.625" bestFit="1" customWidth="1"/>
    <col min="12" max="12" width="13.625" customWidth="1"/>
    <col min="13" max="14" width="8.875" bestFit="1" customWidth="1"/>
    <col min="15" max="15" width="11.125" bestFit="1" customWidth="1"/>
    <col min="17" max="17" width="16.5" bestFit="1" customWidth="1"/>
    <col min="19" max="19" width="14.125" bestFit="1" customWidth="1"/>
    <col min="20" max="20" width="12" bestFit="1" customWidth="1"/>
    <col min="21" max="24" width="13.875" bestFit="1" customWidth="1"/>
  </cols>
  <sheetData>
    <row r="1" spans="1:26">
      <c r="A1" s="12">
        <v>14112013</v>
      </c>
      <c r="Q1" t="s">
        <v>9</v>
      </c>
      <c r="S1" t="s">
        <v>10</v>
      </c>
    </row>
    <row r="2" spans="1:26">
      <c r="B2" t="s">
        <v>7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57</v>
      </c>
      <c r="I2" t="s">
        <v>0</v>
      </c>
      <c r="J2" t="s">
        <v>58</v>
      </c>
      <c r="K2" s="1" t="s">
        <v>1</v>
      </c>
      <c r="L2" s="1" t="s">
        <v>17</v>
      </c>
      <c r="M2" t="s">
        <v>2</v>
      </c>
      <c r="N2" t="s">
        <v>3</v>
      </c>
      <c r="O2" t="s">
        <v>4</v>
      </c>
      <c r="P2" t="s">
        <v>5</v>
      </c>
      <c r="Q2" t="s">
        <v>48</v>
      </c>
      <c r="R2" t="s">
        <v>46</v>
      </c>
    </row>
    <row r="3" spans="1:26">
      <c r="Q3" s="1"/>
      <c r="U3" t="s">
        <v>42</v>
      </c>
      <c r="V3" t="s">
        <v>45</v>
      </c>
      <c r="W3" t="s">
        <v>44</v>
      </c>
      <c r="X3" t="s">
        <v>43</v>
      </c>
      <c r="Z3" t="s">
        <v>56</v>
      </c>
    </row>
    <row r="4" spans="1:26">
      <c r="B4">
        <v>0</v>
      </c>
      <c r="C4">
        <v>0</v>
      </c>
      <c r="D4">
        <v>70</v>
      </c>
      <c r="E4">
        <f>O4/D4</f>
        <v>18.342857142857142</v>
      </c>
      <c r="F4" s="1">
        <f>O4/I4</f>
        <v>0.17622838320065881</v>
      </c>
      <c r="G4" s="1">
        <f>O4/K4</f>
        <v>3.4702702702702704E-2</v>
      </c>
      <c r="H4" s="3"/>
      <c r="I4" s="3">
        <v>7286</v>
      </c>
      <c r="J4" s="3"/>
      <c r="K4" s="1">
        <v>37000</v>
      </c>
      <c r="L4" s="2">
        <f t="shared" ref="L4:L16" si="0">K4/I4</f>
        <v>5.0782322261872084</v>
      </c>
      <c r="M4">
        <v>538</v>
      </c>
      <c r="N4">
        <v>238</v>
      </c>
      <c r="O4">
        <v>1284</v>
      </c>
      <c r="P4">
        <v>602</v>
      </c>
      <c r="U4" s="2">
        <f t="shared" ref="U4:U16" si="1">O4/M4</f>
        <v>2.3866171003717471</v>
      </c>
      <c r="V4" s="2">
        <f t="shared" ref="V4:V16" si="2">O4/N4</f>
        <v>5.3949579831932777</v>
      </c>
      <c r="W4" s="2">
        <f t="shared" ref="W4:W16" si="3">O4/O4</f>
        <v>1</v>
      </c>
      <c r="X4" s="2">
        <f t="shared" ref="X4:X16" si="4">O4/P4</f>
        <v>2.132890365448505</v>
      </c>
    </row>
    <row r="5" spans="1:26">
      <c r="B5">
        <v>0</v>
      </c>
      <c r="C5">
        <v>0</v>
      </c>
      <c r="D5" s="3">
        <v>54</v>
      </c>
      <c r="E5">
        <f t="shared" ref="E5" si="5">O5/D5</f>
        <v>20.018518518518519</v>
      </c>
      <c r="F5" s="1">
        <f t="shared" ref="F5:F6" si="6">O5/I5</f>
        <v>0.17562956945572705</v>
      </c>
      <c r="G5" s="1">
        <f t="shared" ref="G5" si="7">O5/K5</f>
        <v>2.6237864077669902E-4</v>
      </c>
      <c r="H5" s="3"/>
      <c r="I5" s="3">
        <v>6155</v>
      </c>
      <c r="J5" s="3"/>
      <c r="K5" s="1">
        <v>4120000</v>
      </c>
      <c r="L5" s="2">
        <f t="shared" si="0"/>
        <v>669.37449228269702</v>
      </c>
      <c r="M5" s="3">
        <v>507</v>
      </c>
      <c r="N5" s="3">
        <v>160</v>
      </c>
      <c r="O5" s="3">
        <v>1081</v>
      </c>
      <c r="P5" s="3">
        <v>525</v>
      </c>
      <c r="U5" s="2">
        <f t="shared" si="1"/>
        <v>2.1321499013806706</v>
      </c>
      <c r="V5" s="2">
        <f t="shared" si="2"/>
        <v>6.7562499999999996</v>
      </c>
      <c r="W5" s="2">
        <f t="shared" si="3"/>
        <v>1</v>
      </c>
      <c r="X5" s="2">
        <f t="shared" si="4"/>
        <v>2.059047619047619</v>
      </c>
    </row>
    <row r="6" spans="1:26">
      <c r="B6">
        <v>-0.5</v>
      </c>
      <c r="C6">
        <v>0</v>
      </c>
      <c r="D6">
        <v>65</v>
      </c>
      <c r="E6">
        <f t="shared" ref="E6:E16" si="8">O6/D6</f>
        <v>18.030769230769231</v>
      </c>
      <c r="F6" s="1">
        <f t="shared" si="6"/>
        <v>0.17406802316946385</v>
      </c>
      <c r="G6" s="1">
        <f t="shared" ref="G6:G16" si="9">O6/K6</f>
        <v>2.558951965065502E-4</v>
      </c>
      <c r="H6" s="3">
        <v>7664</v>
      </c>
      <c r="I6" s="3">
        <v>6733</v>
      </c>
      <c r="J6" s="2">
        <f t="shared" ref="J6:J16" si="10">I6/H6</f>
        <v>0.8785229645093946</v>
      </c>
      <c r="K6" s="1">
        <v>4580000</v>
      </c>
      <c r="L6" s="2">
        <f t="shared" si="0"/>
        <v>680.23169463834847</v>
      </c>
      <c r="M6" s="3">
        <v>680</v>
      </c>
      <c r="N6" s="3">
        <v>276</v>
      </c>
      <c r="O6" s="3">
        <v>1172</v>
      </c>
      <c r="P6" s="3">
        <v>465</v>
      </c>
      <c r="U6" s="2">
        <f t="shared" si="1"/>
        <v>1.723529411764706</v>
      </c>
      <c r="V6" s="2">
        <f t="shared" si="2"/>
        <v>4.2463768115942031</v>
      </c>
      <c r="W6" s="2">
        <f t="shared" si="3"/>
        <v>1</v>
      </c>
      <c r="X6" s="2">
        <f t="shared" si="4"/>
        <v>2.5204301075268818</v>
      </c>
    </row>
    <row r="7" spans="1:26">
      <c r="B7">
        <v>-1</v>
      </c>
      <c r="C7">
        <v>0</v>
      </c>
      <c r="D7">
        <v>73</v>
      </c>
      <c r="E7">
        <f t="shared" si="8"/>
        <v>16.054794520547944</v>
      </c>
      <c r="F7" s="1">
        <f t="shared" ref="F7:F16" si="11">O7/H7</f>
        <v>0.13159667639793399</v>
      </c>
      <c r="G7" s="1">
        <f t="shared" si="9"/>
        <v>2.2890625E-4</v>
      </c>
      <c r="H7" s="2">
        <v>8906</v>
      </c>
      <c r="I7" s="3">
        <v>7836</v>
      </c>
      <c r="J7" s="2">
        <f t="shared" si="10"/>
        <v>0.87985627666741517</v>
      </c>
      <c r="K7" s="1">
        <v>5120000</v>
      </c>
      <c r="L7" s="2">
        <f t="shared" si="0"/>
        <v>653.39458907605922</v>
      </c>
      <c r="M7" s="2">
        <v>989</v>
      </c>
      <c r="N7" s="2">
        <v>415</v>
      </c>
      <c r="O7" s="2">
        <v>1172</v>
      </c>
      <c r="P7" s="2">
        <v>523</v>
      </c>
      <c r="U7" s="2">
        <f t="shared" si="1"/>
        <v>1.1850353892821031</v>
      </c>
      <c r="V7" s="2">
        <f t="shared" si="2"/>
        <v>2.8240963855421688</v>
      </c>
      <c r="W7" s="2">
        <f t="shared" si="3"/>
        <v>1</v>
      </c>
      <c r="X7" s="2">
        <f t="shared" si="4"/>
        <v>2.2409177820267687</v>
      </c>
    </row>
    <row r="8" spans="1:26">
      <c r="B8">
        <v>0.5</v>
      </c>
      <c r="C8">
        <v>0</v>
      </c>
      <c r="D8">
        <v>67</v>
      </c>
      <c r="E8">
        <f t="shared" si="8"/>
        <v>18.223880597014926</v>
      </c>
      <c r="F8" s="1">
        <f t="shared" si="11"/>
        <v>0.1585302518826279</v>
      </c>
      <c r="G8" s="1">
        <f t="shared" si="9"/>
        <v>2.7193763919821826E-4</v>
      </c>
      <c r="H8" s="1">
        <v>7702</v>
      </c>
      <c r="I8" s="2">
        <v>6780</v>
      </c>
      <c r="J8" s="2">
        <f t="shared" si="10"/>
        <v>0.88029083354972737</v>
      </c>
      <c r="K8" s="1">
        <v>4490000</v>
      </c>
      <c r="L8" s="2">
        <f t="shared" si="0"/>
        <v>662.2418879056047</v>
      </c>
      <c r="M8" s="2">
        <v>380</v>
      </c>
      <c r="N8" s="2">
        <v>153</v>
      </c>
      <c r="O8" s="2">
        <v>1221</v>
      </c>
      <c r="P8" s="2">
        <v>489</v>
      </c>
      <c r="U8" s="2">
        <f t="shared" si="1"/>
        <v>3.2131578947368422</v>
      </c>
      <c r="V8" s="2">
        <f t="shared" si="2"/>
        <v>7.9803921568627452</v>
      </c>
      <c r="W8" s="2">
        <f t="shared" si="3"/>
        <v>1</v>
      </c>
      <c r="X8" s="2">
        <f t="shared" si="4"/>
        <v>2.4969325153374231</v>
      </c>
    </row>
    <row r="9" spans="1:26">
      <c r="B9">
        <v>1</v>
      </c>
      <c r="C9">
        <v>0</v>
      </c>
      <c r="D9">
        <v>78</v>
      </c>
      <c r="E9">
        <f t="shared" si="8"/>
        <v>16.153846153846153</v>
      </c>
      <c r="F9" s="1">
        <f t="shared" si="11"/>
        <v>0.13885827639409301</v>
      </c>
      <c r="G9" s="1">
        <f t="shared" si="9"/>
        <v>2.3639774859287053E-4</v>
      </c>
      <c r="H9" s="3">
        <v>9074</v>
      </c>
      <c r="I9" s="2">
        <v>7923</v>
      </c>
      <c r="J9" s="2">
        <f t="shared" si="10"/>
        <v>0.87315406656380867</v>
      </c>
      <c r="K9" s="1">
        <v>5330000</v>
      </c>
      <c r="L9" s="2">
        <f t="shared" si="0"/>
        <v>672.72497791240687</v>
      </c>
      <c r="M9" s="2">
        <v>280</v>
      </c>
      <c r="N9" s="2">
        <v>92</v>
      </c>
      <c r="O9" s="2">
        <v>1260</v>
      </c>
      <c r="P9" s="2">
        <v>549</v>
      </c>
      <c r="U9" s="2">
        <f t="shared" si="1"/>
        <v>4.5</v>
      </c>
      <c r="V9" s="2">
        <f t="shared" si="2"/>
        <v>13.695652173913043</v>
      </c>
      <c r="W9" s="2">
        <f t="shared" si="3"/>
        <v>1</v>
      </c>
      <c r="X9" s="2">
        <f t="shared" si="4"/>
        <v>2.2950819672131146</v>
      </c>
    </row>
    <row r="10" spans="1:26">
      <c r="B10">
        <v>-0.5</v>
      </c>
      <c r="C10">
        <v>0</v>
      </c>
      <c r="D10">
        <v>80</v>
      </c>
      <c r="E10">
        <f t="shared" si="8"/>
        <v>17.074999999999999</v>
      </c>
      <c r="F10" s="1">
        <f t="shared" si="11"/>
        <v>0.15445499773857982</v>
      </c>
      <c r="G10" s="1">
        <f t="shared" si="9"/>
        <v>2.5822306238185253E-4</v>
      </c>
      <c r="H10" s="1">
        <v>8844</v>
      </c>
      <c r="I10" s="2">
        <v>7738</v>
      </c>
      <c r="J10" s="2">
        <f t="shared" si="10"/>
        <v>0.87494346449570326</v>
      </c>
      <c r="K10" s="1">
        <v>5290000</v>
      </c>
      <c r="L10" s="2">
        <f t="shared" si="0"/>
        <v>683.6391832514862</v>
      </c>
      <c r="M10" s="2">
        <v>744</v>
      </c>
      <c r="N10" s="2">
        <v>310</v>
      </c>
      <c r="O10" s="2">
        <v>1366</v>
      </c>
      <c r="P10" s="2">
        <v>642</v>
      </c>
      <c r="U10" s="2">
        <f t="shared" si="1"/>
        <v>1.836021505376344</v>
      </c>
      <c r="V10" s="2">
        <f t="shared" si="2"/>
        <v>4.4064516129032256</v>
      </c>
      <c r="W10" s="2">
        <f t="shared" si="3"/>
        <v>1</v>
      </c>
      <c r="X10" s="2">
        <f t="shared" si="4"/>
        <v>2.1277258566978192</v>
      </c>
    </row>
    <row r="11" spans="1:26">
      <c r="B11">
        <v>0</v>
      </c>
      <c r="C11">
        <v>0.5</v>
      </c>
      <c r="D11">
        <v>66</v>
      </c>
      <c r="E11">
        <f t="shared" si="8"/>
        <v>16.166666666666668</v>
      </c>
      <c r="F11" s="1">
        <f t="shared" si="11"/>
        <v>0.14409182984469954</v>
      </c>
      <c r="G11" s="1">
        <f t="shared" si="9"/>
        <v>2.4528735632183907E-4</v>
      </c>
      <c r="H11" s="2">
        <v>7405</v>
      </c>
      <c r="I11" s="2">
        <v>6477</v>
      </c>
      <c r="J11" s="2">
        <f t="shared" si="10"/>
        <v>0.87467927076299801</v>
      </c>
      <c r="K11" s="1">
        <v>4350000</v>
      </c>
      <c r="L11" s="2">
        <f t="shared" si="0"/>
        <v>671.60722556739233</v>
      </c>
      <c r="M11" s="2">
        <v>435</v>
      </c>
      <c r="N11" s="2">
        <v>316</v>
      </c>
      <c r="O11" s="2">
        <v>1067</v>
      </c>
      <c r="P11" s="2">
        <v>1044</v>
      </c>
      <c r="U11" s="2">
        <f t="shared" si="1"/>
        <v>2.4528735632183909</v>
      </c>
      <c r="V11" s="2">
        <f t="shared" si="2"/>
        <v>3.3765822784810124</v>
      </c>
      <c r="W11" s="2">
        <f t="shared" si="3"/>
        <v>1</v>
      </c>
      <c r="X11" s="2">
        <f t="shared" si="4"/>
        <v>1.0220306513409962</v>
      </c>
    </row>
    <row r="12" spans="1:26">
      <c r="B12">
        <v>0</v>
      </c>
      <c r="C12">
        <v>1</v>
      </c>
      <c r="D12">
        <v>86</v>
      </c>
      <c r="E12">
        <f t="shared" si="8"/>
        <v>13.081395348837209</v>
      </c>
      <c r="F12" s="1">
        <f t="shared" si="11"/>
        <v>0.11922424756252649</v>
      </c>
      <c r="G12" s="1">
        <f t="shared" si="9"/>
        <v>2.0233812949640287E-4</v>
      </c>
      <c r="H12">
        <v>9436</v>
      </c>
      <c r="I12" s="2">
        <v>8286</v>
      </c>
      <c r="J12" s="2">
        <f t="shared" si="10"/>
        <v>0.87812632471386176</v>
      </c>
      <c r="K12" s="1">
        <v>5560000</v>
      </c>
      <c r="L12" s="2">
        <f t="shared" si="0"/>
        <v>671.01134443639876</v>
      </c>
      <c r="M12" s="2">
        <v>538</v>
      </c>
      <c r="N12" s="2">
        <v>533</v>
      </c>
      <c r="O12" s="2">
        <v>1125</v>
      </c>
      <c r="P12" s="2">
        <v>1439</v>
      </c>
      <c r="U12">
        <f t="shared" si="1"/>
        <v>2.0910780669144979</v>
      </c>
      <c r="V12">
        <f t="shared" si="2"/>
        <v>2.1106941838649154</v>
      </c>
      <c r="W12">
        <f t="shared" si="3"/>
        <v>1</v>
      </c>
      <c r="X12">
        <f t="shared" si="4"/>
        <v>0.78179291174426691</v>
      </c>
    </row>
    <row r="13" spans="1:26">
      <c r="B13">
        <v>0</v>
      </c>
      <c r="C13">
        <v>-0.5</v>
      </c>
      <c r="D13">
        <v>63</v>
      </c>
      <c r="E13">
        <f t="shared" si="8"/>
        <v>16.730158730158731</v>
      </c>
      <c r="F13" s="1">
        <f t="shared" si="11"/>
        <v>0.16522965982128859</v>
      </c>
      <c r="G13" s="1">
        <f t="shared" si="9"/>
        <v>2.7736842105263157E-4</v>
      </c>
      <c r="H13" s="1">
        <v>6379</v>
      </c>
      <c r="I13" s="2">
        <v>5622</v>
      </c>
      <c r="J13" s="2">
        <f t="shared" si="10"/>
        <v>0.88132936196896061</v>
      </c>
      <c r="K13" s="1">
        <v>3800000</v>
      </c>
      <c r="L13" s="2">
        <f t="shared" si="0"/>
        <v>675.91604411241553</v>
      </c>
      <c r="M13" s="2">
        <v>459</v>
      </c>
      <c r="N13" s="2">
        <v>185</v>
      </c>
      <c r="O13" s="2">
        <v>1054</v>
      </c>
      <c r="P13" s="2">
        <v>512</v>
      </c>
      <c r="U13" s="2">
        <f t="shared" si="1"/>
        <v>2.2962962962962963</v>
      </c>
      <c r="V13" s="2">
        <f t="shared" si="2"/>
        <v>5.6972972972972977</v>
      </c>
      <c r="W13" s="2">
        <f t="shared" si="3"/>
        <v>1</v>
      </c>
      <c r="X13" s="2">
        <f t="shared" si="4"/>
        <v>2.05859375</v>
      </c>
    </row>
    <row r="14" spans="1:26">
      <c r="B14">
        <v>0</v>
      </c>
      <c r="C14">
        <v>-1</v>
      </c>
      <c r="D14">
        <v>48</v>
      </c>
      <c r="E14">
        <f t="shared" si="8"/>
        <v>22.791666666666668</v>
      </c>
      <c r="F14" s="1">
        <f t="shared" si="11"/>
        <v>0.15949846916460125</v>
      </c>
      <c r="G14" s="1">
        <f t="shared" si="9"/>
        <v>2.8789473684210525E-4</v>
      </c>
      <c r="H14" s="1">
        <v>6859</v>
      </c>
      <c r="I14" s="2">
        <v>6020</v>
      </c>
      <c r="J14" s="2">
        <f t="shared" si="10"/>
        <v>0.87767896194780581</v>
      </c>
      <c r="K14" s="1">
        <v>3800000</v>
      </c>
      <c r="L14" s="2">
        <f t="shared" si="0"/>
        <v>631.22923588039862</v>
      </c>
      <c r="M14" s="2">
        <v>440</v>
      </c>
      <c r="N14" s="2">
        <v>127</v>
      </c>
      <c r="O14" s="2">
        <v>1094</v>
      </c>
      <c r="P14" s="2">
        <v>401</v>
      </c>
      <c r="U14" s="2">
        <f t="shared" si="1"/>
        <v>2.4863636363636363</v>
      </c>
      <c r="V14" s="2">
        <f t="shared" si="2"/>
        <v>8.6141732283464574</v>
      </c>
      <c r="W14" s="2">
        <f t="shared" si="3"/>
        <v>1</v>
      </c>
      <c r="X14" s="2">
        <f t="shared" si="4"/>
        <v>2.7281795511221945</v>
      </c>
    </row>
    <row r="15" spans="1:26">
      <c r="B15">
        <v>0</v>
      </c>
      <c r="C15">
        <v>0</v>
      </c>
      <c r="D15">
        <v>105</v>
      </c>
      <c r="E15">
        <f t="shared" si="8"/>
        <v>21.952380952380953</v>
      </c>
      <c r="F15" s="1">
        <f t="shared" si="11"/>
        <v>0.14999674627448428</v>
      </c>
      <c r="G15" s="1">
        <f t="shared" si="9"/>
        <v>2.7375296912114015E-4</v>
      </c>
      <c r="H15" s="1">
        <v>15367</v>
      </c>
      <c r="I15" s="2">
        <v>13472</v>
      </c>
      <c r="J15" s="2">
        <f t="shared" si="10"/>
        <v>0.87668380295438275</v>
      </c>
      <c r="K15" s="1">
        <v>8420000</v>
      </c>
      <c r="L15" s="2">
        <f t="shared" si="0"/>
        <v>625</v>
      </c>
      <c r="M15" s="2">
        <v>1060</v>
      </c>
      <c r="N15" s="2">
        <v>530</v>
      </c>
      <c r="O15" s="2">
        <v>2305</v>
      </c>
      <c r="P15" s="2">
        <v>1504</v>
      </c>
      <c r="U15" s="2">
        <f t="shared" si="1"/>
        <v>2.1745283018867925</v>
      </c>
      <c r="V15" s="2">
        <f t="shared" si="2"/>
        <v>4.3490566037735849</v>
      </c>
      <c r="W15" s="2">
        <f t="shared" si="3"/>
        <v>1</v>
      </c>
      <c r="X15" s="2">
        <f t="shared" si="4"/>
        <v>1.5325797872340425</v>
      </c>
    </row>
    <row r="16" spans="1:26">
      <c r="D16">
        <v>59</v>
      </c>
      <c r="E16">
        <f t="shared" si="8"/>
        <v>24.491525423728813</v>
      </c>
      <c r="F16" s="1">
        <f t="shared" si="11"/>
        <v>0.16019955654101994</v>
      </c>
      <c r="G16" s="1">
        <f t="shared" si="9"/>
        <v>2.9855371900826445E-4</v>
      </c>
      <c r="H16" s="1">
        <v>9020</v>
      </c>
      <c r="I16" s="1">
        <v>7932</v>
      </c>
      <c r="J16" s="2">
        <f t="shared" si="10"/>
        <v>0.87937915742793793</v>
      </c>
      <c r="K16" s="1">
        <v>4840000</v>
      </c>
      <c r="L16" s="1">
        <f t="shared" si="0"/>
        <v>610.18658598083709</v>
      </c>
      <c r="M16" s="2">
        <v>600</v>
      </c>
      <c r="N16" s="2">
        <v>242</v>
      </c>
      <c r="O16" s="2">
        <v>1445</v>
      </c>
      <c r="P16" s="2">
        <v>594</v>
      </c>
      <c r="U16" s="2">
        <f t="shared" si="1"/>
        <v>2.4083333333333332</v>
      </c>
      <c r="V16" s="2">
        <f t="shared" si="2"/>
        <v>5.9710743801652892</v>
      </c>
      <c r="W16" s="2">
        <f t="shared" si="3"/>
        <v>1</v>
      </c>
      <c r="X16" s="2">
        <f t="shared" si="4"/>
        <v>2.4326599326599325</v>
      </c>
    </row>
    <row r="17" spans="1:24" s="12" customFormat="1">
      <c r="U17" s="12">
        <f>O20/M20</f>
        <v>2.3490909090909091</v>
      </c>
      <c r="V17" s="12">
        <f>O20/N20</f>
        <v>6.1135646687697163</v>
      </c>
      <c r="W17" s="12">
        <f>O20/O20</f>
        <v>1</v>
      </c>
      <c r="X17" s="12">
        <f>O20/P20</f>
        <v>2.2224770642201834</v>
      </c>
    </row>
    <row r="18" spans="1:24">
      <c r="A18" s="12"/>
      <c r="F18" s="1"/>
      <c r="G18" s="1"/>
      <c r="H18" s="1"/>
      <c r="I18" s="2"/>
      <c r="J18" s="2"/>
      <c r="K18" s="1"/>
      <c r="L18" s="2"/>
      <c r="U18" s="2"/>
      <c r="V18" s="2"/>
      <c r="W18" s="2"/>
      <c r="X18" s="2"/>
    </row>
    <row r="19" spans="1:24">
      <c r="F19" s="1"/>
      <c r="G19" s="1"/>
      <c r="H19" s="1"/>
      <c r="I19" s="2"/>
      <c r="J19" s="2"/>
      <c r="K19" s="1"/>
      <c r="L19" s="2"/>
      <c r="U19" s="2"/>
      <c r="V19" s="2"/>
      <c r="W19" s="2"/>
      <c r="X19" s="2"/>
    </row>
    <row r="20" spans="1:24">
      <c r="A20" t="s">
        <v>59</v>
      </c>
      <c r="B20">
        <v>0</v>
      </c>
      <c r="C20">
        <v>0</v>
      </c>
      <c r="D20">
        <v>30</v>
      </c>
      <c r="E20">
        <f t="shared" ref="E20:E27" si="12">O20/D20</f>
        <v>64.599999999999994</v>
      </c>
      <c r="F20">
        <f t="shared" ref="F20:F27" si="13">O20/H20</f>
        <v>0.16313131313131313</v>
      </c>
      <c r="G20">
        <f t="shared" ref="G20:G27" si="14">O20/K20</f>
        <v>2.7884892086330938E-4</v>
      </c>
      <c r="H20">
        <v>11880</v>
      </c>
      <c r="I20">
        <v>10350</v>
      </c>
      <c r="J20">
        <f t="shared" ref="J20:J27" si="15">I20/H20</f>
        <v>0.87121212121212122</v>
      </c>
      <c r="K20">
        <v>6950000</v>
      </c>
      <c r="L20">
        <f t="shared" ref="L20:L27" si="16">K20/I20</f>
        <v>671.49758454106279</v>
      </c>
      <c r="M20">
        <v>825</v>
      </c>
      <c r="N20">
        <v>317</v>
      </c>
      <c r="O20">
        <v>1938</v>
      </c>
      <c r="P20">
        <v>872</v>
      </c>
    </row>
    <row r="21" spans="1:24">
      <c r="B21">
        <v>0</v>
      </c>
      <c r="C21">
        <v>0</v>
      </c>
      <c r="D21">
        <v>17</v>
      </c>
      <c r="E21">
        <f t="shared" si="12"/>
        <v>105.82352941176471</v>
      </c>
      <c r="F21">
        <f t="shared" si="13"/>
        <v>0.1636495951969435</v>
      </c>
      <c r="G21">
        <f t="shared" si="14"/>
        <v>2.7012012012012012E-4</v>
      </c>
      <c r="H21" s="1">
        <v>10993</v>
      </c>
      <c r="I21" s="2">
        <v>9596</v>
      </c>
      <c r="J21">
        <f t="shared" si="15"/>
        <v>0.87291913035568092</v>
      </c>
      <c r="K21" s="1">
        <v>6660000</v>
      </c>
      <c r="L21">
        <f t="shared" si="16"/>
        <v>694.03918299291377</v>
      </c>
      <c r="M21" s="2">
        <v>750</v>
      </c>
      <c r="N21" s="2">
        <v>315</v>
      </c>
      <c r="O21" s="2">
        <v>1799</v>
      </c>
      <c r="P21" s="2">
        <v>845</v>
      </c>
      <c r="U21" s="2"/>
      <c r="V21" s="2"/>
      <c r="W21" s="2"/>
      <c r="X21" s="2"/>
    </row>
    <row r="22" spans="1:24">
      <c r="B22">
        <v>0</v>
      </c>
      <c r="C22">
        <v>0</v>
      </c>
      <c r="D22">
        <v>29</v>
      </c>
      <c r="E22">
        <f t="shared" si="12"/>
        <v>60.724137931034484</v>
      </c>
      <c r="F22">
        <f t="shared" si="13"/>
        <v>0.15974238026124818</v>
      </c>
      <c r="G22">
        <f t="shared" si="14"/>
        <v>2.8403225806451613E-4</v>
      </c>
      <c r="H22" s="1">
        <v>11024</v>
      </c>
      <c r="I22" s="2">
        <v>9602</v>
      </c>
      <c r="J22">
        <f t="shared" si="15"/>
        <v>0.87100870827285926</v>
      </c>
      <c r="K22" s="1">
        <v>6200000</v>
      </c>
      <c r="L22">
        <f t="shared" si="16"/>
        <v>645.69881274734428</v>
      </c>
      <c r="M22" s="2">
        <v>752</v>
      </c>
      <c r="N22" s="2">
        <v>291</v>
      </c>
      <c r="O22" s="2">
        <v>1761</v>
      </c>
      <c r="P22" s="2">
        <v>771</v>
      </c>
      <c r="U22" s="2"/>
      <c r="V22" s="2"/>
      <c r="W22" s="2"/>
      <c r="X22" s="2"/>
    </row>
    <row r="23" spans="1:24">
      <c r="B23">
        <v>0</v>
      </c>
      <c r="C23">
        <v>0</v>
      </c>
      <c r="D23">
        <v>28</v>
      </c>
      <c r="E23">
        <f t="shared" si="12"/>
        <v>43.392857142857146</v>
      </c>
      <c r="F23">
        <f t="shared" si="13"/>
        <v>0.14705882352941177</v>
      </c>
      <c r="G23">
        <f t="shared" si="14"/>
        <v>2.6470588235294115E-4</v>
      </c>
      <c r="H23" s="1">
        <v>8262</v>
      </c>
      <c r="I23" s="2">
        <v>7156</v>
      </c>
      <c r="J23">
        <f t="shared" si="15"/>
        <v>0.86613410796417334</v>
      </c>
      <c r="K23" s="1">
        <v>4590000</v>
      </c>
      <c r="L23">
        <f t="shared" si="16"/>
        <v>641.41978759083281</v>
      </c>
      <c r="M23" s="2">
        <v>549</v>
      </c>
      <c r="N23" s="2">
        <v>213</v>
      </c>
      <c r="O23" s="2">
        <v>1215</v>
      </c>
      <c r="P23" s="2">
        <v>549</v>
      </c>
      <c r="U23" s="2"/>
      <c r="V23" s="2"/>
      <c r="W23" s="2"/>
      <c r="X23" s="2"/>
    </row>
    <row r="24" spans="1:24">
      <c r="B24">
        <v>0</v>
      </c>
      <c r="C24">
        <v>0</v>
      </c>
      <c r="D24">
        <v>40</v>
      </c>
      <c r="E24">
        <f t="shared" si="12"/>
        <v>29.774999999999999</v>
      </c>
      <c r="F24" s="1">
        <f t="shared" si="13"/>
        <v>0.14736451373422421</v>
      </c>
      <c r="G24" s="1">
        <f t="shared" si="14"/>
        <v>2.7569444444444446E-4</v>
      </c>
      <c r="H24" s="1">
        <v>8082</v>
      </c>
      <c r="I24" s="2">
        <v>7017</v>
      </c>
      <c r="J24" s="2">
        <f t="shared" si="15"/>
        <v>0.86822568671121014</v>
      </c>
      <c r="K24" s="1">
        <v>4320000</v>
      </c>
      <c r="L24" s="2">
        <f t="shared" si="16"/>
        <v>615.64771269773405</v>
      </c>
      <c r="M24" s="2">
        <v>549</v>
      </c>
      <c r="N24" s="2">
        <v>165</v>
      </c>
      <c r="O24" s="2">
        <v>1191</v>
      </c>
      <c r="P24" s="2">
        <v>518</v>
      </c>
      <c r="U24" s="2"/>
      <c r="V24" s="2"/>
      <c r="W24" s="2"/>
      <c r="X24" s="2"/>
    </row>
    <row r="25" spans="1:24">
      <c r="B25">
        <v>0</v>
      </c>
      <c r="C25">
        <v>0</v>
      </c>
      <c r="D25">
        <v>64</v>
      </c>
      <c r="E25">
        <f t="shared" si="12"/>
        <v>69.421875</v>
      </c>
      <c r="F25" s="1">
        <f t="shared" si="13"/>
        <v>0.15753643229443676</v>
      </c>
      <c r="G25" s="1">
        <f t="shared" si="14"/>
        <v>2.6493738819320217E-4</v>
      </c>
      <c r="H25" s="1">
        <v>28203</v>
      </c>
      <c r="I25" s="2">
        <v>24485</v>
      </c>
      <c r="J25" s="2">
        <f t="shared" si="15"/>
        <v>0.86817005283125903</v>
      </c>
      <c r="K25" s="1">
        <v>16770000</v>
      </c>
      <c r="L25" s="2">
        <f t="shared" si="16"/>
        <v>684.90912803757408</v>
      </c>
      <c r="M25" s="2">
        <v>1893</v>
      </c>
      <c r="N25" s="2">
        <v>790</v>
      </c>
      <c r="O25" s="2">
        <v>4443</v>
      </c>
      <c r="P25" s="2">
        <v>2100</v>
      </c>
      <c r="U25" s="2"/>
      <c r="V25" s="2"/>
      <c r="W25" s="2"/>
      <c r="X25" s="2"/>
    </row>
    <row r="26" spans="1:24">
      <c r="B26">
        <v>0</v>
      </c>
      <c r="C26">
        <v>0</v>
      </c>
      <c r="D26">
        <v>66</v>
      </c>
      <c r="E26">
        <f t="shared" si="12"/>
        <v>31.90909090909091</v>
      </c>
      <c r="F26" s="1">
        <f t="shared" si="13"/>
        <v>0.14946770759403832</v>
      </c>
      <c r="G26" s="1">
        <f t="shared" si="14"/>
        <v>2.793103448275862E-4</v>
      </c>
      <c r="H26" s="1">
        <v>14090</v>
      </c>
      <c r="I26" s="2">
        <v>12273</v>
      </c>
      <c r="J26" s="2">
        <f t="shared" si="15"/>
        <v>0.87104329311568485</v>
      </c>
      <c r="K26" s="1">
        <v>7540000</v>
      </c>
      <c r="L26" s="2">
        <f t="shared" si="16"/>
        <v>614.35671799885927</v>
      </c>
      <c r="M26" s="2">
        <v>935</v>
      </c>
      <c r="N26" s="2">
        <v>369</v>
      </c>
      <c r="O26" s="2">
        <v>2106</v>
      </c>
      <c r="P26" s="2">
        <v>927</v>
      </c>
      <c r="U26" s="2"/>
      <c r="V26" s="2"/>
      <c r="W26" s="2"/>
      <c r="X26" s="2"/>
    </row>
    <row r="27" spans="1:24">
      <c r="B27">
        <v>0</v>
      </c>
      <c r="C27">
        <v>0</v>
      </c>
      <c r="D27">
        <v>67</v>
      </c>
      <c r="E27">
        <f t="shared" si="12"/>
        <v>22.104477611940297</v>
      </c>
      <c r="F27" s="1">
        <f t="shared" si="13"/>
        <v>0.15904209621993126</v>
      </c>
      <c r="G27" s="1">
        <f t="shared" si="14"/>
        <v>2.9501992031872508E-4</v>
      </c>
      <c r="H27" s="1">
        <v>9312</v>
      </c>
      <c r="I27" s="2">
        <v>8084</v>
      </c>
      <c r="J27" s="2">
        <f t="shared" si="15"/>
        <v>0.86812714776632305</v>
      </c>
      <c r="K27" s="1">
        <v>5020000</v>
      </c>
      <c r="L27" s="2">
        <f t="shared" si="16"/>
        <v>620.97971301335974</v>
      </c>
      <c r="M27" s="2">
        <v>703</v>
      </c>
      <c r="N27" s="2">
        <v>249</v>
      </c>
      <c r="O27" s="2">
        <v>1481</v>
      </c>
      <c r="P27" s="2">
        <v>570</v>
      </c>
      <c r="U27" s="2"/>
      <c r="V27" s="2"/>
      <c r="W27" s="2"/>
      <c r="X27" s="2"/>
    </row>
    <row r="28" spans="1:24">
      <c r="F28" s="1"/>
      <c r="G28" s="1"/>
      <c r="H28" s="1"/>
      <c r="I28" s="2"/>
      <c r="J28" s="2"/>
      <c r="K28" s="1"/>
      <c r="L28" s="2"/>
      <c r="U28" s="2"/>
      <c r="V28" s="2"/>
      <c r="W28" s="2"/>
      <c r="X28" s="2"/>
    </row>
    <row r="29" spans="1:24">
      <c r="F29" s="1">
        <f>AVERAGE(F20:F27)</f>
        <v>0.15587410774519339</v>
      </c>
    </row>
    <row r="30" spans="1:24">
      <c r="F30" s="1">
        <f>STDEVA(F20:F27)</f>
        <v>6.887386298812111E-3</v>
      </c>
    </row>
    <row r="31" spans="1:24">
      <c r="F31" s="1">
        <f>F30*100/F29</f>
        <v>4.4185569999033367</v>
      </c>
    </row>
    <row r="32" spans="1:24">
      <c r="F32" s="1"/>
    </row>
    <row r="33" spans="1:24">
      <c r="A33">
        <v>28112013</v>
      </c>
      <c r="R33" s="9"/>
    </row>
    <row r="34" spans="1:24">
      <c r="B34" t="s">
        <v>7</v>
      </c>
      <c r="C34" t="s">
        <v>8</v>
      </c>
      <c r="D34" t="s">
        <v>6</v>
      </c>
      <c r="E34" t="s">
        <v>11</v>
      </c>
      <c r="F34" t="s">
        <v>12</v>
      </c>
      <c r="G34" t="s">
        <v>13</v>
      </c>
      <c r="H34" t="s">
        <v>57</v>
      </c>
      <c r="I34" t="s">
        <v>0</v>
      </c>
      <c r="J34" t="s">
        <v>58</v>
      </c>
      <c r="K34" s="1" t="s">
        <v>1</v>
      </c>
      <c r="L34" s="1" t="s">
        <v>17</v>
      </c>
      <c r="M34" t="s">
        <v>2</v>
      </c>
      <c r="N34" t="s">
        <v>3</v>
      </c>
      <c r="O34" t="s">
        <v>4</v>
      </c>
      <c r="P34" t="s">
        <v>5</v>
      </c>
      <c r="Q34" t="s">
        <v>67</v>
      </c>
      <c r="R34" t="s">
        <v>46</v>
      </c>
      <c r="S34" s="1"/>
      <c r="T34" s="1"/>
      <c r="U34" s="2"/>
      <c r="V34" s="2"/>
      <c r="W34" s="2"/>
      <c r="X34" s="2"/>
    </row>
    <row r="35" spans="1:24">
      <c r="Q35" s="1"/>
      <c r="S35" s="1"/>
      <c r="T35" s="1"/>
      <c r="U35" s="2"/>
      <c r="V35" s="2"/>
      <c r="W35" s="2"/>
      <c r="X35" s="2"/>
    </row>
    <row r="36" spans="1:24">
      <c r="B36">
        <v>0</v>
      </c>
      <c r="C36">
        <v>0</v>
      </c>
      <c r="D36">
        <v>19</v>
      </c>
      <c r="E36">
        <f t="shared" ref="E36:E51" si="17">O36/D36</f>
        <v>401.84210526315792</v>
      </c>
      <c r="F36" s="1">
        <f t="shared" ref="F36:F51" si="18">O36/I36</f>
        <v>0.46427485557920339</v>
      </c>
      <c r="G36" s="1">
        <f t="shared" ref="G36:G51" si="19">O36/K36</f>
        <v>6.3572023313905081E-4</v>
      </c>
      <c r="H36" s="3">
        <v>18365</v>
      </c>
      <c r="I36" s="3">
        <v>16445</v>
      </c>
      <c r="J36" s="2">
        <f t="shared" ref="J36:J51" si="20">I36/H36</f>
        <v>0.89545330792267896</v>
      </c>
      <c r="K36" s="1">
        <v>12010000</v>
      </c>
      <c r="L36" s="2">
        <f t="shared" ref="L36:L51" si="21">K36/I36</f>
        <v>730.3131650957738</v>
      </c>
      <c r="M36">
        <v>1908</v>
      </c>
      <c r="N36">
        <v>537</v>
      </c>
      <c r="O36">
        <v>7635</v>
      </c>
      <c r="P36">
        <v>2250</v>
      </c>
      <c r="S36" s="1"/>
      <c r="T36" s="1"/>
      <c r="U36" s="2"/>
      <c r="V36" s="2"/>
      <c r="W36" s="2"/>
      <c r="X36" s="2"/>
    </row>
    <row r="37" spans="1:24">
      <c r="B37">
        <v>0</v>
      </c>
      <c r="C37">
        <v>0</v>
      </c>
      <c r="D37">
        <v>60</v>
      </c>
      <c r="E37">
        <f t="shared" si="17"/>
        <v>138.06666666666666</v>
      </c>
      <c r="F37" s="1">
        <f t="shared" si="18"/>
        <v>0.45085446827038206</v>
      </c>
      <c r="G37" s="1">
        <f t="shared" si="19"/>
        <v>2.8526170798898073E-4</v>
      </c>
      <c r="H37">
        <v>20583</v>
      </c>
      <c r="I37">
        <v>18374</v>
      </c>
      <c r="J37" s="2">
        <f t="shared" si="20"/>
        <v>0.89267842394208818</v>
      </c>
      <c r="K37" s="1">
        <v>29040000</v>
      </c>
      <c r="L37" s="2">
        <f t="shared" si="21"/>
        <v>1580.494176553826</v>
      </c>
      <c r="M37">
        <v>1896</v>
      </c>
      <c r="N37">
        <v>589</v>
      </c>
      <c r="O37">
        <v>8284</v>
      </c>
      <c r="P37">
        <v>2475</v>
      </c>
    </row>
    <row r="38" spans="1:24">
      <c r="B38">
        <v>0</v>
      </c>
      <c r="C38">
        <v>0</v>
      </c>
      <c r="D38">
        <v>60</v>
      </c>
      <c r="E38">
        <f t="shared" si="17"/>
        <v>103.6</v>
      </c>
      <c r="F38" s="1">
        <f t="shared" si="18"/>
        <v>0.45335861716869669</v>
      </c>
      <c r="G38" s="1">
        <f t="shared" si="19"/>
        <v>2.6735483870967742E-4</v>
      </c>
      <c r="H38">
        <v>15443</v>
      </c>
      <c r="I38">
        <v>13711</v>
      </c>
      <c r="J38" s="2">
        <f t="shared" si="20"/>
        <v>0.88784562584989968</v>
      </c>
      <c r="K38" s="1">
        <v>23250000</v>
      </c>
      <c r="L38" s="2">
        <f t="shared" si="21"/>
        <v>1695.7187659543433</v>
      </c>
      <c r="M38">
        <v>1440</v>
      </c>
      <c r="N38">
        <v>457</v>
      </c>
      <c r="O38">
        <v>6216</v>
      </c>
      <c r="P38">
        <v>1857</v>
      </c>
    </row>
    <row r="39" spans="1:24">
      <c r="B39">
        <v>0</v>
      </c>
      <c r="C39">
        <v>0</v>
      </c>
      <c r="D39">
        <v>59</v>
      </c>
      <c r="E39">
        <f t="shared" si="17"/>
        <v>115.66101694915254</v>
      </c>
      <c r="F39" s="1">
        <f t="shared" si="18"/>
        <v>0.46189251387572761</v>
      </c>
      <c r="G39" s="1">
        <f t="shared" si="19"/>
        <v>2.7661126874746657E-4</v>
      </c>
      <c r="H39">
        <v>16648</v>
      </c>
      <c r="I39">
        <v>14774</v>
      </c>
      <c r="J39" s="2">
        <f t="shared" si="20"/>
        <v>0.88743392599711679</v>
      </c>
      <c r="K39" s="1">
        <v>24670000</v>
      </c>
      <c r="L39" s="2">
        <f t="shared" si="21"/>
        <v>1669.8253688912955</v>
      </c>
      <c r="M39" s="1">
        <v>1554</v>
      </c>
      <c r="N39" s="1">
        <v>490</v>
      </c>
      <c r="O39" s="1">
        <v>6824</v>
      </c>
      <c r="P39" s="1">
        <v>1915</v>
      </c>
      <c r="Q39" s="1"/>
    </row>
    <row r="40" spans="1:24">
      <c r="B40">
        <v>-0.5</v>
      </c>
      <c r="C40">
        <v>0</v>
      </c>
      <c r="D40">
        <v>34</v>
      </c>
      <c r="E40">
        <f t="shared" si="17"/>
        <v>112.67647058823529</v>
      </c>
      <c r="F40" s="1">
        <f t="shared" si="18"/>
        <v>0.46396996487828507</v>
      </c>
      <c r="G40" s="1">
        <f t="shared" si="19"/>
        <v>2.7740767559739321E-4</v>
      </c>
      <c r="H40">
        <v>9296</v>
      </c>
      <c r="I40">
        <v>8257</v>
      </c>
      <c r="J40" s="2">
        <f t="shared" si="20"/>
        <v>0.88823149741824436</v>
      </c>
      <c r="K40" s="1">
        <v>13810000</v>
      </c>
      <c r="L40" s="2">
        <f t="shared" si="21"/>
        <v>1672.5202858180937</v>
      </c>
      <c r="M40">
        <v>1416</v>
      </c>
      <c r="N40">
        <v>391</v>
      </c>
      <c r="O40" s="1">
        <v>3831</v>
      </c>
      <c r="P40" s="1">
        <v>1118</v>
      </c>
      <c r="Q40" s="1"/>
    </row>
    <row r="41" spans="1:24">
      <c r="B41">
        <v>-1</v>
      </c>
      <c r="C41">
        <v>0</v>
      </c>
      <c r="D41">
        <v>43</v>
      </c>
      <c r="E41">
        <f t="shared" si="17"/>
        <v>115.32558139534883</v>
      </c>
      <c r="F41" s="1">
        <f t="shared" si="18"/>
        <v>0.46036019309320458</v>
      </c>
      <c r="G41" s="1">
        <f t="shared" si="19"/>
        <v>2.7703910614525142E-4</v>
      </c>
      <c r="H41">
        <v>12155</v>
      </c>
      <c r="I41">
        <v>10772</v>
      </c>
      <c r="J41" s="2">
        <f t="shared" si="20"/>
        <v>0.88621966269025088</v>
      </c>
      <c r="K41" s="1">
        <v>17900000</v>
      </c>
      <c r="L41" s="1">
        <f t="shared" si="21"/>
        <v>1661.7155588562941</v>
      </c>
      <c r="M41">
        <v>2459</v>
      </c>
      <c r="N41">
        <v>702</v>
      </c>
      <c r="O41" s="1">
        <v>4959</v>
      </c>
      <c r="P41" s="1">
        <v>1511</v>
      </c>
      <c r="Q41" s="1"/>
    </row>
    <row r="42" spans="1:24">
      <c r="B42">
        <v>-1.5</v>
      </c>
      <c r="C42">
        <v>0</v>
      </c>
      <c r="D42">
        <v>53</v>
      </c>
      <c r="E42">
        <f t="shared" si="17"/>
        <v>97.962264150943398</v>
      </c>
      <c r="F42" s="1">
        <f t="shared" si="18"/>
        <v>0.40632336828924714</v>
      </c>
      <c r="G42" s="1">
        <f t="shared" si="19"/>
        <v>2.4432941176470588E-4</v>
      </c>
      <c r="H42">
        <v>14380</v>
      </c>
      <c r="I42">
        <v>12778</v>
      </c>
      <c r="J42" s="2">
        <f t="shared" si="20"/>
        <v>0.88859527121001392</v>
      </c>
      <c r="K42" s="1">
        <v>21250000</v>
      </c>
      <c r="L42" s="2">
        <f t="shared" si="21"/>
        <v>1663.0145562685866</v>
      </c>
      <c r="M42">
        <v>3833</v>
      </c>
      <c r="N42">
        <v>1056</v>
      </c>
      <c r="O42" s="1">
        <v>5192</v>
      </c>
      <c r="P42" s="1">
        <v>1453</v>
      </c>
    </row>
    <row r="43" spans="1:24">
      <c r="B43">
        <v>0.5</v>
      </c>
      <c r="C43">
        <v>0</v>
      </c>
      <c r="D43">
        <v>40</v>
      </c>
      <c r="E43">
        <f t="shared" si="17"/>
        <v>90.025000000000006</v>
      </c>
      <c r="F43" s="1">
        <f t="shared" si="18"/>
        <v>0.38377917510391135</v>
      </c>
      <c r="G43" s="1">
        <f t="shared" si="19"/>
        <v>2.2633563796354493E-4</v>
      </c>
      <c r="H43">
        <v>10610</v>
      </c>
      <c r="I43">
        <v>9383</v>
      </c>
      <c r="J43" s="2">
        <f t="shared" si="20"/>
        <v>0.88435438265786992</v>
      </c>
      <c r="K43" s="1">
        <v>15910000</v>
      </c>
      <c r="L43" s="2">
        <f t="shared" si="21"/>
        <v>1695.6197378237237</v>
      </c>
      <c r="M43">
        <v>664</v>
      </c>
      <c r="N43">
        <v>215</v>
      </c>
      <c r="O43" s="1">
        <v>3601</v>
      </c>
      <c r="P43" s="1">
        <v>1217</v>
      </c>
    </row>
    <row r="44" spans="1:24">
      <c r="B44">
        <v>1</v>
      </c>
      <c r="C44">
        <v>0</v>
      </c>
      <c r="D44">
        <v>42</v>
      </c>
      <c r="E44">
        <f t="shared" si="17"/>
        <v>82.238095238095241</v>
      </c>
      <c r="F44" s="1">
        <f t="shared" si="18"/>
        <v>0.31500227998176017</v>
      </c>
      <c r="G44" s="1">
        <f t="shared" si="19"/>
        <v>1.9669703872437358E-4</v>
      </c>
      <c r="H44">
        <v>12286</v>
      </c>
      <c r="I44">
        <v>10965</v>
      </c>
      <c r="J44" s="2">
        <f t="shared" si="20"/>
        <v>0.89247924466872863</v>
      </c>
      <c r="K44" s="1">
        <v>17560000</v>
      </c>
      <c r="L44" s="2">
        <f t="shared" si="21"/>
        <v>1601.4591883264934</v>
      </c>
      <c r="M44">
        <v>451</v>
      </c>
      <c r="N44">
        <v>131</v>
      </c>
      <c r="O44" s="1">
        <v>3454</v>
      </c>
      <c r="P44" s="1">
        <v>1050</v>
      </c>
    </row>
    <row r="45" spans="1:24">
      <c r="B45">
        <v>0</v>
      </c>
      <c r="C45">
        <v>0</v>
      </c>
      <c r="D45">
        <v>36</v>
      </c>
      <c r="E45">
        <f t="shared" si="17"/>
        <v>139.66666666666666</v>
      </c>
      <c r="F45" s="1">
        <f t="shared" si="18"/>
        <v>0.45452901826071235</v>
      </c>
      <c r="G45" s="1">
        <f t="shared" si="19"/>
        <v>2.9386323787258914E-4</v>
      </c>
      <c r="H45">
        <v>12440</v>
      </c>
      <c r="I45">
        <v>11062</v>
      </c>
      <c r="J45" s="2">
        <f t="shared" si="20"/>
        <v>0.88922829581993568</v>
      </c>
      <c r="K45" s="1">
        <v>17110000</v>
      </c>
      <c r="L45" s="2">
        <f t="shared" si="21"/>
        <v>1546.7365756644367</v>
      </c>
      <c r="M45">
        <v>1532</v>
      </c>
      <c r="N45">
        <v>403</v>
      </c>
      <c r="O45" s="1">
        <v>5028</v>
      </c>
      <c r="P45" s="1">
        <v>1309</v>
      </c>
    </row>
    <row r="46" spans="1:24">
      <c r="B46">
        <v>0</v>
      </c>
      <c r="C46">
        <v>0.5</v>
      </c>
      <c r="D46">
        <v>34</v>
      </c>
      <c r="E46">
        <f t="shared" si="17"/>
        <v>143.38235294117646</v>
      </c>
      <c r="F46" s="1">
        <f t="shared" si="18"/>
        <v>0.46579399961781004</v>
      </c>
      <c r="G46" s="1">
        <f t="shared" si="19"/>
        <v>3.073770491803279E-4</v>
      </c>
      <c r="H46">
        <v>11834</v>
      </c>
      <c r="I46">
        <v>10466</v>
      </c>
      <c r="J46" s="2">
        <f t="shared" si="20"/>
        <v>0.8844008788237282</v>
      </c>
      <c r="K46" s="1">
        <v>15860000</v>
      </c>
      <c r="L46" s="2">
        <f t="shared" si="21"/>
        <v>1515.3831454232754</v>
      </c>
      <c r="M46">
        <v>1404</v>
      </c>
      <c r="N46">
        <v>557</v>
      </c>
      <c r="O46" s="1">
        <v>4875</v>
      </c>
      <c r="P46" s="1">
        <v>1814</v>
      </c>
      <c r="Q46">
        <v>350</v>
      </c>
    </row>
    <row r="47" spans="1:24">
      <c r="B47">
        <v>0</v>
      </c>
      <c r="C47">
        <v>1</v>
      </c>
      <c r="D47">
        <v>37</v>
      </c>
      <c r="E47">
        <f t="shared" si="17"/>
        <v>141.83783783783784</v>
      </c>
      <c r="F47" s="1">
        <f t="shared" si="18"/>
        <v>0.4832857537526476</v>
      </c>
      <c r="G47" s="1">
        <f t="shared" si="19"/>
        <v>3.058275058275058E-4</v>
      </c>
      <c r="H47">
        <v>12228</v>
      </c>
      <c r="I47">
        <v>10859</v>
      </c>
      <c r="J47" s="2">
        <f t="shared" si="20"/>
        <v>0.88804383382401042</v>
      </c>
      <c r="K47" s="1">
        <v>17160000</v>
      </c>
      <c r="L47" s="2">
        <f t="shared" si="21"/>
        <v>1580.256008840593</v>
      </c>
      <c r="M47">
        <v>1536</v>
      </c>
      <c r="N47">
        <v>805</v>
      </c>
      <c r="O47" s="1">
        <v>5248</v>
      </c>
      <c r="P47" s="1">
        <v>2760</v>
      </c>
    </row>
    <row r="48" spans="1:24">
      <c r="B48">
        <v>0</v>
      </c>
      <c r="C48">
        <v>1.5</v>
      </c>
      <c r="D48">
        <v>32</v>
      </c>
      <c r="E48">
        <f t="shared" si="17"/>
        <v>134.03125</v>
      </c>
      <c r="F48" s="1">
        <f t="shared" si="18"/>
        <v>0.43006116514589393</v>
      </c>
      <c r="G48" s="1">
        <f t="shared" si="19"/>
        <v>2.7778497409326427E-4</v>
      </c>
      <c r="H48">
        <v>11185</v>
      </c>
      <c r="I48">
        <v>9973</v>
      </c>
      <c r="J48" s="2">
        <f t="shared" si="20"/>
        <v>0.89164059007599461</v>
      </c>
      <c r="K48" s="1">
        <v>15440000</v>
      </c>
      <c r="L48" s="2">
        <f t="shared" si="21"/>
        <v>1548.1800862328287</v>
      </c>
      <c r="M48">
        <v>1310</v>
      </c>
      <c r="N48">
        <v>885</v>
      </c>
      <c r="O48" s="1">
        <v>4289</v>
      </c>
      <c r="P48" s="1">
        <v>3292</v>
      </c>
    </row>
    <row r="49" spans="1:17">
      <c r="B49">
        <v>0</v>
      </c>
      <c r="C49">
        <v>2</v>
      </c>
      <c r="D49">
        <v>31</v>
      </c>
      <c r="E49">
        <f t="shared" si="17"/>
        <v>107.54838709677419</v>
      </c>
      <c r="F49" s="1">
        <f t="shared" si="18"/>
        <v>0.33937296416938112</v>
      </c>
      <c r="G49" s="1">
        <f t="shared" si="19"/>
        <v>2.2301003344481606E-4</v>
      </c>
      <c r="H49">
        <v>10997</v>
      </c>
      <c r="I49">
        <v>9824</v>
      </c>
      <c r="J49" s="2">
        <f t="shared" si="20"/>
        <v>0.8933345457852141</v>
      </c>
      <c r="K49" s="1">
        <v>14950000</v>
      </c>
      <c r="L49" s="2">
        <f t="shared" si="21"/>
        <v>1521.7833876221498</v>
      </c>
      <c r="M49">
        <v>1146</v>
      </c>
      <c r="N49">
        <v>1136</v>
      </c>
      <c r="O49" s="1">
        <v>3334</v>
      </c>
      <c r="P49" s="1">
        <v>4013</v>
      </c>
    </row>
    <row r="50" spans="1:17">
      <c r="B50">
        <v>0</v>
      </c>
      <c r="C50">
        <v>-0.5</v>
      </c>
      <c r="D50">
        <v>47</v>
      </c>
      <c r="E50">
        <f t="shared" si="17"/>
        <v>132.87234042553192</v>
      </c>
      <c r="F50" s="1">
        <f t="shared" si="18"/>
        <v>0.4084636012819674</v>
      </c>
      <c r="G50" s="1">
        <f t="shared" si="19"/>
        <v>2.6745182012847965E-4</v>
      </c>
      <c r="H50">
        <v>17235</v>
      </c>
      <c r="I50">
        <v>15289</v>
      </c>
      <c r="J50" s="2">
        <f t="shared" si="20"/>
        <v>0.88709022338265153</v>
      </c>
      <c r="K50" s="1">
        <v>23350000</v>
      </c>
      <c r="L50" s="2">
        <f t="shared" si="21"/>
        <v>1527.2418078356989</v>
      </c>
      <c r="M50">
        <v>1713</v>
      </c>
      <c r="N50">
        <v>369</v>
      </c>
      <c r="O50" s="1">
        <v>6245</v>
      </c>
      <c r="P50" s="1">
        <v>1316</v>
      </c>
    </row>
    <row r="51" spans="1:17">
      <c r="B51">
        <v>-0.5</v>
      </c>
      <c r="C51">
        <v>0.8</v>
      </c>
      <c r="D51">
        <v>31</v>
      </c>
      <c r="E51">
        <f t="shared" si="17"/>
        <v>180.93548387096774</v>
      </c>
      <c r="F51" s="1">
        <f t="shared" si="18"/>
        <v>0.4876967220241718</v>
      </c>
      <c r="G51" s="1">
        <f t="shared" si="19"/>
        <v>3.2897360703812315E-4</v>
      </c>
      <c r="H51">
        <v>12978</v>
      </c>
      <c r="I51">
        <v>11501</v>
      </c>
      <c r="J51" s="2">
        <f t="shared" si="20"/>
        <v>0.88619201725997843</v>
      </c>
      <c r="K51" s="1">
        <v>17050000</v>
      </c>
      <c r="L51" s="2">
        <f t="shared" si="21"/>
        <v>1482.4797843665767</v>
      </c>
      <c r="M51">
        <v>2220</v>
      </c>
      <c r="N51">
        <v>999</v>
      </c>
      <c r="O51" s="1">
        <v>5609</v>
      </c>
      <c r="P51" s="1">
        <v>2934</v>
      </c>
    </row>
    <row r="53" spans="1:17">
      <c r="A53" t="s">
        <v>66</v>
      </c>
    </row>
    <row r="54" spans="1:17">
      <c r="B54">
        <v>-0.5</v>
      </c>
      <c r="C54">
        <v>0.8</v>
      </c>
      <c r="D54">
        <v>42</v>
      </c>
      <c r="E54">
        <f>O54/D54</f>
        <v>161.3095238095238</v>
      </c>
      <c r="F54" s="1">
        <f>O54/I54</f>
        <v>0.47117323875095624</v>
      </c>
      <c r="G54" s="1">
        <f>O54/K54</f>
        <v>3.1293302540415707E-4</v>
      </c>
      <c r="H54">
        <v>16245</v>
      </c>
      <c r="I54">
        <v>14379</v>
      </c>
      <c r="J54" s="2">
        <f t="shared" ref="J54:J56" si="22">I54/H54</f>
        <v>0.8851338873499538</v>
      </c>
      <c r="K54" s="1">
        <v>21650000</v>
      </c>
      <c r="L54" s="2">
        <f t="shared" ref="L54:L56" si="23">K54/I54</f>
        <v>1505.6679880381112</v>
      </c>
      <c r="M54">
        <v>2685</v>
      </c>
      <c r="N54">
        <v>1328</v>
      </c>
      <c r="O54" s="1">
        <v>6775</v>
      </c>
      <c r="P54" s="1">
        <v>3593</v>
      </c>
      <c r="Q54">
        <v>365</v>
      </c>
    </row>
    <row r="55" spans="1:17">
      <c r="D55">
        <v>49</v>
      </c>
      <c r="E55">
        <f>O55/D55</f>
        <v>155.0204081632653</v>
      </c>
      <c r="F55" s="1">
        <f>O55/I55</f>
        <v>0.46698635189966803</v>
      </c>
      <c r="G55" s="1">
        <f>O55/K55</f>
        <v>3.05182804339092E-4</v>
      </c>
      <c r="H55">
        <v>18250</v>
      </c>
      <c r="I55">
        <v>16266</v>
      </c>
      <c r="J55" s="2">
        <f t="shared" si="22"/>
        <v>0.89128767123287667</v>
      </c>
      <c r="K55" s="1">
        <v>24890000</v>
      </c>
      <c r="L55" s="2">
        <f t="shared" si="23"/>
        <v>1530.1856633468585</v>
      </c>
      <c r="M55">
        <v>2919</v>
      </c>
      <c r="N55">
        <v>1413</v>
      </c>
      <c r="O55">
        <v>7596</v>
      </c>
      <c r="P55" s="1">
        <v>4009</v>
      </c>
      <c r="Q55">
        <v>360</v>
      </c>
    </row>
    <row r="56" spans="1:17">
      <c r="D56">
        <v>60</v>
      </c>
      <c r="E56">
        <f>O56/D56</f>
        <v>285.8</v>
      </c>
      <c r="F56" s="1">
        <f>O56/I56</f>
        <v>0.46538388471245962</v>
      </c>
      <c r="G56" s="1">
        <f>O56/K56</f>
        <v>4.147037484885127E-4</v>
      </c>
      <c r="H56">
        <v>41634</v>
      </c>
      <c r="I56">
        <v>36847</v>
      </c>
      <c r="J56" s="2">
        <f t="shared" si="22"/>
        <v>0.88502185713599457</v>
      </c>
      <c r="K56" s="1">
        <v>41350000</v>
      </c>
      <c r="L56" s="2">
        <f t="shared" si="23"/>
        <v>1122.2080495019948</v>
      </c>
      <c r="M56">
        <v>6855</v>
      </c>
      <c r="N56">
        <v>3303</v>
      </c>
      <c r="O56">
        <v>17148</v>
      </c>
      <c r="P56" s="1">
        <v>9212</v>
      </c>
      <c r="Q56">
        <v>564</v>
      </c>
    </row>
    <row r="59" spans="1:17">
      <c r="E59" t="s">
        <v>20</v>
      </c>
      <c r="F59" s="1">
        <f>AVERAGE(F51:F56)</f>
        <v>0.47281004934681392</v>
      </c>
    </row>
    <row r="60" spans="1:17">
      <c r="E60" t="s">
        <v>68</v>
      </c>
      <c r="F60">
        <f>STDEVA(F51:F56)</f>
        <v>1.0220168711293923E-2</v>
      </c>
    </row>
    <row r="61" spans="1:17">
      <c r="E61" t="s">
        <v>69</v>
      </c>
      <c r="F61" s="1">
        <f>F60*100/F59</f>
        <v>2.1615802636625561</v>
      </c>
    </row>
    <row r="64" spans="1:17">
      <c r="A64" t="s">
        <v>89</v>
      </c>
    </row>
    <row r="65" spans="1:17">
      <c r="A65" t="s">
        <v>94</v>
      </c>
    </row>
    <row r="66" spans="1:17">
      <c r="A66" s="15" t="s">
        <v>25</v>
      </c>
      <c r="D66">
        <v>33</v>
      </c>
      <c r="E66">
        <f>O66/D66</f>
        <v>227.24242424242425</v>
      </c>
      <c r="F66" s="14">
        <f>O66/I66</f>
        <v>0.48383766694625457</v>
      </c>
      <c r="G66" s="1">
        <f>O66/K66</f>
        <v>3.5794749403341287E-4</v>
      </c>
      <c r="H66">
        <v>17349</v>
      </c>
      <c r="I66">
        <v>15499</v>
      </c>
      <c r="J66" s="2">
        <f t="shared" ref="J66:J69" si="24">I66/H66</f>
        <v>0.89336561185082719</v>
      </c>
      <c r="K66" s="1">
        <v>20950000</v>
      </c>
      <c r="L66" s="2">
        <f t="shared" ref="L66:L69" si="25">K66/I66</f>
        <v>1351.7001096844958</v>
      </c>
      <c r="M66">
        <v>2726</v>
      </c>
      <c r="N66">
        <v>1406</v>
      </c>
      <c r="O66" s="14">
        <v>7499</v>
      </c>
      <c r="P66" s="1">
        <v>4081</v>
      </c>
      <c r="Q66">
        <v>460</v>
      </c>
    </row>
    <row r="67" spans="1:17">
      <c r="A67" s="15" t="s">
        <v>90</v>
      </c>
      <c r="D67">
        <v>33</v>
      </c>
      <c r="E67">
        <f>O67/D67</f>
        <v>53.363636363636367</v>
      </c>
      <c r="F67" s="14">
        <f>P67/I67</f>
        <v>0.47040358744394617</v>
      </c>
      <c r="G67" s="1">
        <f>O67/K67</f>
        <v>9.129082426127527E-5</v>
      </c>
      <c r="H67">
        <v>15139</v>
      </c>
      <c r="I67">
        <v>13380</v>
      </c>
      <c r="J67" s="2">
        <f t="shared" si="24"/>
        <v>0.88381002708237</v>
      </c>
      <c r="K67" s="1">
        <v>19290000</v>
      </c>
      <c r="L67" s="2">
        <f t="shared" si="25"/>
        <v>1441.7040358744396</v>
      </c>
      <c r="M67">
        <v>670</v>
      </c>
      <c r="N67">
        <v>1929</v>
      </c>
      <c r="O67">
        <v>1761</v>
      </c>
      <c r="P67" s="15">
        <v>6294</v>
      </c>
    </row>
    <row r="68" spans="1:17">
      <c r="A68" s="15" t="s">
        <v>91</v>
      </c>
      <c r="D68">
        <v>33</v>
      </c>
      <c r="E68">
        <f>O68/D68</f>
        <v>18.939393939393938</v>
      </c>
      <c r="F68" s="14">
        <f>N68/I68</f>
        <v>0.37055757384299481</v>
      </c>
      <c r="G68" s="1">
        <f>O68/K68</f>
        <v>3.3747300215982723E-5</v>
      </c>
      <c r="H68">
        <v>14372</v>
      </c>
      <c r="I68">
        <v>12662</v>
      </c>
      <c r="J68" s="2">
        <f t="shared" si="24"/>
        <v>0.88101864736988589</v>
      </c>
      <c r="K68" s="1">
        <v>18520000</v>
      </c>
      <c r="L68" s="2">
        <f t="shared" si="25"/>
        <v>1462.6441320486495</v>
      </c>
      <c r="M68">
        <v>1357</v>
      </c>
      <c r="N68" s="15">
        <v>4692</v>
      </c>
      <c r="O68">
        <v>625</v>
      </c>
      <c r="P68">
        <v>2224</v>
      </c>
    </row>
    <row r="69" spans="1:17">
      <c r="A69" s="15" t="s">
        <v>92</v>
      </c>
      <c r="D69">
        <v>33</v>
      </c>
      <c r="E69">
        <f>O69/D69</f>
        <v>77.333333333333329</v>
      </c>
      <c r="F69" s="14">
        <f>M69/I69</f>
        <v>0.44976590682324047</v>
      </c>
      <c r="G69" s="1">
        <f>O69/K69</f>
        <v>1.3361256544502619E-4</v>
      </c>
      <c r="H69">
        <v>14757</v>
      </c>
      <c r="I69">
        <v>13029</v>
      </c>
      <c r="J69" s="2">
        <f t="shared" si="24"/>
        <v>0.88290302907094942</v>
      </c>
      <c r="K69" s="1">
        <v>19100000</v>
      </c>
      <c r="L69" s="2">
        <f t="shared" si="25"/>
        <v>1465.9605495433264</v>
      </c>
      <c r="M69" s="15">
        <v>5860</v>
      </c>
      <c r="N69">
        <v>3331</v>
      </c>
      <c r="O69">
        <v>2552</v>
      </c>
      <c r="P69">
        <v>1551</v>
      </c>
      <c r="Q69">
        <v>411</v>
      </c>
    </row>
    <row r="72" spans="1:17">
      <c r="A72" t="s">
        <v>93</v>
      </c>
    </row>
    <row r="73" spans="1:17">
      <c r="D73">
        <v>36</v>
      </c>
      <c r="H73">
        <v>13483</v>
      </c>
      <c r="I73">
        <v>11935</v>
      </c>
      <c r="J73" s="2">
        <f t="shared" ref="J73" si="26">I73/H73</f>
        <v>0.8851887562115256</v>
      </c>
      <c r="K73">
        <v>499700</v>
      </c>
      <c r="O73" s="1">
        <f>O66/D66</f>
        <v>227.24242424242425</v>
      </c>
    </row>
    <row r="75" spans="1:17">
      <c r="I75" s="1">
        <f>I73*F59</f>
        <v>5642.9879389542239</v>
      </c>
    </row>
    <row r="76" spans="1:17">
      <c r="I76" s="1">
        <f>I75/0.00000114</f>
        <v>4949989420.1352835</v>
      </c>
      <c r="J76" s="1"/>
    </row>
    <row r="77" spans="1:17">
      <c r="G77" s="1">
        <v>5.0000000000000003E-10</v>
      </c>
    </row>
    <row r="78" spans="1:17">
      <c r="G78" s="1">
        <f>G77/1.6E-19</f>
        <v>3125000000.0000005</v>
      </c>
    </row>
    <row r="79" spans="1:17">
      <c r="G79" s="1">
        <f>G78*0.08</f>
        <v>250000000.00000003</v>
      </c>
    </row>
    <row r="80" spans="1:17">
      <c r="G80" s="1">
        <f>G79/33</f>
        <v>7575757.5757575771</v>
      </c>
      <c r="H8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U34"/>
  <sheetViews>
    <sheetView workbookViewId="0">
      <selection activeCell="I13" sqref="I13"/>
    </sheetView>
  </sheetViews>
  <sheetFormatPr defaultColWidth="11" defaultRowHeight="15.75"/>
  <cols>
    <col min="2" max="2" width="16.125" bestFit="1" customWidth="1"/>
    <col min="3" max="3" width="16.125" customWidth="1"/>
    <col min="7" max="7" width="14.375" bestFit="1" customWidth="1"/>
    <col min="14" max="14" width="8.875" bestFit="1" customWidth="1"/>
    <col min="15" max="15" width="8" customWidth="1"/>
    <col min="16" max="16" width="54.375" customWidth="1"/>
  </cols>
  <sheetData>
    <row r="2" spans="1:21">
      <c r="H2" t="s">
        <v>22</v>
      </c>
      <c r="I2" s="1">
        <f>'Beam profile 27-28 nov'!F29</f>
        <v>0.15587410774519339</v>
      </c>
      <c r="S2" s="1"/>
    </row>
    <row r="3" spans="1:21">
      <c r="R3" t="s">
        <v>33</v>
      </c>
      <c r="S3" t="s">
        <v>34</v>
      </c>
      <c r="T3" t="s">
        <v>6</v>
      </c>
      <c r="U3" t="s">
        <v>35</v>
      </c>
    </row>
    <row r="4" spans="1:21" ht="47.25">
      <c r="B4" t="s">
        <v>21</v>
      </c>
      <c r="C4" t="s">
        <v>60</v>
      </c>
      <c r="D4" t="s">
        <v>50</v>
      </c>
      <c r="E4" t="s">
        <v>0</v>
      </c>
      <c r="F4" s="7" t="s">
        <v>25</v>
      </c>
      <c r="G4" t="s">
        <v>49</v>
      </c>
      <c r="H4" s="8" t="s">
        <v>28</v>
      </c>
      <c r="I4" s="8" t="s">
        <v>27</v>
      </c>
      <c r="J4" s="8" t="s">
        <v>29</v>
      </c>
      <c r="K4" s="8" t="s">
        <v>30</v>
      </c>
      <c r="L4" s="8" t="s">
        <v>32</v>
      </c>
      <c r="M4" s="8" t="s">
        <v>36</v>
      </c>
      <c r="N4" s="8" t="s">
        <v>70</v>
      </c>
      <c r="O4" s="8" t="s">
        <v>71</v>
      </c>
      <c r="R4">
        <v>1000</v>
      </c>
      <c r="S4">
        <v>50000</v>
      </c>
      <c r="T4" s="2">
        <f>S4/(R4*L5)</f>
        <v>1066.7837374222986</v>
      </c>
      <c r="U4">
        <f>T4/60</f>
        <v>17.779728957038309</v>
      </c>
    </row>
    <row r="5" spans="1:21" ht="47.25">
      <c r="A5">
        <v>1</v>
      </c>
      <c r="B5" t="s">
        <v>65</v>
      </c>
      <c r="C5" t="s">
        <v>61</v>
      </c>
      <c r="D5">
        <v>1290</v>
      </c>
      <c r="E5">
        <v>141970</v>
      </c>
      <c r="F5" s="1">
        <f>E5*$I$2</f>
        <v>22129.447076585107</v>
      </c>
      <c r="G5" s="1">
        <v>1.1400000000000001E-6</v>
      </c>
      <c r="H5" s="1">
        <f>F5/G5</f>
        <v>19411795681.215004</v>
      </c>
      <c r="I5" s="1">
        <f>H5/Fluka!$D$13</f>
        <v>226561574243.87259</v>
      </c>
      <c r="J5" s="1">
        <f>I5*Fluka!$D$11</f>
        <v>66.54113435542537</v>
      </c>
      <c r="K5" s="2">
        <f>J5*100/1000</f>
        <v>6.6541134355425378</v>
      </c>
      <c r="L5" s="1">
        <f>K5*1000/E5</f>
        <v>4.6869855853648924E-2</v>
      </c>
      <c r="M5" s="1">
        <f>J5/E5</f>
        <v>4.6869855853648917E-4</v>
      </c>
      <c r="N5" s="1"/>
      <c r="O5" s="1" t="s">
        <v>72</v>
      </c>
      <c r="P5" s="8" t="s">
        <v>23</v>
      </c>
    </row>
    <row r="6" spans="1:21">
      <c r="A6">
        <v>2</v>
      </c>
      <c r="B6" t="s">
        <v>65</v>
      </c>
      <c r="C6" t="s">
        <v>62</v>
      </c>
      <c r="F6" s="1"/>
      <c r="G6" s="1"/>
      <c r="H6" s="1"/>
      <c r="I6" s="1"/>
      <c r="J6" s="1"/>
      <c r="K6" s="2"/>
      <c r="L6" s="1"/>
      <c r="M6" s="1"/>
      <c r="N6" s="1"/>
      <c r="O6" s="1"/>
    </row>
    <row r="7" spans="1:21">
      <c r="A7">
        <v>3</v>
      </c>
      <c r="B7" t="s">
        <v>65</v>
      </c>
      <c r="C7" t="s">
        <v>63</v>
      </c>
      <c r="F7" s="1"/>
      <c r="G7" s="1"/>
      <c r="H7" s="1"/>
      <c r="I7" s="1"/>
      <c r="J7" s="1"/>
      <c r="K7" s="2"/>
      <c r="L7" s="1"/>
      <c r="M7" s="1"/>
      <c r="N7" s="1"/>
      <c r="O7" s="1"/>
    </row>
    <row r="8" spans="1:21">
      <c r="B8" t="s">
        <v>65</v>
      </c>
      <c r="C8" t="s">
        <v>64</v>
      </c>
      <c r="D8">
        <v>2292</v>
      </c>
      <c r="E8">
        <v>2284093</v>
      </c>
      <c r="F8" s="1">
        <f>E8*$I$2</f>
        <v>356030.95838204201</v>
      </c>
      <c r="G8" s="1">
        <v>1.1400000000000001E-6</v>
      </c>
      <c r="H8" s="1">
        <f>F8/G8</f>
        <v>312307858229.86139</v>
      </c>
      <c r="I8" s="1">
        <f>H8/Fluka!$D$13</f>
        <v>3645049699228.0737</v>
      </c>
      <c r="J8" s="1">
        <f>I8*Fluka!$D$11</f>
        <v>1070.5510966632851</v>
      </c>
      <c r="K8" s="2">
        <f>J8*100/1000</f>
        <v>107.05510966632852</v>
      </c>
      <c r="L8" s="1">
        <f>K8*1000/E8</f>
        <v>4.6869855853648917E-2</v>
      </c>
      <c r="M8" s="1">
        <f>J8/E8</f>
        <v>4.6869855853648912E-4</v>
      </c>
      <c r="N8" s="1"/>
      <c r="O8" s="1"/>
    </row>
    <row r="9" spans="1:21">
      <c r="F9" s="1"/>
      <c r="G9" s="1"/>
      <c r="H9" s="1"/>
      <c r="I9" s="1"/>
      <c r="J9" s="1"/>
      <c r="K9" s="2"/>
      <c r="L9" s="1"/>
      <c r="M9" s="1"/>
      <c r="N9" s="1"/>
      <c r="O9" s="1"/>
    </row>
    <row r="10" spans="1:21">
      <c r="H10" s="1"/>
    </row>
    <row r="12" spans="1:21">
      <c r="A12">
        <v>28112013</v>
      </c>
    </row>
    <row r="13" spans="1:21">
      <c r="H13" t="s">
        <v>22</v>
      </c>
      <c r="I13" s="1">
        <f>'Beam profile 27-28 nov'!F59</f>
        <v>0.47281004934681392</v>
      </c>
      <c r="J13" s="1"/>
    </row>
    <row r="15" spans="1:21">
      <c r="A15">
        <v>1</v>
      </c>
      <c r="B15" t="s">
        <v>73</v>
      </c>
      <c r="C15" t="s">
        <v>74</v>
      </c>
      <c r="F15" s="1"/>
      <c r="G15" s="1"/>
      <c r="H15" s="1"/>
      <c r="I15" s="1"/>
      <c r="J15" s="1"/>
      <c r="K15" s="2"/>
      <c r="L15" s="1"/>
      <c r="M15" s="1"/>
      <c r="N15">
        <v>483</v>
      </c>
      <c r="O15">
        <v>426</v>
      </c>
    </row>
    <row r="16" spans="1:21">
      <c r="C16" t="s">
        <v>63</v>
      </c>
    </row>
    <row r="17" spans="1:16">
      <c r="C17" t="s">
        <v>75</v>
      </c>
      <c r="D17">
        <v>2472</v>
      </c>
      <c r="E17">
        <v>3109238</v>
      </c>
      <c r="F17" s="1">
        <f>E17*$I$13</f>
        <v>1470078.9722109891</v>
      </c>
      <c r="G17" s="1">
        <v>1.1400000000000001E-6</v>
      </c>
      <c r="H17" s="1">
        <f>F17/G17</f>
        <v>1289542958079.8149</v>
      </c>
      <c r="I17" s="1">
        <f>H17/Fluka!$D$13</f>
        <v>15050688119512.311</v>
      </c>
      <c r="J17" s="1">
        <f>I17*Fluka!$D$11</f>
        <v>4420.3871007007656</v>
      </c>
      <c r="K17" s="2">
        <f>J17*100/1000</f>
        <v>442.03871007007655</v>
      </c>
      <c r="L17" s="1">
        <f>K17*1000/E17</f>
        <v>0.14216946726821059</v>
      </c>
      <c r="M17" s="1">
        <f>J17/E17</f>
        <v>1.4216946726821058E-3</v>
      </c>
      <c r="N17">
        <v>1300</v>
      </c>
      <c r="P17" t="s">
        <v>76</v>
      </c>
    </row>
    <row r="18" spans="1:16">
      <c r="N18" s="1"/>
      <c r="O18" s="1"/>
    </row>
    <row r="19" spans="1:16">
      <c r="N19" s="1"/>
      <c r="O19" s="1"/>
    </row>
    <row r="20" spans="1:16">
      <c r="M20" s="1"/>
    </row>
    <row r="21" spans="1:16">
      <c r="A21">
        <v>2</v>
      </c>
      <c r="B21" t="s">
        <v>78</v>
      </c>
      <c r="C21" t="s">
        <v>77</v>
      </c>
      <c r="D21">
        <v>923</v>
      </c>
      <c r="E21">
        <v>1165849</v>
      </c>
      <c r="F21" s="1">
        <f t="shared" ref="F21:F26" si="0">E21*$I$13</f>
        <v>551225.12322093372</v>
      </c>
      <c r="G21" s="1">
        <v>1.1400000000000001E-6</v>
      </c>
      <c r="H21" s="1">
        <f t="shared" ref="H21:H26" si="1">F21/G21</f>
        <v>483530809842.92426</v>
      </c>
      <c r="I21" s="1">
        <f>H21/Fluka!$D$13</f>
        <v>5643450161565.4092</v>
      </c>
      <c r="J21" s="1">
        <f>I21*Fluka!$D$11</f>
        <v>1657.4813124517605</v>
      </c>
      <c r="K21" s="2">
        <f t="shared" ref="K21:K26" si="2">J21*100/1000</f>
        <v>165.74813124517604</v>
      </c>
      <c r="L21" s="1">
        <f t="shared" ref="L21:L26" si="3">K21*1000/E21</f>
        <v>0.14216946726821059</v>
      </c>
      <c r="M21" s="1">
        <f t="shared" ref="M21:M26" si="4">J21/E21</f>
        <v>1.4216946726821058E-3</v>
      </c>
      <c r="N21">
        <v>830</v>
      </c>
    </row>
    <row r="22" spans="1:16">
      <c r="A22">
        <v>3</v>
      </c>
      <c r="B22" t="s">
        <v>80</v>
      </c>
      <c r="D22">
        <v>116</v>
      </c>
      <c r="E22">
        <v>169413</v>
      </c>
      <c r="F22" s="1">
        <f t="shared" si="0"/>
        <v>80100.168889991794</v>
      </c>
      <c r="G22" s="1">
        <v>1.1400000000000001E-6</v>
      </c>
      <c r="H22" s="1">
        <f t="shared" si="1"/>
        <v>70263306043.852448</v>
      </c>
      <c r="I22" s="1">
        <f>H22/Fluka!$D$13</f>
        <v>820066597150.47205</v>
      </c>
      <c r="J22" s="1">
        <f>I22*Fluka!$D$11</f>
        <v>240.85355958309361</v>
      </c>
      <c r="K22" s="2">
        <f t="shared" si="2"/>
        <v>24.085355958309364</v>
      </c>
      <c r="L22" s="1">
        <f t="shared" si="3"/>
        <v>0.14216946726821061</v>
      </c>
      <c r="M22" s="1">
        <f t="shared" si="4"/>
        <v>1.421694672682106E-3</v>
      </c>
      <c r="P22" t="s">
        <v>79</v>
      </c>
    </row>
    <row r="23" spans="1:16">
      <c r="A23">
        <v>4</v>
      </c>
      <c r="B23" t="s">
        <v>81</v>
      </c>
      <c r="C23" t="s">
        <v>82</v>
      </c>
      <c r="D23">
        <v>1385</v>
      </c>
      <c r="E23">
        <v>2698510</v>
      </c>
      <c r="F23" s="1">
        <f t="shared" si="0"/>
        <v>1275882.6462628709</v>
      </c>
      <c r="G23" s="1">
        <v>1.1400000000000001E-6</v>
      </c>
      <c r="H23" s="1">
        <f t="shared" si="1"/>
        <v>1119195303739.3604</v>
      </c>
      <c r="I23" s="1">
        <f>H23/Fluka!$D$13</f>
        <v>13062503545043.887</v>
      </c>
      <c r="J23" s="1">
        <f>I23*Fluka!$D$11</f>
        <v>3836.4572911793894</v>
      </c>
      <c r="K23" s="2">
        <f t="shared" si="2"/>
        <v>383.64572911793897</v>
      </c>
      <c r="L23" s="1">
        <f t="shared" si="3"/>
        <v>0.14216946726821059</v>
      </c>
      <c r="M23" s="1">
        <f t="shared" si="4"/>
        <v>1.4216946726821058E-3</v>
      </c>
      <c r="N23">
        <v>910</v>
      </c>
      <c r="P23" t="s">
        <v>85</v>
      </c>
    </row>
    <row r="24" spans="1:16">
      <c r="A24">
        <v>5</v>
      </c>
      <c r="B24" t="s">
        <v>83</v>
      </c>
      <c r="C24" t="s">
        <v>84</v>
      </c>
      <c r="D24">
        <v>528</v>
      </c>
      <c r="E24">
        <v>1415917</v>
      </c>
      <c r="F24" s="1">
        <f t="shared" si="0"/>
        <v>669459.78664099274</v>
      </c>
      <c r="G24" s="1">
        <v>1.1400000000000001E-6</v>
      </c>
      <c r="H24" s="1">
        <f t="shared" si="1"/>
        <v>587245426878.06372</v>
      </c>
      <c r="I24" s="1">
        <f>H24/Fluka!$D$13</f>
        <v>6853938222199.623</v>
      </c>
      <c r="J24" s="1">
        <f>I24*Fluka!$D$11</f>
        <v>2013.0016558600291</v>
      </c>
      <c r="K24" s="2">
        <f t="shared" si="2"/>
        <v>201.30016558600292</v>
      </c>
      <c r="L24" s="1">
        <f t="shared" si="3"/>
        <v>0.14216946726821059</v>
      </c>
      <c r="M24" s="1">
        <f t="shared" si="4"/>
        <v>1.4216946726821058E-3</v>
      </c>
      <c r="N24">
        <v>1564</v>
      </c>
    </row>
    <row r="25" spans="1:16">
      <c r="A25">
        <v>6</v>
      </c>
      <c r="B25" t="s">
        <v>86</v>
      </c>
      <c r="C25" t="s">
        <v>87</v>
      </c>
      <c r="D25">
        <v>480</v>
      </c>
      <c r="E25">
        <v>1136269</v>
      </c>
      <c r="F25" s="1">
        <f t="shared" si="0"/>
        <v>537239.40196125489</v>
      </c>
      <c r="G25" s="1">
        <v>1.1400000000000001E-6</v>
      </c>
      <c r="H25" s="1">
        <f t="shared" si="1"/>
        <v>471262633299.34637</v>
      </c>
      <c r="I25" s="1">
        <f>H25/Fluka!$D$13</f>
        <v>5500264160823.3701</v>
      </c>
      <c r="J25" s="1">
        <f>I25*Fluka!$D$11</f>
        <v>1615.4275840338237</v>
      </c>
      <c r="K25" s="2">
        <f t="shared" si="2"/>
        <v>161.54275840338238</v>
      </c>
      <c r="L25" s="1">
        <f t="shared" si="3"/>
        <v>0.14216946726821059</v>
      </c>
      <c r="M25" s="1">
        <f t="shared" si="4"/>
        <v>1.4216946726821058E-3</v>
      </c>
      <c r="N25">
        <v>1388</v>
      </c>
    </row>
    <row r="26" spans="1:16">
      <c r="A26">
        <v>7</v>
      </c>
      <c r="B26" t="s">
        <v>88</v>
      </c>
      <c r="C26">
        <v>2900</v>
      </c>
      <c r="E26">
        <v>736000</v>
      </c>
      <c r="F26" s="1">
        <f t="shared" si="0"/>
        <v>347988.19631925505</v>
      </c>
      <c r="G26" s="1">
        <v>1.1400000000000001E-6</v>
      </c>
      <c r="H26" s="1">
        <f t="shared" si="1"/>
        <v>305252803788.82019</v>
      </c>
      <c r="I26" s="1">
        <f>H26/Fluka!$D$13</f>
        <v>3562707793987.1636</v>
      </c>
      <c r="J26" s="1">
        <f>I26*Fluka!$D$11</f>
        <v>1046.3672790940298</v>
      </c>
      <c r="K26" s="2">
        <f t="shared" si="2"/>
        <v>104.63672790940298</v>
      </c>
      <c r="L26" s="1">
        <f t="shared" si="3"/>
        <v>0.14216946726821056</v>
      </c>
      <c r="M26" s="1">
        <f t="shared" si="4"/>
        <v>1.4216946726821056E-3</v>
      </c>
      <c r="N26">
        <v>1670</v>
      </c>
    </row>
    <row r="28" spans="1:16">
      <c r="L28" s="1">
        <f>20000*L26</f>
        <v>2843.3893453642113</v>
      </c>
    </row>
    <row r="32" spans="1:16">
      <c r="E32">
        <v>116</v>
      </c>
      <c r="F32" s="1">
        <f>E32/H8</f>
        <v>3.7142837409689178E-10</v>
      </c>
      <c r="G32" s="1">
        <f>1/F32</f>
        <v>2692309122.6712189</v>
      </c>
    </row>
    <row r="33" spans="7:8">
      <c r="G33" s="1">
        <f>G32/3000/5</f>
        <v>179487.27484474791</v>
      </c>
      <c r="H33" s="1"/>
    </row>
    <row r="34" spans="7:8">
      <c r="G34" s="1">
        <f>G33/216</f>
        <v>830.95960576272182</v>
      </c>
      <c r="H34" s="1">
        <f>G34/60/60</f>
        <v>0.23082211271186717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Z83"/>
  <sheetViews>
    <sheetView workbookViewId="0">
      <selection activeCell="F74" sqref="F74"/>
    </sheetView>
  </sheetViews>
  <sheetFormatPr defaultColWidth="11" defaultRowHeight="15.75"/>
  <cols>
    <col min="4" max="4" width="8.875" bestFit="1" customWidth="1"/>
    <col min="5" max="5" width="8.875" customWidth="1"/>
    <col min="6" max="6" width="13" bestFit="1" customWidth="1"/>
    <col min="7" max="7" width="19.375" bestFit="1" customWidth="1"/>
    <col min="8" max="8" width="19.375" customWidth="1"/>
    <col min="9" max="9" width="12" bestFit="1" customWidth="1"/>
    <col min="10" max="10" width="12" customWidth="1"/>
    <col min="11" max="11" width="13.625" bestFit="1" customWidth="1"/>
    <col min="12" max="12" width="13.625" customWidth="1"/>
    <col min="13" max="14" width="8.875" bestFit="1" customWidth="1"/>
    <col min="15" max="15" width="11.125" bestFit="1" customWidth="1"/>
    <col min="17" max="17" width="16.5" bestFit="1" customWidth="1"/>
    <col min="19" max="19" width="14.125" bestFit="1" customWidth="1"/>
    <col min="20" max="20" width="12" bestFit="1" customWidth="1"/>
    <col min="21" max="24" width="13.875" bestFit="1" customWidth="1"/>
  </cols>
  <sheetData>
    <row r="1" spans="1:26">
      <c r="A1" s="12"/>
      <c r="Q1" t="s">
        <v>9</v>
      </c>
      <c r="S1" t="s">
        <v>10</v>
      </c>
    </row>
    <row r="2" spans="1:26">
      <c r="B2" t="s">
        <v>95</v>
      </c>
      <c r="C2" t="s">
        <v>8</v>
      </c>
      <c r="D2" t="s">
        <v>6</v>
      </c>
      <c r="E2" t="s">
        <v>11</v>
      </c>
      <c r="F2" t="s">
        <v>12</v>
      </c>
      <c r="G2" t="s">
        <v>13</v>
      </c>
      <c r="H2" t="s">
        <v>57</v>
      </c>
      <c r="I2" t="s">
        <v>0</v>
      </c>
      <c r="J2" t="s">
        <v>58</v>
      </c>
      <c r="K2" s="1" t="s">
        <v>1</v>
      </c>
      <c r="L2" s="1" t="s">
        <v>17</v>
      </c>
      <c r="M2" t="s">
        <v>2</v>
      </c>
      <c r="N2" t="s">
        <v>3</v>
      </c>
      <c r="O2" t="s">
        <v>4</v>
      </c>
      <c r="P2" t="s">
        <v>5</v>
      </c>
      <c r="Q2" t="s">
        <v>48</v>
      </c>
      <c r="R2" t="s">
        <v>46</v>
      </c>
    </row>
    <row r="3" spans="1:26">
      <c r="A3">
        <v>20140409</v>
      </c>
      <c r="Q3" s="1"/>
      <c r="U3" t="s">
        <v>42</v>
      </c>
      <c r="V3" t="s">
        <v>45</v>
      </c>
      <c r="W3" t="s">
        <v>44</v>
      </c>
      <c r="X3" t="s">
        <v>43</v>
      </c>
      <c r="Z3" t="s">
        <v>56</v>
      </c>
    </row>
    <row r="4" spans="1:26">
      <c r="A4" t="s">
        <v>96</v>
      </c>
      <c r="B4">
        <v>15</v>
      </c>
      <c r="C4">
        <v>-15</v>
      </c>
      <c r="D4">
        <v>24</v>
      </c>
      <c r="E4">
        <f t="shared" ref="E4:E17" si="0">O4/D4</f>
        <v>105.20833333333333</v>
      </c>
      <c r="F4" s="1">
        <f t="shared" ref="F4:F17" si="1">O4/I4</f>
        <v>0.51604332720212553</v>
      </c>
      <c r="G4" s="1">
        <f t="shared" ref="G4:G17" si="2">O4/K4</f>
        <v>2.7291101479664078E-4</v>
      </c>
      <c r="H4" s="3"/>
      <c r="I4" s="3">
        <v>4893</v>
      </c>
      <c r="J4" s="3"/>
      <c r="K4" s="1">
        <v>9252100</v>
      </c>
      <c r="L4" s="2">
        <f t="shared" ref="L4" si="3">K4/I4</f>
        <v>1890.8849376660535</v>
      </c>
      <c r="M4">
        <v>1454</v>
      </c>
      <c r="N4">
        <v>733</v>
      </c>
      <c r="O4">
        <v>2525</v>
      </c>
      <c r="P4">
        <v>1331</v>
      </c>
      <c r="U4" s="2">
        <f t="shared" ref="U4:U16" si="4">O4/M4</f>
        <v>1.7365887207702888</v>
      </c>
      <c r="V4" s="2">
        <f t="shared" ref="V4:V16" si="5">O4/N4</f>
        <v>3.4447476125511596</v>
      </c>
      <c r="W4" s="2">
        <f t="shared" ref="W4:W16" si="6">O4/O4</f>
        <v>1</v>
      </c>
      <c r="X4" s="2">
        <f t="shared" ref="X4:X16" si="7">O4/P4</f>
        <v>1.8970698722764838</v>
      </c>
    </row>
    <row r="5" spans="1:26">
      <c r="B5">
        <v>15</v>
      </c>
      <c r="C5">
        <v>-15</v>
      </c>
      <c r="D5">
        <v>40</v>
      </c>
      <c r="E5">
        <f t="shared" si="0"/>
        <v>82.6</v>
      </c>
      <c r="F5" s="1">
        <f t="shared" si="1"/>
        <v>0.49483300883630371</v>
      </c>
      <c r="G5" s="1">
        <f t="shared" si="2"/>
        <v>2.6356304692921927E-4</v>
      </c>
      <c r="H5" s="3"/>
      <c r="I5" s="3">
        <v>6677</v>
      </c>
      <c r="J5" s="3"/>
      <c r="K5" s="1">
        <v>12535900</v>
      </c>
      <c r="L5" s="2"/>
      <c r="M5" s="3">
        <v>1966</v>
      </c>
      <c r="N5" s="3">
        <v>1084</v>
      </c>
      <c r="O5" s="3">
        <v>3304</v>
      </c>
      <c r="P5" s="3">
        <v>2041</v>
      </c>
      <c r="U5" s="2">
        <f t="shared" si="4"/>
        <v>1.6805696846388607</v>
      </c>
      <c r="V5" s="2">
        <f t="shared" si="5"/>
        <v>3.0479704797047971</v>
      </c>
      <c r="W5" s="2">
        <f t="shared" si="6"/>
        <v>1</v>
      </c>
      <c r="X5" s="2">
        <f t="shared" si="7"/>
        <v>1.6188143067123959</v>
      </c>
    </row>
    <row r="6" spans="1:26">
      <c r="A6" t="s">
        <v>106</v>
      </c>
      <c r="B6">
        <v>15</v>
      </c>
      <c r="C6">
        <v>-20</v>
      </c>
      <c r="D6">
        <v>46</v>
      </c>
      <c r="E6">
        <f t="shared" si="0"/>
        <v>88.065217391304344</v>
      </c>
      <c r="F6" s="1">
        <f t="shared" si="1"/>
        <v>0.54492870594565512</v>
      </c>
      <c r="G6" s="1">
        <f t="shared" si="2"/>
        <v>2.8480233972398567E-4</v>
      </c>
      <c r="H6" s="3"/>
      <c r="I6" s="3">
        <v>7434</v>
      </c>
      <c r="J6" s="2"/>
      <c r="K6" s="1">
        <v>14223900</v>
      </c>
      <c r="L6" s="2"/>
      <c r="M6" s="3">
        <v>2327</v>
      </c>
      <c r="N6" s="3">
        <v>866</v>
      </c>
      <c r="O6" s="3">
        <v>4051</v>
      </c>
      <c r="P6" s="3">
        <v>1581</v>
      </c>
      <c r="U6" s="2">
        <f t="shared" si="4"/>
        <v>1.740868070477009</v>
      </c>
      <c r="V6" s="2">
        <f t="shared" si="5"/>
        <v>4.677829099307159</v>
      </c>
      <c r="W6" s="2">
        <f t="shared" si="6"/>
        <v>1</v>
      </c>
      <c r="X6" s="2">
        <f t="shared" si="7"/>
        <v>2.5623023402909553</v>
      </c>
    </row>
    <row r="7" spans="1:26">
      <c r="A7" t="s">
        <v>105</v>
      </c>
      <c r="B7">
        <v>15</v>
      </c>
      <c r="C7">
        <v>-25</v>
      </c>
      <c r="D7">
        <v>42</v>
      </c>
      <c r="E7">
        <f t="shared" si="0"/>
        <v>83.666666666666671</v>
      </c>
      <c r="F7" s="1">
        <f t="shared" si="1"/>
        <v>0.53575240128068302</v>
      </c>
      <c r="G7" s="1">
        <f t="shared" si="2"/>
        <v>2.7875614786609552E-4</v>
      </c>
      <c r="H7" s="2"/>
      <c r="I7" s="3">
        <v>6559</v>
      </c>
      <c r="J7" s="2"/>
      <c r="K7" s="1">
        <v>12606000</v>
      </c>
      <c r="L7" s="2"/>
      <c r="M7" s="2">
        <v>2051</v>
      </c>
      <c r="N7" s="2">
        <v>482</v>
      </c>
      <c r="O7" s="2">
        <v>3514</v>
      </c>
      <c r="P7" s="2">
        <v>960</v>
      </c>
      <c r="U7" s="2">
        <f t="shared" si="4"/>
        <v>1.7133105802047781</v>
      </c>
      <c r="V7" s="2">
        <f t="shared" si="5"/>
        <v>7.2904564315352696</v>
      </c>
      <c r="W7" s="2">
        <f t="shared" si="6"/>
        <v>1</v>
      </c>
      <c r="X7" s="2">
        <f t="shared" si="7"/>
        <v>3.6604166666666669</v>
      </c>
    </row>
    <row r="8" spans="1:26">
      <c r="B8">
        <v>15</v>
      </c>
      <c r="C8">
        <v>-30</v>
      </c>
      <c r="D8">
        <v>47</v>
      </c>
      <c r="E8">
        <f t="shared" si="0"/>
        <v>73.063829787234042</v>
      </c>
      <c r="F8" s="1">
        <f t="shared" si="1"/>
        <v>0.4477767635936889</v>
      </c>
      <c r="G8" s="1">
        <f t="shared" si="2"/>
        <v>2.3564125437452823E-4</v>
      </c>
      <c r="H8" s="1"/>
      <c r="I8" s="2">
        <v>7669</v>
      </c>
      <c r="J8" s="2"/>
      <c r="K8" s="1">
        <v>14573000</v>
      </c>
      <c r="L8" s="2"/>
      <c r="M8" s="2">
        <v>2073</v>
      </c>
      <c r="N8" s="2">
        <v>373</v>
      </c>
      <c r="O8" s="2">
        <v>3434</v>
      </c>
      <c r="P8" s="2">
        <v>624</v>
      </c>
      <c r="U8" s="2">
        <f t="shared" si="4"/>
        <v>1.6565364206464062</v>
      </c>
      <c r="V8" s="2">
        <f t="shared" si="5"/>
        <v>9.2064343163538869</v>
      </c>
      <c r="W8" s="2">
        <f t="shared" si="6"/>
        <v>1</v>
      </c>
      <c r="X8" s="2">
        <f t="shared" si="7"/>
        <v>5.5032051282051286</v>
      </c>
    </row>
    <row r="9" spans="1:26">
      <c r="B9">
        <v>15</v>
      </c>
      <c r="C9">
        <v>-10</v>
      </c>
      <c r="D9">
        <v>45</v>
      </c>
      <c r="E9">
        <f t="shared" si="0"/>
        <v>77.288888888888891</v>
      </c>
      <c r="F9" s="1">
        <f t="shared" si="1"/>
        <v>0.47611225188227241</v>
      </c>
      <c r="G9" s="1">
        <f t="shared" si="2"/>
        <v>2.5082032235964377E-4</v>
      </c>
      <c r="H9" s="3"/>
      <c r="I9" s="2">
        <v>7305</v>
      </c>
      <c r="J9" s="2"/>
      <c r="K9" s="1">
        <v>13866500</v>
      </c>
      <c r="L9" s="2"/>
      <c r="M9" s="2">
        <v>1913</v>
      </c>
      <c r="N9" s="2">
        <v>1485</v>
      </c>
      <c r="O9" s="2">
        <v>3478</v>
      </c>
      <c r="P9" s="2">
        <v>2801</v>
      </c>
      <c r="U9" s="2">
        <f t="shared" si="4"/>
        <v>1.8180867746994249</v>
      </c>
      <c r="V9" s="2">
        <f t="shared" si="5"/>
        <v>2.3420875420875422</v>
      </c>
      <c r="W9" s="2">
        <f t="shared" si="6"/>
        <v>1</v>
      </c>
      <c r="X9" s="2">
        <f t="shared" si="7"/>
        <v>1.2416993930739022</v>
      </c>
    </row>
    <row r="10" spans="1:26">
      <c r="B10">
        <v>15</v>
      </c>
      <c r="C10">
        <v>-5</v>
      </c>
      <c r="E10" t="e">
        <f t="shared" si="0"/>
        <v>#DIV/0!</v>
      </c>
      <c r="F10" s="1">
        <f t="shared" si="1"/>
        <v>0.38373099270614414</v>
      </c>
      <c r="G10" s="1">
        <f t="shared" si="2"/>
        <v>2.029819513471096E-4</v>
      </c>
      <c r="H10" s="1"/>
      <c r="I10" s="2">
        <v>8089</v>
      </c>
      <c r="J10" s="2"/>
      <c r="K10" s="1">
        <v>15292000</v>
      </c>
      <c r="L10" s="2"/>
      <c r="M10" s="2">
        <v>1841</v>
      </c>
      <c r="N10" s="2">
        <v>1970</v>
      </c>
      <c r="O10" s="2">
        <v>3104</v>
      </c>
      <c r="P10" s="2">
        <v>3581</v>
      </c>
      <c r="U10" s="2">
        <f t="shared" si="4"/>
        <v>1.686040195545899</v>
      </c>
      <c r="V10" s="2">
        <f t="shared" si="5"/>
        <v>1.5756345177664974</v>
      </c>
      <c r="W10" s="2">
        <f t="shared" si="6"/>
        <v>1</v>
      </c>
      <c r="X10" s="2">
        <f t="shared" si="7"/>
        <v>0.86679698408265848</v>
      </c>
    </row>
    <row r="11" spans="1:26">
      <c r="B11">
        <v>15</v>
      </c>
      <c r="C11">
        <v>-20</v>
      </c>
      <c r="D11">
        <v>43</v>
      </c>
      <c r="E11">
        <f t="shared" si="0"/>
        <v>92.651162790697668</v>
      </c>
      <c r="F11" s="1">
        <f t="shared" si="1"/>
        <v>0.52901341123356793</v>
      </c>
      <c r="G11" s="1">
        <f t="shared" si="2"/>
        <v>2.8347801337697453E-4</v>
      </c>
      <c r="H11" s="2"/>
      <c r="I11" s="2">
        <v>7531</v>
      </c>
      <c r="J11" s="2"/>
      <c r="K11" s="1">
        <v>14054000</v>
      </c>
      <c r="L11" s="2"/>
      <c r="M11" s="2">
        <v>2420</v>
      </c>
      <c r="N11" s="2">
        <v>791</v>
      </c>
      <c r="O11" s="2">
        <v>3984</v>
      </c>
      <c r="P11" s="2">
        <v>1463</v>
      </c>
      <c r="U11" s="2">
        <f t="shared" si="4"/>
        <v>1.6462809917355372</v>
      </c>
      <c r="V11" s="2">
        <f t="shared" si="5"/>
        <v>5.0366624525916563</v>
      </c>
      <c r="W11" s="2">
        <f t="shared" si="6"/>
        <v>1</v>
      </c>
      <c r="X11" s="2">
        <f t="shared" si="7"/>
        <v>2.7231715652768282</v>
      </c>
    </row>
    <row r="12" spans="1:26">
      <c r="B12">
        <v>10</v>
      </c>
      <c r="C12">
        <v>-20</v>
      </c>
      <c r="D12">
        <v>47</v>
      </c>
      <c r="E12">
        <f t="shared" si="0"/>
        <v>87.085106382978722</v>
      </c>
      <c r="F12" s="1">
        <f t="shared" si="1"/>
        <v>0.51175293823455859</v>
      </c>
      <c r="G12" s="1">
        <f t="shared" si="2"/>
        <v>2.6634997071647035E-4</v>
      </c>
      <c r="I12" s="2">
        <v>7998</v>
      </c>
      <c r="J12" s="2"/>
      <c r="K12" s="1">
        <v>15367000</v>
      </c>
      <c r="L12" s="2"/>
      <c r="M12" s="2">
        <v>3093</v>
      </c>
      <c r="N12" s="2">
        <v>1136</v>
      </c>
      <c r="O12" s="2">
        <v>4093</v>
      </c>
      <c r="P12" s="2">
        <v>1601</v>
      </c>
      <c r="U12">
        <f t="shared" si="4"/>
        <v>1.3233107015842225</v>
      </c>
      <c r="V12">
        <f t="shared" si="5"/>
        <v>3.602992957746479</v>
      </c>
      <c r="W12">
        <f t="shared" si="6"/>
        <v>1</v>
      </c>
      <c r="X12">
        <f t="shared" si="7"/>
        <v>2.556527170518426</v>
      </c>
    </row>
    <row r="13" spans="1:26">
      <c r="B13">
        <v>5</v>
      </c>
      <c r="C13">
        <v>-20</v>
      </c>
      <c r="D13">
        <v>43</v>
      </c>
      <c r="E13">
        <f t="shared" si="0"/>
        <v>70.860465116279073</v>
      </c>
      <c r="F13" s="1">
        <f t="shared" si="1"/>
        <v>0.441402288859916</v>
      </c>
      <c r="G13" s="1">
        <f t="shared" si="2"/>
        <v>2.3030990173847316E-4</v>
      </c>
      <c r="H13" s="1"/>
      <c r="I13" s="2">
        <v>6903</v>
      </c>
      <c r="J13" s="2"/>
      <c r="K13" s="1">
        <v>13230000</v>
      </c>
      <c r="L13" s="2"/>
      <c r="M13" s="2">
        <v>3204</v>
      </c>
      <c r="N13" s="2">
        <v>1207</v>
      </c>
      <c r="O13" s="2">
        <v>3047</v>
      </c>
      <c r="P13" s="2">
        <v>1135</v>
      </c>
      <c r="U13" s="2">
        <f t="shared" si="4"/>
        <v>0.95099875156054936</v>
      </c>
      <c r="V13" s="2">
        <f t="shared" si="5"/>
        <v>2.5244407622203813</v>
      </c>
      <c r="W13" s="2">
        <f t="shared" si="6"/>
        <v>1</v>
      </c>
      <c r="X13" s="2">
        <f t="shared" si="7"/>
        <v>2.6845814977973568</v>
      </c>
    </row>
    <row r="14" spans="1:26">
      <c r="B14">
        <v>20</v>
      </c>
      <c r="C14">
        <v>-20</v>
      </c>
      <c r="D14">
        <v>61</v>
      </c>
      <c r="E14">
        <f t="shared" si="0"/>
        <v>93.393442622950815</v>
      </c>
      <c r="F14" s="1">
        <f t="shared" si="1"/>
        <v>0.55321421635268986</v>
      </c>
      <c r="G14" s="1">
        <f t="shared" si="2"/>
        <v>2.9203403731802339E-4</v>
      </c>
      <c r="H14" s="1"/>
      <c r="I14" s="2">
        <v>10298</v>
      </c>
      <c r="J14" s="2"/>
      <c r="K14" s="1">
        <v>19508000</v>
      </c>
      <c r="L14" s="2"/>
      <c r="M14" s="2">
        <v>2448</v>
      </c>
      <c r="N14" s="2">
        <v>921</v>
      </c>
      <c r="O14" s="2">
        <v>5697</v>
      </c>
      <c r="P14" s="2">
        <v>2293</v>
      </c>
      <c r="U14" s="2">
        <f t="shared" si="4"/>
        <v>2.3272058823529411</v>
      </c>
      <c r="V14" s="2">
        <f t="shared" si="5"/>
        <v>6.1856677524429964</v>
      </c>
      <c r="W14" s="2">
        <f t="shared" si="6"/>
        <v>1</v>
      </c>
      <c r="X14" s="2">
        <f t="shared" si="7"/>
        <v>2.4845180985608373</v>
      </c>
    </row>
    <row r="15" spans="1:26">
      <c r="B15">
        <v>25</v>
      </c>
      <c r="C15">
        <v>-20</v>
      </c>
      <c r="D15">
        <v>44</v>
      </c>
      <c r="E15">
        <f t="shared" si="0"/>
        <v>92.340909090909093</v>
      </c>
      <c r="F15" s="1">
        <f t="shared" si="1"/>
        <v>0.54050818145536783</v>
      </c>
      <c r="G15" s="1">
        <f t="shared" si="2"/>
        <v>2.8752388366003824E-4</v>
      </c>
      <c r="H15" s="1"/>
      <c r="I15" s="2">
        <v>7517</v>
      </c>
      <c r="J15" s="2"/>
      <c r="K15" s="1">
        <v>14131000</v>
      </c>
      <c r="L15" s="2"/>
      <c r="M15" s="2">
        <v>1297</v>
      </c>
      <c r="N15" s="2">
        <v>505</v>
      </c>
      <c r="O15" s="2">
        <v>4063</v>
      </c>
      <c r="P15" s="2">
        <v>1484</v>
      </c>
      <c r="U15" s="2">
        <f t="shared" si="4"/>
        <v>3.1326137239784115</v>
      </c>
      <c r="V15" s="2">
        <f t="shared" si="5"/>
        <v>8.0455445544554447</v>
      </c>
      <c r="W15" s="2">
        <f t="shared" si="6"/>
        <v>1</v>
      </c>
      <c r="X15" s="2">
        <f t="shared" si="7"/>
        <v>2.7378706199460918</v>
      </c>
    </row>
    <row r="16" spans="1:26">
      <c r="B16">
        <v>30</v>
      </c>
      <c r="C16">
        <v>-20</v>
      </c>
      <c r="D16">
        <v>45</v>
      </c>
      <c r="E16">
        <f t="shared" si="0"/>
        <v>78.822222222222223</v>
      </c>
      <c r="F16" s="1">
        <f t="shared" si="1"/>
        <v>0.47470556745182013</v>
      </c>
      <c r="G16" s="1">
        <f t="shared" si="2"/>
        <v>2.5303181623626767E-4</v>
      </c>
      <c r="H16" s="1"/>
      <c r="I16" s="1">
        <v>7472</v>
      </c>
      <c r="J16" s="2"/>
      <c r="K16" s="1">
        <v>14018000</v>
      </c>
      <c r="L16" s="1"/>
      <c r="M16" s="2">
        <v>873</v>
      </c>
      <c r="N16" s="2">
        <v>323</v>
      </c>
      <c r="O16" s="2">
        <v>3547</v>
      </c>
      <c r="P16" s="2">
        <v>1341</v>
      </c>
      <c r="U16" s="2">
        <f t="shared" si="4"/>
        <v>4.0630011454753721</v>
      </c>
      <c r="V16" s="2">
        <f t="shared" si="5"/>
        <v>10.981424148606811</v>
      </c>
      <c r="W16" s="2">
        <f t="shared" si="6"/>
        <v>1</v>
      </c>
      <c r="X16" s="2">
        <f t="shared" si="7"/>
        <v>2.6450410141685308</v>
      </c>
    </row>
    <row r="17" spans="1:24">
      <c r="B17">
        <v>20</v>
      </c>
      <c r="C17">
        <v>-20</v>
      </c>
      <c r="D17">
        <v>44</v>
      </c>
      <c r="E17">
        <f t="shared" si="0"/>
        <v>92.818181818181813</v>
      </c>
      <c r="F17" s="1">
        <f t="shared" si="1"/>
        <v>0.55092405234048292</v>
      </c>
      <c r="G17" s="1">
        <f t="shared" si="2"/>
        <v>2.9540687160940326E-4</v>
      </c>
      <c r="I17" s="2">
        <v>7413</v>
      </c>
      <c r="K17" s="1">
        <v>13825000</v>
      </c>
      <c r="M17" s="2">
        <v>1687</v>
      </c>
      <c r="N17" s="2">
        <v>584</v>
      </c>
      <c r="O17" s="2">
        <v>4084</v>
      </c>
      <c r="P17" s="2">
        <v>1505</v>
      </c>
      <c r="U17" t="e">
        <f>#REF!/#REF!</f>
        <v>#REF!</v>
      </c>
      <c r="V17" t="e">
        <f>#REF!/#REF!</f>
        <v>#REF!</v>
      </c>
      <c r="W17" t="e">
        <f>#REF!/#REF!</f>
        <v>#REF!</v>
      </c>
      <c r="X17" t="e">
        <f>#REF!/#REF!</f>
        <v>#REF!</v>
      </c>
    </row>
    <row r="19" spans="1:24">
      <c r="G19" t="s">
        <v>108</v>
      </c>
      <c r="M19" t="s">
        <v>98</v>
      </c>
      <c r="N19" t="s">
        <v>99</v>
      </c>
      <c r="O19" t="s">
        <v>100</v>
      </c>
      <c r="P19" t="s">
        <v>101</v>
      </c>
      <c r="Q19" t="s">
        <v>102</v>
      </c>
    </row>
    <row r="20" spans="1:24">
      <c r="A20" t="s">
        <v>97</v>
      </c>
      <c r="B20">
        <v>-20</v>
      </c>
      <c r="C20">
        <v>-10</v>
      </c>
      <c r="D20">
        <v>45</v>
      </c>
      <c r="G20">
        <f>Q20/I20</f>
        <v>0.20387911592241767</v>
      </c>
      <c r="I20" s="2">
        <v>6651</v>
      </c>
      <c r="K20" s="1">
        <v>12722000</v>
      </c>
      <c r="M20" s="2">
        <v>324</v>
      </c>
      <c r="N20" s="2">
        <v>333</v>
      </c>
      <c r="O20" s="2">
        <v>375</v>
      </c>
      <c r="P20" s="2">
        <v>324</v>
      </c>
      <c r="Q20" s="2">
        <v>1356</v>
      </c>
      <c r="R20">
        <f>Q20/D20</f>
        <v>30.133333333333333</v>
      </c>
    </row>
    <row r="21" spans="1:24">
      <c r="A21" t="s">
        <v>103</v>
      </c>
      <c r="B21">
        <v>-20</v>
      </c>
      <c r="C21">
        <v>-10</v>
      </c>
      <c r="D21">
        <v>150</v>
      </c>
      <c r="G21">
        <f>Q21/I21</f>
        <v>0.21000094170825878</v>
      </c>
      <c r="I21" s="2">
        <v>21238</v>
      </c>
      <c r="K21" s="1">
        <v>42137000</v>
      </c>
      <c r="M21" s="2">
        <v>1144</v>
      </c>
      <c r="N21" s="2">
        <v>1134</v>
      </c>
      <c r="O21" s="2">
        <v>1121</v>
      </c>
      <c r="P21" s="2">
        <v>1061</v>
      </c>
      <c r="Q21" s="2">
        <v>4460</v>
      </c>
      <c r="R21">
        <f>Q21/D21</f>
        <v>29.733333333333334</v>
      </c>
    </row>
    <row r="22" spans="1:24">
      <c r="A22" t="s">
        <v>104</v>
      </c>
      <c r="B22">
        <v>-20</v>
      </c>
      <c r="C22">
        <v>-10</v>
      </c>
      <c r="G22">
        <f>Q22/I22</f>
        <v>0.20082872928176795</v>
      </c>
      <c r="I22" s="2">
        <v>7240</v>
      </c>
      <c r="K22" s="1">
        <v>14114000</v>
      </c>
      <c r="M22" s="2">
        <v>360</v>
      </c>
      <c r="N22" s="2">
        <v>392</v>
      </c>
      <c r="O22" s="2">
        <v>329</v>
      </c>
      <c r="P22" s="2">
        <v>373</v>
      </c>
      <c r="Q22" s="2">
        <v>1454</v>
      </c>
      <c r="R22" t="e">
        <f>Q22/D22</f>
        <v>#DIV/0!</v>
      </c>
    </row>
    <row r="23" spans="1:24">
      <c r="B23">
        <v>-20</v>
      </c>
      <c r="C23">
        <v>-10</v>
      </c>
      <c r="D23">
        <v>42</v>
      </c>
      <c r="F23" s="1"/>
      <c r="G23">
        <f>Q23/I23</f>
        <v>0.20959309494451295</v>
      </c>
      <c r="H23" s="1"/>
      <c r="I23" s="2">
        <v>40550</v>
      </c>
      <c r="J23" s="2"/>
      <c r="K23" s="1">
        <v>18340000</v>
      </c>
      <c r="L23" s="2"/>
      <c r="M23" s="2">
        <v>2161</v>
      </c>
      <c r="N23" s="2">
        <v>2141</v>
      </c>
      <c r="O23" s="2">
        <v>2110</v>
      </c>
      <c r="P23" s="2">
        <v>2087</v>
      </c>
      <c r="Q23" s="2">
        <v>8499</v>
      </c>
      <c r="R23">
        <f>Q23/D23</f>
        <v>202.35714285714286</v>
      </c>
      <c r="S23" t="s">
        <v>107</v>
      </c>
      <c r="U23" s="2"/>
      <c r="V23" s="2"/>
      <c r="W23" s="2"/>
      <c r="X23" s="2"/>
    </row>
    <row r="24" spans="1:24">
      <c r="B24">
        <v>-20</v>
      </c>
      <c r="C24">
        <v>-10</v>
      </c>
      <c r="D24">
        <v>54</v>
      </c>
      <c r="G24">
        <f>Q24/I24</f>
        <v>0.20781220390373317</v>
      </c>
      <c r="H24" s="1"/>
      <c r="I24" s="2">
        <v>42216</v>
      </c>
      <c r="M24" s="2">
        <v>2203</v>
      </c>
      <c r="N24" s="2">
        <v>2284</v>
      </c>
      <c r="O24" s="2">
        <v>2048</v>
      </c>
      <c r="P24" s="2">
        <v>2238</v>
      </c>
      <c r="Q24" s="2">
        <v>8773</v>
      </c>
      <c r="R24">
        <f>Q24/D24</f>
        <v>162.46296296296296</v>
      </c>
      <c r="S24" t="s">
        <v>117</v>
      </c>
      <c r="U24" s="2"/>
      <c r="V24" s="2"/>
      <c r="W24" s="2"/>
      <c r="X24" s="2"/>
    </row>
    <row r="25" spans="1:24">
      <c r="H25" s="1"/>
      <c r="I25" s="2"/>
      <c r="K25" s="1"/>
      <c r="M25" s="2"/>
      <c r="N25" s="2"/>
      <c r="O25" s="2"/>
      <c r="P25" s="2"/>
      <c r="U25" s="2"/>
      <c r="V25" s="2"/>
      <c r="W25" s="2"/>
      <c r="X25" s="2"/>
    </row>
    <row r="26" spans="1:24">
      <c r="F26" t="s">
        <v>22</v>
      </c>
      <c r="G26">
        <f>AVERAGE(G20:G24)</f>
        <v>0.20642281715213812</v>
      </c>
      <c r="H26" s="1"/>
      <c r="I26" s="2"/>
      <c r="K26" s="1"/>
      <c r="M26" s="2"/>
      <c r="N26" s="2"/>
      <c r="O26" s="2"/>
      <c r="P26" s="2"/>
      <c r="U26" s="2"/>
      <c r="V26" s="2"/>
      <c r="W26" s="2"/>
      <c r="X26" s="2"/>
    </row>
    <row r="27" spans="1:24">
      <c r="F27" s="1"/>
      <c r="G27" s="1"/>
      <c r="H27" s="1"/>
      <c r="I27" s="2"/>
      <c r="J27" s="2"/>
      <c r="K27" s="1"/>
      <c r="L27" s="2"/>
      <c r="M27" s="2"/>
      <c r="N27" s="2"/>
      <c r="O27" s="2"/>
      <c r="P27" s="2"/>
      <c r="U27" s="2"/>
      <c r="V27" s="2"/>
      <c r="W27" s="2"/>
      <c r="X27" s="2"/>
    </row>
    <row r="28" spans="1:24">
      <c r="F28" s="1"/>
      <c r="G28" s="1"/>
      <c r="H28" s="1"/>
      <c r="I28" s="2"/>
      <c r="J28" s="2"/>
      <c r="K28" s="1"/>
      <c r="L28" s="2"/>
      <c r="M28" s="2"/>
      <c r="N28" s="2"/>
      <c r="O28" s="2"/>
      <c r="P28" s="2"/>
      <c r="U28" s="2"/>
      <c r="V28" s="2"/>
      <c r="W28" s="2"/>
      <c r="X28" s="2"/>
    </row>
    <row r="29" spans="1:24">
      <c r="B29" t="s">
        <v>95</v>
      </c>
      <c r="C29" t="s">
        <v>8</v>
      </c>
      <c r="D29" t="s">
        <v>6</v>
      </c>
      <c r="E29" t="s">
        <v>11</v>
      </c>
      <c r="F29" t="s">
        <v>12</v>
      </c>
      <c r="G29" t="s">
        <v>13</v>
      </c>
      <c r="H29" t="s">
        <v>57</v>
      </c>
      <c r="I29" t="s">
        <v>0</v>
      </c>
      <c r="J29" t="s">
        <v>58</v>
      </c>
      <c r="K29" s="1" t="s">
        <v>1</v>
      </c>
      <c r="L29" s="1" t="s">
        <v>17</v>
      </c>
      <c r="M29" t="s">
        <v>2</v>
      </c>
      <c r="N29" t="s">
        <v>3</v>
      </c>
      <c r="O29" t="s">
        <v>4</v>
      </c>
      <c r="P29" t="s">
        <v>5</v>
      </c>
      <c r="Q29" t="s">
        <v>48</v>
      </c>
      <c r="R29" t="s">
        <v>46</v>
      </c>
      <c r="U29" s="2"/>
      <c r="V29" s="2"/>
      <c r="W29" s="2"/>
      <c r="X29" s="2"/>
    </row>
    <row r="30" spans="1:24">
      <c r="A30">
        <v>20140410</v>
      </c>
      <c r="D30">
        <v>154</v>
      </c>
      <c r="F30" s="1"/>
      <c r="G30">
        <f>AVERAGE(G24:G28)</f>
        <v>0.20711751052793564</v>
      </c>
      <c r="H30" s="1"/>
      <c r="I30" s="2">
        <v>8079</v>
      </c>
      <c r="J30" s="2"/>
      <c r="K30" s="1">
        <v>9720000</v>
      </c>
      <c r="L30" s="2"/>
      <c r="M30" s="2">
        <v>167</v>
      </c>
      <c r="N30" s="2">
        <v>86</v>
      </c>
      <c r="O30" s="2">
        <v>244</v>
      </c>
      <c r="P30" s="2">
        <v>110</v>
      </c>
      <c r="Q30" s="2">
        <v>607</v>
      </c>
      <c r="U30" s="2"/>
      <c r="V30" s="2"/>
      <c r="W30" s="2"/>
      <c r="X30" s="2"/>
    </row>
    <row r="31" spans="1:24">
      <c r="A31" t="s">
        <v>96</v>
      </c>
      <c r="B31">
        <v>0</v>
      </c>
      <c r="C31">
        <v>0</v>
      </c>
      <c r="D31">
        <v>110</v>
      </c>
      <c r="F31" s="1">
        <f t="shared" ref="F31:F49" si="8">O31/I31</f>
        <v>0.17657192075796727</v>
      </c>
      <c r="G31" s="1">
        <f t="shared" ref="G31:G49" si="9">O31/K31</f>
        <v>1.4295676429567644E-4</v>
      </c>
      <c r="H31" s="1">
        <f>I31/D31</f>
        <v>52.772727272727273</v>
      </c>
      <c r="I31" s="2">
        <v>5805</v>
      </c>
      <c r="J31" s="2"/>
      <c r="K31" s="1">
        <v>7170000</v>
      </c>
      <c r="L31" s="2"/>
      <c r="M31">
        <v>116</v>
      </c>
      <c r="N31" s="2">
        <v>44</v>
      </c>
      <c r="O31" s="2">
        <v>1025</v>
      </c>
      <c r="P31" s="2">
        <v>273</v>
      </c>
      <c r="U31" s="2"/>
      <c r="V31" s="2"/>
      <c r="W31" s="2"/>
      <c r="X31" s="2"/>
    </row>
    <row r="32" spans="1:24">
      <c r="B32">
        <v>-5</v>
      </c>
      <c r="C32">
        <v>0</v>
      </c>
      <c r="D32">
        <v>74</v>
      </c>
      <c r="F32" s="1">
        <f t="shared" si="8"/>
        <v>0.25143141647996015</v>
      </c>
      <c r="G32" s="1">
        <f t="shared" si="9"/>
        <v>2.0545158665581775E-4</v>
      </c>
      <c r="I32">
        <v>4017</v>
      </c>
      <c r="K32">
        <v>4916000</v>
      </c>
      <c r="M32">
        <v>118</v>
      </c>
      <c r="N32">
        <v>43</v>
      </c>
      <c r="O32">
        <v>1010</v>
      </c>
      <c r="P32">
        <v>115</v>
      </c>
    </row>
    <row r="33" spans="2:24">
      <c r="B33">
        <v>-10</v>
      </c>
      <c r="C33">
        <v>0</v>
      </c>
      <c r="D33">
        <v>45</v>
      </c>
      <c r="F33" s="1">
        <f t="shared" si="8"/>
        <v>0.30670529801324503</v>
      </c>
      <c r="G33" s="1">
        <f t="shared" si="9"/>
        <v>2.5212657366451176E-4</v>
      </c>
      <c r="I33" s="2">
        <v>2416</v>
      </c>
      <c r="K33" s="1">
        <v>2939000</v>
      </c>
      <c r="M33">
        <v>124</v>
      </c>
      <c r="N33" s="2">
        <v>23</v>
      </c>
      <c r="O33" s="2">
        <v>741</v>
      </c>
      <c r="P33" s="2">
        <v>209</v>
      </c>
    </row>
    <row r="34" spans="2:24">
      <c r="B34">
        <v>-15</v>
      </c>
      <c r="C34">
        <v>0</v>
      </c>
      <c r="D34">
        <v>50</v>
      </c>
      <c r="F34" s="1">
        <f t="shared" si="8"/>
        <v>0.35051546391752575</v>
      </c>
      <c r="G34" s="1">
        <f t="shared" si="9"/>
        <v>2.8687500000000002E-4</v>
      </c>
      <c r="I34" s="2">
        <v>2619</v>
      </c>
      <c r="K34" s="1">
        <v>3200000</v>
      </c>
      <c r="M34">
        <v>198</v>
      </c>
      <c r="N34" s="2">
        <v>88</v>
      </c>
      <c r="O34" s="2">
        <v>918</v>
      </c>
      <c r="P34" s="2">
        <v>223</v>
      </c>
    </row>
    <row r="35" spans="2:24">
      <c r="B35">
        <v>-20</v>
      </c>
      <c r="C35">
        <v>0</v>
      </c>
      <c r="D35">
        <v>72</v>
      </c>
      <c r="F35" s="1">
        <f t="shared" si="8"/>
        <v>0.39769526248399489</v>
      </c>
      <c r="G35" s="1">
        <f t="shared" si="9"/>
        <v>3.2428481937774067E-4</v>
      </c>
      <c r="I35" s="2">
        <v>3905</v>
      </c>
      <c r="K35" s="1">
        <v>4789000</v>
      </c>
      <c r="M35">
        <v>480</v>
      </c>
      <c r="N35" s="2">
        <v>119</v>
      </c>
      <c r="O35" s="2">
        <v>1553</v>
      </c>
      <c r="P35" s="2">
        <v>400</v>
      </c>
    </row>
    <row r="36" spans="2:24">
      <c r="B36">
        <v>-25</v>
      </c>
      <c r="C36">
        <v>0</v>
      </c>
      <c r="D36">
        <v>41</v>
      </c>
      <c r="F36" s="1">
        <f t="shared" si="8"/>
        <v>0.39060340856748044</v>
      </c>
      <c r="G36" s="1">
        <f t="shared" si="9"/>
        <v>3.3073322932917316E-4</v>
      </c>
      <c r="I36" s="2">
        <v>2171</v>
      </c>
      <c r="K36" s="1">
        <v>2564000</v>
      </c>
      <c r="M36">
        <v>341</v>
      </c>
      <c r="N36" s="2">
        <v>94</v>
      </c>
      <c r="O36" s="2">
        <v>848</v>
      </c>
      <c r="P36" s="2">
        <v>236</v>
      </c>
      <c r="R36" s="9"/>
    </row>
    <row r="37" spans="2:24">
      <c r="B37">
        <v>-30</v>
      </c>
      <c r="C37">
        <v>0</v>
      </c>
      <c r="D37">
        <v>46</v>
      </c>
      <c r="F37" s="1">
        <f t="shared" si="8"/>
        <v>0.3889560661023781</v>
      </c>
      <c r="G37" s="1">
        <f t="shared" si="9"/>
        <v>3.340256143994462E-4</v>
      </c>
      <c r="I37" s="2">
        <v>2481</v>
      </c>
      <c r="K37" s="1">
        <v>2889000</v>
      </c>
      <c r="L37" s="1"/>
      <c r="M37">
        <v>479</v>
      </c>
      <c r="N37" s="2">
        <v>154</v>
      </c>
      <c r="O37" s="2">
        <v>965</v>
      </c>
      <c r="P37" s="2">
        <v>180</v>
      </c>
      <c r="S37" s="1"/>
      <c r="T37" s="1"/>
      <c r="U37" s="2"/>
      <c r="V37" s="2"/>
      <c r="W37" s="2"/>
      <c r="X37" s="2"/>
    </row>
    <row r="38" spans="2:24">
      <c r="B38">
        <v>-35</v>
      </c>
      <c r="C38">
        <v>0</v>
      </c>
      <c r="D38">
        <v>51</v>
      </c>
      <c r="F38" s="1">
        <f t="shared" si="8"/>
        <v>0.38622205936240384</v>
      </c>
      <c r="G38" s="1">
        <f t="shared" si="9"/>
        <v>3.1766124171187464E-4</v>
      </c>
      <c r="I38" s="2">
        <v>2729</v>
      </c>
      <c r="K38" s="1">
        <v>3318000</v>
      </c>
      <c r="M38">
        <v>782</v>
      </c>
      <c r="N38" s="2">
        <v>197</v>
      </c>
      <c r="O38" s="2">
        <v>1054</v>
      </c>
      <c r="P38" s="2">
        <v>304</v>
      </c>
      <c r="Q38" s="1"/>
      <c r="S38" s="1"/>
      <c r="T38" s="1"/>
      <c r="U38" s="2"/>
      <c r="V38" s="2"/>
      <c r="W38" s="2"/>
      <c r="X38" s="2"/>
    </row>
    <row r="39" spans="2:24">
      <c r="B39">
        <v>-40</v>
      </c>
      <c r="C39">
        <v>0</v>
      </c>
      <c r="D39">
        <v>35</v>
      </c>
      <c r="F39" s="1">
        <f t="shared" si="8"/>
        <v>0.3284189120488053</v>
      </c>
      <c r="G39" s="1">
        <f t="shared" si="9"/>
        <v>2.8086956521739128E-4</v>
      </c>
      <c r="H39" s="3"/>
      <c r="I39" s="2">
        <v>1967</v>
      </c>
      <c r="J39" s="2"/>
      <c r="K39" s="1">
        <v>2300000</v>
      </c>
      <c r="L39" s="2"/>
      <c r="M39">
        <v>554</v>
      </c>
      <c r="N39" s="2">
        <v>173</v>
      </c>
      <c r="O39" s="2">
        <v>646</v>
      </c>
      <c r="P39" s="2">
        <v>182</v>
      </c>
      <c r="S39" s="1"/>
      <c r="T39" s="1"/>
      <c r="U39" s="2"/>
      <c r="V39" s="2"/>
      <c r="W39" s="2"/>
      <c r="X39" s="2"/>
    </row>
    <row r="40" spans="2:24">
      <c r="B40">
        <v>-25</v>
      </c>
      <c r="C40">
        <v>0</v>
      </c>
      <c r="D40">
        <v>41</v>
      </c>
      <c r="F40" s="1">
        <f t="shared" si="8"/>
        <v>0.43299908842297175</v>
      </c>
      <c r="G40" s="1">
        <f t="shared" si="9"/>
        <v>3.5957607872823618E-4</v>
      </c>
      <c r="I40" s="2">
        <v>2194</v>
      </c>
      <c r="K40" s="1">
        <v>2642000</v>
      </c>
      <c r="M40">
        <v>397</v>
      </c>
      <c r="N40" s="2">
        <v>94</v>
      </c>
      <c r="O40" s="2">
        <v>950</v>
      </c>
      <c r="P40" s="2">
        <v>195</v>
      </c>
    </row>
    <row r="41" spans="2:24">
      <c r="B41">
        <v>-20</v>
      </c>
      <c r="C41">
        <v>0</v>
      </c>
      <c r="D41">
        <v>62</v>
      </c>
      <c r="F41" s="1">
        <f t="shared" si="8"/>
        <v>0.39200460166810469</v>
      </c>
      <c r="G41" s="1">
        <f t="shared" si="9"/>
        <v>3.3260126891166423E-4</v>
      </c>
      <c r="I41" s="2">
        <v>3477</v>
      </c>
      <c r="J41" s="2"/>
      <c r="K41" s="1">
        <v>4098000</v>
      </c>
      <c r="L41" s="2"/>
      <c r="M41">
        <v>377</v>
      </c>
      <c r="N41" s="2">
        <v>104</v>
      </c>
      <c r="O41" s="2">
        <v>1363</v>
      </c>
      <c r="P41" s="2">
        <v>336</v>
      </c>
    </row>
    <row r="42" spans="2:24">
      <c r="B42">
        <v>-15</v>
      </c>
      <c r="C42">
        <v>0</v>
      </c>
      <c r="D42">
        <v>49</v>
      </c>
      <c r="F42" s="1">
        <f t="shared" si="8"/>
        <v>0.35485103132161955</v>
      </c>
      <c r="G42" s="1">
        <f t="shared" si="9"/>
        <v>2.8575822823746538E-4</v>
      </c>
      <c r="I42" s="2">
        <v>2618</v>
      </c>
      <c r="J42" s="2"/>
      <c r="K42" s="1">
        <v>3251000</v>
      </c>
      <c r="L42" s="2"/>
      <c r="M42" s="1">
        <v>233</v>
      </c>
      <c r="N42" s="1">
        <v>58</v>
      </c>
      <c r="O42" s="1">
        <v>929</v>
      </c>
      <c r="P42" s="1">
        <v>274</v>
      </c>
      <c r="Q42" s="1"/>
    </row>
    <row r="43" spans="2:24">
      <c r="B43">
        <v>-30</v>
      </c>
      <c r="C43">
        <v>0</v>
      </c>
      <c r="D43">
        <v>41</v>
      </c>
      <c r="F43" s="1">
        <f t="shared" si="8"/>
        <v>0.40347826086956523</v>
      </c>
      <c r="G43" s="1">
        <f t="shared" si="9"/>
        <v>3.479565054368204E-4</v>
      </c>
      <c r="I43" s="2">
        <v>2300</v>
      </c>
      <c r="J43" s="2"/>
      <c r="K43" s="1">
        <v>2667000</v>
      </c>
      <c r="L43" s="2"/>
      <c r="M43">
        <v>485</v>
      </c>
      <c r="N43" s="2">
        <v>127</v>
      </c>
      <c r="O43" s="1">
        <v>928</v>
      </c>
      <c r="P43" s="1">
        <v>241</v>
      </c>
      <c r="Q43" s="1"/>
    </row>
    <row r="44" spans="2:24">
      <c r="B44">
        <v>-25</v>
      </c>
      <c r="C44">
        <v>-5</v>
      </c>
      <c r="D44">
        <v>39</v>
      </c>
      <c r="F44" s="1">
        <f t="shared" si="8"/>
        <v>0.37076476282671827</v>
      </c>
      <c r="G44" s="1">
        <f t="shared" si="9"/>
        <v>3.0812550281576832E-4</v>
      </c>
      <c r="I44" s="2">
        <v>2066</v>
      </c>
      <c r="J44" s="2"/>
      <c r="K44" s="1">
        <v>2486000</v>
      </c>
      <c r="L44" s="1"/>
      <c r="M44">
        <v>355</v>
      </c>
      <c r="N44" s="2">
        <v>53</v>
      </c>
      <c r="O44" s="1">
        <v>766</v>
      </c>
      <c r="P44" s="1">
        <v>146</v>
      </c>
      <c r="Q44" s="1"/>
    </row>
    <row r="45" spans="2:24">
      <c r="B45">
        <v>-25</v>
      </c>
      <c r="C45">
        <v>-10</v>
      </c>
      <c r="D45">
        <v>48</v>
      </c>
      <c r="F45" s="1">
        <f t="shared" si="8"/>
        <v>0.2878787878787879</v>
      </c>
      <c r="G45" s="1">
        <f t="shared" si="9"/>
        <v>2.4519987409505825E-4</v>
      </c>
      <c r="I45" s="2">
        <v>2706</v>
      </c>
      <c r="J45" s="2"/>
      <c r="K45" s="1">
        <v>3177000</v>
      </c>
      <c r="L45" s="2"/>
      <c r="M45">
        <v>298</v>
      </c>
      <c r="N45" s="2">
        <v>49</v>
      </c>
      <c r="O45" s="1">
        <v>779</v>
      </c>
      <c r="P45" s="1">
        <v>91</v>
      </c>
    </row>
    <row r="46" spans="2:24">
      <c r="B46">
        <v>-25</v>
      </c>
      <c r="C46">
        <v>5</v>
      </c>
      <c r="D46">
        <v>46</v>
      </c>
      <c r="F46" s="1">
        <f t="shared" si="8"/>
        <v>0.45568627450980392</v>
      </c>
      <c r="G46" s="1">
        <f t="shared" si="9"/>
        <v>3.6842105263157896E-4</v>
      </c>
      <c r="I46" s="2">
        <v>2550</v>
      </c>
      <c r="J46" s="2"/>
      <c r="K46" s="1">
        <v>3154000</v>
      </c>
      <c r="L46" s="2"/>
      <c r="M46">
        <v>456</v>
      </c>
      <c r="N46" s="2">
        <v>151</v>
      </c>
      <c r="O46" s="1">
        <v>1162</v>
      </c>
      <c r="P46" s="1">
        <v>450</v>
      </c>
    </row>
    <row r="47" spans="2:24">
      <c r="B47">
        <v>-25</v>
      </c>
      <c r="C47">
        <v>10</v>
      </c>
      <c r="D47">
        <v>44</v>
      </c>
      <c r="F47" s="1">
        <f t="shared" si="8"/>
        <v>0.41925218774860779</v>
      </c>
      <c r="G47" s="1">
        <f t="shared" si="9"/>
        <v>3.6432768752160389E-4</v>
      </c>
      <c r="I47" s="2">
        <v>2514</v>
      </c>
      <c r="J47" s="2"/>
      <c r="K47" s="1">
        <v>2893000</v>
      </c>
      <c r="L47" s="2"/>
      <c r="M47">
        <v>409</v>
      </c>
      <c r="N47" s="2">
        <v>231</v>
      </c>
      <c r="O47" s="1">
        <v>1054</v>
      </c>
      <c r="P47" s="1">
        <v>527</v>
      </c>
    </row>
    <row r="48" spans="2:24">
      <c r="B48">
        <v>-25</v>
      </c>
      <c r="C48">
        <v>15</v>
      </c>
      <c r="D48">
        <v>39</v>
      </c>
      <c r="F48" s="1">
        <f t="shared" si="8"/>
        <v>0.36056751467710374</v>
      </c>
      <c r="G48" s="1">
        <f t="shared" si="9"/>
        <v>3.0143149284253578E-4</v>
      </c>
      <c r="I48" s="2">
        <v>2044</v>
      </c>
      <c r="J48" s="2"/>
      <c r="K48" s="1">
        <v>2445000</v>
      </c>
      <c r="L48" s="2"/>
      <c r="M48">
        <v>310</v>
      </c>
      <c r="N48" s="2">
        <v>207</v>
      </c>
      <c r="O48" s="1">
        <v>737</v>
      </c>
      <c r="P48" s="1">
        <v>565</v>
      </c>
    </row>
    <row r="49" spans="1:18">
      <c r="B49">
        <v>-25</v>
      </c>
      <c r="C49">
        <v>5</v>
      </c>
      <c r="D49">
        <v>44</v>
      </c>
      <c r="F49" s="1">
        <f t="shared" si="8"/>
        <v>0.41679687500000001</v>
      </c>
      <c r="G49" s="1">
        <f t="shared" si="9"/>
        <v>3.6528586100650462E-4</v>
      </c>
      <c r="I49" s="2">
        <v>2560</v>
      </c>
      <c r="J49" s="2"/>
      <c r="K49" s="1">
        <v>2921000</v>
      </c>
      <c r="L49" s="2"/>
      <c r="M49">
        <v>405</v>
      </c>
      <c r="N49" s="2">
        <v>166</v>
      </c>
      <c r="O49" s="1">
        <v>1067</v>
      </c>
      <c r="P49" s="1">
        <v>378</v>
      </c>
      <c r="Q49">
        <v>350</v>
      </c>
    </row>
    <row r="50" spans="1:18">
      <c r="F50" s="1"/>
      <c r="G50" s="1"/>
      <c r="J50" s="2"/>
      <c r="K50" s="1"/>
      <c r="L50" s="2"/>
      <c r="O50" s="1"/>
      <c r="P50" s="1"/>
    </row>
    <row r="51" spans="1:18">
      <c r="F51" s="1"/>
      <c r="G51" s="1"/>
      <c r="J51" s="2"/>
      <c r="K51" s="1"/>
      <c r="L51" s="2"/>
      <c r="O51" s="1"/>
      <c r="P51" s="1"/>
    </row>
    <row r="52" spans="1:18">
      <c r="A52" t="s">
        <v>126</v>
      </c>
      <c r="B52" t="s">
        <v>7</v>
      </c>
      <c r="C52" t="s">
        <v>8</v>
      </c>
      <c r="G52" t="s">
        <v>108</v>
      </c>
      <c r="I52" t="s">
        <v>127</v>
      </c>
      <c r="K52" t="s">
        <v>128</v>
      </c>
      <c r="M52" t="s">
        <v>98</v>
      </c>
      <c r="N52" t="s">
        <v>99</v>
      </c>
      <c r="O52" t="s">
        <v>100</v>
      </c>
      <c r="P52" t="s">
        <v>101</v>
      </c>
      <c r="Q52" t="s">
        <v>102</v>
      </c>
    </row>
    <row r="53" spans="1:18">
      <c r="D53">
        <v>155</v>
      </c>
      <c r="F53" s="1"/>
      <c r="G53" s="1">
        <f>Q53/I53</f>
        <v>0.14842903575297942</v>
      </c>
      <c r="I53">
        <v>8307</v>
      </c>
      <c r="J53" s="2"/>
      <c r="K53" s="1">
        <v>10015000</v>
      </c>
      <c r="L53" s="2"/>
      <c r="M53" s="3">
        <v>331</v>
      </c>
      <c r="N53" s="3">
        <v>284</v>
      </c>
      <c r="O53" s="3">
        <v>329</v>
      </c>
      <c r="P53" s="3">
        <v>289</v>
      </c>
      <c r="Q53">
        <v>1233</v>
      </c>
    </row>
    <row r="54" spans="1:18">
      <c r="F54" s="1"/>
      <c r="G54" s="1"/>
      <c r="J54" s="2"/>
      <c r="K54" s="1"/>
      <c r="L54" s="2"/>
      <c r="O54" s="1"/>
      <c r="P54" s="1"/>
    </row>
    <row r="55" spans="1:18">
      <c r="G55" s="1"/>
    </row>
    <row r="57" spans="1:18">
      <c r="B57" t="s">
        <v>95</v>
      </c>
      <c r="C57" t="s">
        <v>8</v>
      </c>
      <c r="D57" t="s">
        <v>6</v>
      </c>
      <c r="E57" t="s">
        <v>11</v>
      </c>
      <c r="F57" t="s">
        <v>12</v>
      </c>
      <c r="G57" t="s">
        <v>13</v>
      </c>
      <c r="H57" t="s">
        <v>57</v>
      </c>
      <c r="I57" t="s">
        <v>0</v>
      </c>
      <c r="J57" t="s">
        <v>58</v>
      </c>
      <c r="K57" s="1" t="s">
        <v>1</v>
      </c>
      <c r="L57" s="1" t="s">
        <v>17</v>
      </c>
      <c r="M57" t="s">
        <v>2</v>
      </c>
      <c r="N57" t="s">
        <v>3</v>
      </c>
      <c r="O57" t="s">
        <v>4</v>
      </c>
      <c r="P57" t="s">
        <v>5</v>
      </c>
      <c r="Q57" t="s">
        <v>48</v>
      </c>
      <c r="R57" t="s">
        <v>46</v>
      </c>
    </row>
    <row r="58" spans="1:18">
      <c r="A58">
        <v>20140411</v>
      </c>
      <c r="F58" s="1"/>
      <c r="H58" s="1"/>
      <c r="I58" s="2"/>
      <c r="J58" s="2"/>
      <c r="K58" s="1"/>
      <c r="L58" s="2"/>
      <c r="M58" s="2"/>
      <c r="N58" s="2"/>
      <c r="O58" s="2"/>
      <c r="P58" s="2"/>
      <c r="Q58" s="2"/>
    </row>
    <row r="59" spans="1:18">
      <c r="A59" t="s">
        <v>96</v>
      </c>
      <c r="B59">
        <v>0</v>
      </c>
      <c r="C59">
        <v>0</v>
      </c>
      <c r="D59">
        <v>57</v>
      </c>
      <c r="E59">
        <f>O59/D59</f>
        <v>78.508771929824562</v>
      </c>
      <c r="F59" s="1">
        <f t="shared" ref="F59:F74" si="10">O59/I59</f>
        <v>0.4296687469995199</v>
      </c>
      <c r="G59" s="1" t="e">
        <f t="shared" ref="G59:G74" si="11">O59/K59</f>
        <v>#DIV/0!</v>
      </c>
      <c r="H59" s="1">
        <f>I59/D59</f>
        <v>182.71929824561403</v>
      </c>
      <c r="I59" s="2">
        <v>10415</v>
      </c>
      <c r="J59" s="2"/>
      <c r="K59" s="1"/>
      <c r="L59" s="2"/>
      <c r="M59">
        <v>1997</v>
      </c>
      <c r="N59" s="2">
        <v>1049</v>
      </c>
      <c r="O59" s="2">
        <v>4475</v>
      </c>
      <c r="P59" s="2">
        <v>2655</v>
      </c>
    </row>
    <row r="60" spans="1:18">
      <c r="B60">
        <v>0</v>
      </c>
      <c r="C60">
        <v>0</v>
      </c>
      <c r="D60">
        <v>33</v>
      </c>
      <c r="E60">
        <f t="shared" ref="E60:E74" si="12">O60/D60</f>
        <v>55.969696969696969</v>
      </c>
      <c r="F60" s="1">
        <f t="shared" si="10"/>
        <v>0.45797173320109102</v>
      </c>
      <c r="G60" s="1">
        <f t="shared" si="11"/>
        <v>3.809032790266034E-4</v>
      </c>
      <c r="I60">
        <v>4033</v>
      </c>
      <c r="K60">
        <v>4849000</v>
      </c>
      <c r="M60">
        <v>759</v>
      </c>
      <c r="N60">
        <v>363</v>
      </c>
      <c r="O60">
        <v>1847</v>
      </c>
      <c r="P60">
        <v>990</v>
      </c>
    </row>
    <row r="61" spans="1:18">
      <c r="B61">
        <v>-5</v>
      </c>
      <c r="C61">
        <v>0</v>
      </c>
      <c r="D61">
        <v>90</v>
      </c>
      <c r="E61">
        <f t="shared" si="12"/>
        <v>78.188888888888883</v>
      </c>
      <c r="F61" s="1">
        <f t="shared" si="10"/>
        <v>0.4397575303087114</v>
      </c>
      <c r="G61" s="1">
        <f t="shared" si="11"/>
        <v>3.5614150513689963E-4</v>
      </c>
      <c r="I61">
        <v>16002</v>
      </c>
      <c r="K61">
        <v>19759000</v>
      </c>
      <c r="M61">
        <v>4200</v>
      </c>
      <c r="N61">
        <v>2140</v>
      </c>
      <c r="O61">
        <v>7037</v>
      </c>
      <c r="P61">
        <v>3857</v>
      </c>
    </row>
    <row r="62" spans="1:18">
      <c r="B62">
        <v>-10</v>
      </c>
      <c r="C62">
        <v>0</v>
      </c>
      <c r="D62">
        <v>28</v>
      </c>
      <c r="E62">
        <f t="shared" si="12"/>
        <v>66.535714285714292</v>
      </c>
      <c r="F62" s="1">
        <f t="shared" si="10"/>
        <v>0.39579349904397704</v>
      </c>
      <c r="G62" s="1">
        <f t="shared" si="11"/>
        <v>3.1999312950875986E-4</v>
      </c>
      <c r="I62">
        <v>4707</v>
      </c>
      <c r="K62">
        <v>5822000</v>
      </c>
      <c r="M62">
        <v>1502</v>
      </c>
      <c r="N62">
        <v>759</v>
      </c>
      <c r="O62">
        <v>1863</v>
      </c>
      <c r="P62">
        <v>966</v>
      </c>
    </row>
    <row r="63" spans="1:18">
      <c r="B63">
        <v>-15</v>
      </c>
      <c r="C63">
        <v>0</v>
      </c>
      <c r="D63">
        <v>28</v>
      </c>
      <c r="E63">
        <f t="shared" si="12"/>
        <v>48.428571428571431</v>
      </c>
      <c r="F63" s="1">
        <f t="shared" si="10"/>
        <v>0.3301680058436815</v>
      </c>
      <c r="G63" s="1">
        <f t="shared" si="11"/>
        <v>2.6162454177117497E-4</v>
      </c>
      <c r="I63">
        <v>4107</v>
      </c>
      <c r="K63">
        <v>5183000</v>
      </c>
      <c r="M63">
        <v>1647</v>
      </c>
      <c r="N63">
        <v>786</v>
      </c>
      <c r="O63">
        <v>1356</v>
      </c>
      <c r="P63">
        <v>700</v>
      </c>
    </row>
    <row r="64" spans="1:18">
      <c r="B64">
        <v>5</v>
      </c>
      <c r="C64">
        <v>0</v>
      </c>
      <c r="D64">
        <v>40</v>
      </c>
      <c r="E64">
        <f t="shared" si="12"/>
        <v>28.425000000000001</v>
      </c>
      <c r="F64" s="1">
        <f t="shared" si="10"/>
        <v>0.45883777239709445</v>
      </c>
      <c r="G64" s="1">
        <f t="shared" si="11"/>
        <v>4.5976546704407605E-4</v>
      </c>
      <c r="I64">
        <v>2478</v>
      </c>
      <c r="K64">
        <v>2473000</v>
      </c>
      <c r="M64">
        <v>356</v>
      </c>
      <c r="N64">
        <v>152</v>
      </c>
      <c r="O64">
        <v>1137</v>
      </c>
      <c r="P64">
        <v>516</v>
      </c>
    </row>
    <row r="65" spans="1:17">
      <c r="B65">
        <v>10</v>
      </c>
      <c r="C65">
        <v>0</v>
      </c>
      <c r="D65">
        <v>35</v>
      </c>
      <c r="E65">
        <f t="shared" si="12"/>
        <v>23.571428571428573</v>
      </c>
      <c r="F65" s="1">
        <f t="shared" si="10"/>
        <v>0.39025543992431411</v>
      </c>
      <c r="G65" s="1">
        <f t="shared" si="11"/>
        <v>3.8841807909604522E-4</v>
      </c>
      <c r="I65">
        <v>2114</v>
      </c>
      <c r="K65">
        <v>2124000</v>
      </c>
      <c r="M65">
        <v>188</v>
      </c>
      <c r="N65">
        <v>79</v>
      </c>
      <c r="O65">
        <v>825</v>
      </c>
      <c r="P65">
        <v>390</v>
      </c>
    </row>
    <row r="66" spans="1:17">
      <c r="B66">
        <v>15</v>
      </c>
      <c r="C66">
        <v>0</v>
      </c>
      <c r="D66">
        <v>38</v>
      </c>
      <c r="E66">
        <f t="shared" si="12"/>
        <v>20.868421052631579</v>
      </c>
      <c r="F66" s="1">
        <f t="shared" si="10"/>
        <v>0.35135135135135137</v>
      </c>
      <c r="G66" s="1">
        <f t="shared" si="11"/>
        <v>3.4284479031560742E-4</v>
      </c>
      <c r="I66">
        <v>2257</v>
      </c>
      <c r="K66">
        <v>2313000</v>
      </c>
      <c r="M66">
        <v>132</v>
      </c>
      <c r="N66">
        <v>44</v>
      </c>
      <c r="O66">
        <v>793</v>
      </c>
      <c r="P66">
        <v>351</v>
      </c>
    </row>
    <row r="67" spans="1:17">
      <c r="B67">
        <v>0</v>
      </c>
      <c r="C67">
        <v>0</v>
      </c>
      <c r="D67">
        <v>31</v>
      </c>
      <c r="E67">
        <f t="shared" si="12"/>
        <v>24.29032258064516</v>
      </c>
      <c r="F67" s="1">
        <f t="shared" si="10"/>
        <v>0.43804537521815007</v>
      </c>
      <c r="G67" s="1">
        <f t="shared" si="11"/>
        <v>4.1282894736842103E-4</v>
      </c>
      <c r="I67">
        <v>1719</v>
      </c>
      <c r="K67">
        <v>1824000</v>
      </c>
      <c r="M67">
        <v>362</v>
      </c>
      <c r="N67">
        <v>140</v>
      </c>
      <c r="O67">
        <v>753</v>
      </c>
      <c r="P67">
        <v>369</v>
      </c>
    </row>
    <row r="68" spans="1:17">
      <c r="B68">
        <v>0</v>
      </c>
      <c r="C68">
        <v>5</v>
      </c>
      <c r="D68">
        <v>35</v>
      </c>
      <c r="E68">
        <f t="shared" si="12"/>
        <v>25.2</v>
      </c>
      <c r="F68" s="1">
        <f t="shared" si="10"/>
        <v>0.42261619549592716</v>
      </c>
      <c r="G68" s="1">
        <f t="shared" si="11"/>
        <v>4.2281879194630871E-4</v>
      </c>
      <c r="I68">
        <v>2087</v>
      </c>
      <c r="K68">
        <v>2086000</v>
      </c>
      <c r="M68">
        <v>343</v>
      </c>
      <c r="N68">
        <v>227</v>
      </c>
      <c r="O68">
        <v>882</v>
      </c>
      <c r="P68">
        <v>570</v>
      </c>
    </row>
    <row r="69" spans="1:17">
      <c r="A69" s="15"/>
      <c r="B69">
        <v>0</v>
      </c>
      <c r="C69">
        <v>10</v>
      </c>
      <c r="D69">
        <v>51</v>
      </c>
      <c r="E69">
        <f t="shared" si="12"/>
        <v>20.490196078431371</v>
      </c>
      <c r="F69" s="16">
        <f t="shared" si="10"/>
        <v>0.35090664875755539</v>
      </c>
      <c r="G69" s="16">
        <f t="shared" si="11"/>
        <v>3.3666237113402059E-4</v>
      </c>
      <c r="H69" s="17"/>
      <c r="I69" s="17">
        <v>2978</v>
      </c>
      <c r="J69" s="18"/>
      <c r="K69" s="16">
        <v>3104000</v>
      </c>
      <c r="L69" s="18"/>
      <c r="M69" s="17">
        <v>486</v>
      </c>
      <c r="N69" s="17">
        <v>447</v>
      </c>
      <c r="O69" s="16">
        <v>1045</v>
      </c>
      <c r="P69" s="16">
        <v>1092</v>
      </c>
    </row>
    <row r="70" spans="1:17">
      <c r="A70" s="15"/>
      <c r="B70">
        <v>0</v>
      </c>
      <c r="C70">
        <v>15</v>
      </c>
      <c r="D70">
        <v>45</v>
      </c>
      <c r="E70">
        <f t="shared" si="12"/>
        <v>17.911111111111111</v>
      </c>
      <c r="F70" s="16">
        <f t="shared" si="10"/>
        <v>0.29907235621521333</v>
      </c>
      <c r="G70" s="16">
        <f t="shared" si="11"/>
        <v>2.9962825278810411E-4</v>
      </c>
      <c r="H70" s="17"/>
      <c r="I70" s="17">
        <v>2695</v>
      </c>
      <c r="J70" s="18"/>
      <c r="K70" s="16">
        <v>2690000</v>
      </c>
      <c r="L70" s="18"/>
      <c r="M70" s="17">
        <v>365</v>
      </c>
      <c r="N70" s="17">
        <v>374</v>
      </c>
      <c r="O70" s="17">
        <v>806</v>
      </c>
      <c r="P70" s="17">
        <v>1072</v>
      </c>
    </row>
    <row r="71" spans="1:17">
      <c r="A71" s="15"/>
      <c r="B71">
        <v>0</v>
      </c>
      <c r="C71">
        <v>-5</v>
      </c>
      <c r="D71">
        <v>41</v>
      </c>
      <c r="E71">
        <f t="shared" si="12"/>
        <v>23.853658536585368</v>
      </c>
      <c r="F71" s="16">
        <f t="shared" si="10"/>
        <v>0.39837067209775967</v>
      </c>
      <c r="G71" s="16">
        <f t="shared" si="11"/>
        <v>3.8579881656804736E-4</v>
      </c>
      <c r="H71" s="17"/>
      <c r="I71" s="17">
        <v>2455</v>
      </c>
      <c r="J71" s="18"/>
      <c r="K71" s="16">
        <v>2535000</v>
      </c>
      <c r="L71" s="18"/>
      <c r="M71" s="17">
        <v>453</v>
      </c>
      <c r="N71" s="17">
        <v>135</v>
      </c>
      <c r="O71" s="17">
        <v>978</v>
      </c>
      <c r="P71" s="17">
        <v>323</v>
      </c>
    </row>
    <row r="72" spans="1:17">
      <c r="A72" s="15"/>
      <c r="B72">
        <v>0</v>
      </c>
      <c r="C72">
        <v>-10</v>
      </c>
      <c r="D72">
        <v>35</v>
      </c>
      <c r="E72">
        <f t="shared" si="12"/>
        <v>21.857142857142858</v>
      </c>
      <c r="F72" s="16">
        <f t="shared" si="10"/>
        <v>0.38636363636363635</v>
      </c>
      <c r="G72" s="16">
        <f t="shared" si="11"/>
        <v>3.7153958232151528E-4</v>
      </c>
      <c r="H72" s="17"/>
      <c r="I72" s="17">
        <v>1980</v>
      </c>
      <c r="J72" s="18"/>
      <c r="K72" s="16">
        <v>2059000</v>
      </c>
      <c r="L72" s="18"/>
      <c r="M72" s="17">
        <v>351</v>
      </c>
      <c r="N72" s="17">
        <v>93</v>
      </c>
      <c r="O72" s="17">
        <v>765</v>
      </c>
      <c r="P72" s="17">
        <v>172</v>
      </c>
    </row>
    <row r="73" spans="1:17">
      <c r="B73">
        <v>0</v>
      </c>
      <c r="C73">
        <v>-15</v>
      </c>
      <c r="D73">
        <v>49</v>
      </c>
      <c r="E73">
        <f t="shared" si="12"/>
        <v>19.163265306122447</v>
      </c>
      <c r="F73" s="16">
        <f t="shared" si="10"/>
        <v>0.32179575051405074</v>
      </c>
      <c r="G73" s="16">
        <f t="shared" si="11"/>
        <v>3.1341789052069427E-4</v>
      </c>
      <c r="H73" s="17"/>
      <c r="I73" s="17">
        <v>2918</v>
      </c>
      <c r="J73" s="17"/>
      <c r="K73" s="16">
        <v>2996000</v>
      </c>
      <c r="L73" s="17"/>
      <c r="M73" s="17">
        <v>410</v>
      </c>
      <c r="N73" s="17">
        <v>73</v>
      </c>
      <c r="O73" s="17">
        <v>939</v>
      </c>
      <c r="P73" s="17">
        <v>130</v>
      </c>
    </row>
    <row r="74" spans="1:17">
      <c r="B74">
        <v>0</v>
      </c>
      <c r="C74">
        <v>0</v>
      </c>
      <c r="D74">
        <v>44</v>
      </c>
      <c r="E74">
        <f t="shared" si="12"/>
        <v>27</v>
      </c>
      <c r="F74" s="16">
        <f t="shared" si="10"/>
        <v>0.4606436603334626</v>
      </c>
      <c r="G74" s="16">
        <f t="shared" si="11"/>
        <v>4.3612334801762114E-4</v>
      </c>
      <c r="I74" s="17">
        <v>2579</v>
      </c>
      <c r="K74" s="16">
        <v>2724000</v>
      </c>
      <c r="M74" s="17">
        <v>562</v>
      </c>
      <c r="N74" s="17">
        <v>217</v>
      </c>
      <c r="O74" s="17">
        <v>1188</v>
      </c>
      <c r="P74" s="17">
        <v>527</v>
      </c>
    </row>
    <row r="76" spans="1:17">
      <c r="J76" s="2"/>
      <c r="O76" s="1"/>
    </row>
    <row r="77" spans="1:17">
      <c r="A77" t="s">
        <v>126</v>
      </c>
      <c r="B77" t="s">
        <v>7</v>
      </c>
      <c r="C77" t="s">
        <v>8</v>
      </c>
      <c r="G77" t="s">
        <v>108</v>
      </c>
      <c r="I77" t="s">
        <v>127</v>
      </c>
      <c r="K77" t="s">
        <v>128</v>
      </c>
      <c r="M77" t="s">
        <v>98</v>
      </c>
      <c r="N77" t="s">
        <v>99</v>
      </c>
      <c r="O77" t="s">
        <v>100</v>
      </c>
      <c r="P77" t="s">
        <v>101</v>
      </c>
      <c r="Q77" t="s">
        <v>102</v>
      </c>
    </row>
    <row r="78" spans="1:17">
      <c r="B78">
        <v>0</v>
      </c>
      <c r="C78">
        <v>0</v>
      </c>
      <c r="D78">
        <v>134</v>
      </c>
      <c r="F78" s="1"/>
      <c r="G78" s="1">
        <f>Q78/I78</f>
        <v>0.14436248682824027</v>
      </c>
      <c r="I78">
        <v>8541</v>
      </c>
      <c r="J78" s="2"/>
      <c r="K78" s="1">
        <v>9020000</v>
      </c>
      <c r="L78" s="2"/>
      <c r="M78" s="3">
        <v>315</v>
      </c>
      <c r="N78" s="3">
        <v>333</v>
      </c>
      <c r="O78" s="3">
        <v>296</v>
      </c>
      <c r="P78" s="3">
        <v>291</v>
      </c>
      <c r="Q78">
        <v>1233</v>
      </c>
    </row>
    <row r="79" spans="1:17">
      <c r="I79" s="1"/>
      <c r="J79" s="1"/>
    </row>
    <row r="80" spans="1:17">
      <c r="G80" s="1"/>
    </row>
    <row r="81" spans="7:8">
      <c r="G81" s="1"/>
    </row>
    <row r="82" spans="7:8">
      <c r="G82" s="1"/>
    </row>
    <row r="83" spans="7:8">
      <c r="G83" s="1"/>
      <c r="H8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2:AA35"/>
  <sheetViews>
    <sheetView tabSelected="1" workbookViewId="0">
      <selection activeCell="C18" sqref="C18"/>
    </sheetView>
  </sheetViews>
  <sheetFormatPr defaultColWidth="11" defaultRowHeight="15.75"/>
  <cols>
    <col min="2" max="2" width="16.125" bestFit="1" customWidth="1"/>
    <col min="3" max="3" width="16.125" customWidth="1"/>
    <col min="7" max="7" width="14.375" bestFit="1" customWidth="1"/>
    <col min="8" max="8" width="15" customWidth="1"/>
    <col min="14" max="14" width="12.125" bestFit="1" customWidth="1"/>
    <col min="15" max="15" width="8" customWidth="1"/>
    <col min="16" max="16" width="16" customWidth="1"/>
    <col min="17" max="21" width="10.125" customWidth="1"/>
    <col min="22" max="22" width="54.375" customWidth="1"/>
  </cols>
  <sheetData>
    <row r="2" spans="1:27">
      <c r="H2" t="s">
        <v>118</v>
      </c>
      <c r="I2" s="1">
        <f>'Beam profile 9-11 april'!F17</f>
        <v>0.55092405234048292</v>
      </c>
      <c r="Y2" s="1"/>
    </row>
    <row r="3" spans="1:27">
      <c r="H3" t="s">
        <v>119</v>
      </c>
      <c r="I3">
        <f>'Beam profile 9-11 april'!G26</f>
        <v>0.20642281715213812</v>
      </c>
      <c r="X3" t="s">
        <v>33</v>
      </c>
      <c r="Y3" t="s">
        <v>34</v>
      </c>
      <c r="Z3" t="s">
        <v>6</v>
      </c>
      <c r="AA3" t="s">
        <v>35</v>
      </c>
    </row>
    <row r="4" spans="1:27" ht="47.25">
      <c r="B4" t="s">
        <v>21</v>
      </c>
      <c r="C4" t="s">
        <v>60</v>
      </c>
      <c r="D4" t="s">
        <v>50</v>
      </c>
      <c r="E4" t="s">
        <v>0</v>
      </c>
      <c r="F4" s="7" t="s">
        <v>25</v>
      </c>
      <c r="G4" t="s">
        <v>49</v>
      </c>
      <c r="H4" s="8" t="s">
        <v>28</v>
      </c>
      <c r="I4" s="8" t="s">
        <v>27</v>
      </c>
      <c r="J4" s="8" t="s">
        <v>29</v>
      </c>
      <c r="K4" s="8" t="s">
        <v>30</v>
      </c>
      <c r="L4" s="8" t="s">
        <v>32</v>
      </c>
      <c r="M4" s="8" t="s">
        <v>36</v>
      </c>
      <c r="N4" s="8" t="s">
        <v>70</v>
      </c>
      <c r="O4" s="8" t="s">
        <v>71</v>
      </c>
      <c r="P4" s="8"/>
      <c r="Q4" s="8"/>
      <c r="R4" s="8"/>
      <c r="S4" s="8"/>
      <c r="T4" s="8"/>
      <c r="U4" s="8"/>
      <c r="X4">
        <v>1000</v>
      </c>
      <c r="Y4">
        <v>50000</v>
      </c>
      <c r="Z4" s="2">
        <f>Y4/(X4*L5)</f>
        <v>301.82737987452475</v>
      </c>
      <c r="AA4">
        <f>Z4/60</f>
        <v>5.0304563312420791</v>
      </c>
    </row>
    <row r="5" spans="1:27">
      <c r="A5">
        <v>1</v>
      </c>
      <c r="B5" t="s">
        <v>109</v>
      </c>
      <c r="D5">
        <v>1084</v>
      </c>
      <c r="E5">
        <v>1333337</v>
      </c>
      <c r="F5" s="1">
        <f>E5*$I$2</f>
        <v>734567.42317550245</v>
      </c>
      <c r="G5" s="1">
        <v>1.1400000000000001E-6</v>
      </c>
      <c r="H5" s="1">
        <f>F5/G5</f>
        <v>644357388750.44067</v>
      </c>
      <c r="I5" s="1">
        <f>H5/Fluka!$D$13</f>
        <v>7520511073184.4141</v>
      </c>
      <c r="J5" s="1">
        <f>I5*Fluka!$D$11</f>
        <v>2208.7741021942625</v>
      </c>
      <c r="K5" s="2">
        <f>J5*100/1000</f>
        <v>220.87741021942622</v>
      </c>
      <c r="L5" s="1">
        <f>K5*1000/E5</f>
        <v>0.1656576021061639</v>
      </c>
      <c r="M5" s="1">
        <f>J5/E5</f>
        <v>1.6565760210616389E-3</v>
      </c>
      <c r="N5" s="1"/>
      <c r="O5" s="1" t="s">
        <v>72</v>
      </c>
      <c r="P5" s="1"/>
      <c r="Q5" s="1"/>
      <c r="R5" s="1"/>
      <c r="S5" s="1"/>
      <c r="T5" s="1"/>
      <c r="U5" s="1"/>
      <c r="V5" s="8"/>
    </row>
    <row r="6" spans="1:27">
      <c r="A6">
        <v>2</v>
      </c>
      <c r="B6" t="s">
        <v>110</v>
      </c>
      <c r="D6">
        <v>1661</v>
      </c>
      <c r="E6">
        <v>1055909</v>
      </c>
      <c r="F6" s="1">
        <f>E6*$I$2</f>
        <v>581725.66518278699</v>
      </c>
      <c r="G6" s="1">
        <v>1.1400000000000001E-6</v>
      </c>
      <c r="H6" s="1">
        <f>F6/G6</f>
        <v>510285671212.97101</v>
      </c>
      <c r="I6" s="1">
        <f>H6/Fluka!$D$13</f>
        <v>5955715116864.7402</v>
      </c>
      <c r="J6" s="1">
        <f>I6*Fluka!$D$11</f>
        <v>1749.193529823174</v>
      </c>
      <c r="K6" s="2">
        <f>J6*100/1000</f>
        <v>174.91935298231738</v>
      </c>
      <c r="L6" s="1">
        <f>K6*1000/E6</f>
        <v>0.16565760210616387</v>
      </c>
      <c r="M6" s="1">
        <f>J6/E6</f>
        <v>1.6565760210616389E-3</v>
      </c>
      <c r="N6" s="1"/>
      <c r="O6" s="1"/>
      <c r="P6" s="1"/>
      <c r="Q6" s="1"/>
      <c r="R6" s="1"/>
      <c r="S6" s="1"/>
      <c r="T6" s="1"/>
      <c r="U6" s="1"/>
      <c r="V6" t="s">
        <v>111</v>
      </c>
    </row>
    <row r="7" spans="1:27">
      <c r="A7">
        <v>3</v>
      </c>
      <c r="B7" t="s">
        <v>113</v>
      </c>
      <c r="D7">
        <v>742</v>
      </c>
      <c r="E7">
        <v>724700</v>
      </c>
      <c r="F7" s="1">
        <f>E7*$I$2</f>
        <v>399254.66073114797</v>
      </c>
      <c r="G7" s="1">
        <v>1.1400000000000001E-6</v>
      </c>
      <c r="H7" s="1">
        <f>F7/G7</f>
        <v>350223386606.27014</v>
      </c>
      <c r="I7" s="1">
        <f>H7/Fluka!$D$13</f>
        <v>4087574540222.5737</v>
      </c>
      <c r="J7" s="1">
        <f>I7*Fluka!$D$11</f>
        <v>1200.5206424633698</v>
      </c>
      <c r="K7" s="2">
        <f>J7*100/1000</f>
        <v>120.05206424633697</v>
      </c>
      <c r="L7" s="1">
        <f>K7*1000/E7</f>
        <v>0.1656576021061639</v>
      </c>
      <c r="M7" s="1">
        <f>J7/E7</f>
        <v>1.6565760210616391E-3</v>
      </c>
      <c r="N7" s="1"/>
      <c r="O7" s="1"/>
      <c r="P7" s="1"/>
      <c r="Q7" s="1"/>
      <c r="R7" s="1"/>
      <c r="S7" s="1"/>
      <c r="T7" s="1"/>
      <c r="U7" s="1"/>
      <c r="V7" t="s">
        <v>112</v>
      </c>
    </row>
    <row r="8" spans="1:27">
      <c r="A8">
        <v>4</v>
      </c>
      <c r="B8" t="s">
        <v>114</v>
      </c>
      <c r="D8">
        <v>1074</v>
      </c>
      <c r="E8">
        <v>899996</v>
      </c>
      <c r="F8" s="1">
        <f>E8*$I$2</f>
        <v>495829.44341022527</v>
      </c>
      <c r="G8" s="1">
        <v>1.1400000000000001E-6</v>
      </c>
      <c r="H8" s="1">
        <f>F8/G8</f>
        <v>434938108254.58356</v>
      </c>
      <c r="I8" s="1">
        <f>H8/Fluka!$D$13</f>
        <v>5076308453018.0146</v>
      </c>
      <c r="J8" s="1">
        <f>I8*Fluka!$D$11</f>
        <v>1490.9117926513909</v>
      </c>
      <c r="K8" s="2">
        <f>J8*100/1000</f>
        <v>149.09117926513909</v>
      </c>
      <c r="L8" s="1">
        <f>K8*1000/E8</f>
        <v>0.16565760210616393</v>
      </c>
      <c r="M8" s="1">
        <f>J8/E8</f>
        <v>1.6565760210616391E-3</v>
      </c>
      <c r="N8" s="1"/>
      <c r="O8" s="1"/>
      <c r="P8" s="1"/>
      <c r="Q8" s="1"/>
      <c r="R8" s="1"/>
      <c r="S8" s="1"/>
      <c r="T8" s="1"/>
      <c r="U8" s="1"/>
      <c r="V8" t="s">
        <v>112</v>
      </c>
    </row>
    <row r="9" spans="1:27"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7">
      <c r="E10">
        <v>899996</v>
      </c>
      <c r="F10" s="1">
        <f>E10*$I$3</f>
        <v>185779.70974565571</v>
      </c>
      <c r="G10" s="1">
        <f>0.0000000000000247*G12</f>
        <v>4.1439723520000002E-7</v>
      </c>
      <c r="H10" s="1">
        <f>F10/G10</f>
        <v>448313101452.02362</v>
      </c>
      <c r="I10" s="1">
        <f>H10/Fluka!$D$13</f>
        <v>5232412481933.0488</v>
      </c>
      <c r="J10" s="1">
        <f>I10*Fluka!$D$11</f>
        <v>1536.7595459437364</v>
      </c>
      <c r="K10" s="2">
        <f>J10*100/1000</f>
        <v>153.67595459437365</v>
      </c>
      <c r="L10" s="1">
        <f>K10*1000/E10</f>
        <v>0.17075181955739097</v>
      </c>
      <c r="M10" s="1">
        <f>J10/E10</f>
        <v>1.7075181955739096E-3</v>
      </c>
    </row>
    <row r="12" spans="1:27">
      <c r="G12">
        <f>8*H12</f>
        <v>16777216</v>
      </c>
      <c r="H12">
        <f>2^I12</f>
        <v>2097152</v>
      </c>
      <c r="I12">
        <v>21</v>
      </c>
    </row>
    <row r="13" spans="1:27">
      <c r="I13" s="1"/>
      <c r="J13" s="1"/>
      <c r="N13" t="s">
        <v>134</v>
      </c>
      <c r="O13" t="s">
        <v>134</v>
      </c>
    </row>
    <row r="14" spans="1:27">
      <c r="H14" t="s">
        <v>130</v>
      </c>
      <c r="I14" s="1">
        <f>'Beam profile 9-11 april'!F46</f>
        <v>0.45568627450980392</v>
      </c>
      <c r="N14">
        <f>2048*32</f>
        <v>65536</v>
      </c>
      <c r="O14">
        <f>16384*68</f>
        <v>1114112</v>
      </c>
      <c r="P14" t="s">
        <v>135</v>
      </c>
      <c r="Q14" t="s">
        <v>135</v>
      </c>
    </row>
    <row r="15" spans="1:27">
      <c r="A15">
        <v>20140410</v>
      </c>
      <c r="B15" t="s">
        <v>129</v>
      </c>
      <c r="F15" s="1"/>
      <c r="G15" s="1"/>
      <c r="H15" s="1"/>
      <c r="I15" s="1"/>
      <c r="J15" s="1"/>
      <c r="K15" s="2"/>
      <c r="L15" s="1"/>
      <c r="M15" s="1"/>
      <c r="N15" t="s">
        <v>132</v>
      </c>
      <c r="O15" t="s">
        <v>133</v>
      </c>
      <c r="R15" t="s">
        <v>136</v>
      </c>
      <c r="S15" t="s">
        <v>149</v>
      </c>
      <c r="T15" t="s">
        <v>137</v>
      </c>
      <c r="U15" t="s">
        <v>141</v>
      </c>
    </row>
    <row r="16" spans="1:27">
      <c r="D16" t="s">
        <v>138</v>
      </c>
      <c r="E16">
        <v>3743</v>
      </c>
      <c r="F16" s="1">
        <f>E16*$I$14</f>
        <v>1705.6337254901962</v>
      </c>
      <c r="G16" s="1">
        <v>1.1400000000000001E-6</v>
      </c>
      <c r="H16" s="1">
        <f>F16/G16</f>
        <v>1496169934.640523</v>
      </c>
      <c r="I16" s="1">
        <f>H16/Fluka!$D$13</f>
        <v>17462300824.469219</v>
      </c>
      <c r="J16" s="1">
        <f>I16*Fluka!$D$11</f>
        <v>5.1286777521466096</v>
      </c>
      <c r="K16" s="2">
        <f>J16*100/1000</f>
        <v>0.51286777521466087</v>
      </c>
      <c r="L16" s="1">
        <f>K16*1000/E16</f>
        <v>0.1370205116790438</v>
      </c>
      <c r="M16" s="1">
        <f>J16/E16</f>
        <v>1.370205116790438E-3</v>
      </c>
      <c r="N16">
        <v>4</v>
      </c>
      <c r="O16">
        <v>31</v>
      </c>
      <c r="P16" s="1">
        <f>N16/($N$14*H16)</f>
        <v>4.0794267306717808E-14</v>
      </c>
      <c r="Q16" s="1">
        <f>O16/($O$14*H16)</f>
        <v>1.8597386566297822E-14</v>
      </c>
      <c r="R16" s="1"/>
      <c r="S16" s="1"/>
      <c r="T16" s="1"/>
      <c r="U16" s="1"/>
      <c r="V16" t="s">
        <v>131</v>
      </c>
    </row>
    <row r="17" spans="1:23">
      <c r="F17" s="1"/>
      <c r="G17" s="1"/>
      <c r="H17" s="1"/>
      <c r="I17" s="1"/>
      <c r="J17" s="1"/>
      <c r="K17" s="2"/>
      <c r="L17" s="1"/>
      <c r="M17" s="1"/>
    </row>
    <row r="18" spans="1:23">
      <c r="N18" s="1"/>
      <c r="O18" s="1"/>
      <c r="P18" s="1"/>
      <c r="Q18" s="1"/>
      <c r="R18" s="1"/>
      <c r="S18" s="1"/>
      <c r="T18" s="1"/>
      <c r="U18" s="1"/>
    </row>
    <row r="19" spans="1:23">
      <c r="F19" s="1"/>
      <c r="H19" t="s">
        <v>130</v>
      </c>
      <c r="I19" s="1">
        <f>'Beam profile 9-11 april'!F74</f>
        <v>0.4606436603334626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3">
      <c r="A20">
        <v>20140411</v>
      </c>
      <c r="B20" t="s">
        <v>129</v>
      </c>
      <c r="E20">
        <v>7153</v>
      </c>
      <c r="F20" s="1">
        <f>E20*$I$19</f>
        <v>3294.984102365258</v>
      </c>
      <c r="G20" s="1">
        <v>1.1400000000000001E-6</v>
      </c>
      <c r="H20" s="1">
        <f>F20/G20</f>
        <v>2890336931.8993487</v>
      </c>
      <c r="I20" s="1">
        <f>H20/Fluka!$D$13</f>
        <v>33734091175.295853</v>
      </c>
      <c r="J20" s="1">
        <f>I20*Fluka!$D$11</f>
        <v>9.9077025781843915</v>
      </c>
      <c r="K20" s="2">
        <f>J20*100/1000</f>
        <v>0.99077025781843919</v>
      </c>
      <c r="L20" s="1">
        <f>K20*1000/E20</f>
        <v>0.13851115026121055</v>
      </c>
      <c r="M20" s="1">
        <f>J20/E20</f>
        <v>1.3851115026121056E-3</v>
      </c>
      <c r="N20">
        <v>3</v>
      </c>
      <c r="O20">
        <v>59</v>
      </c>
      <c r="P20" s="1">
        <f>N20/($N$14*H20)</f>
        <v>1.5837726973034466E-14</v>
      </c>
      <c r="Q20" s="1">
        <f>O20/($O$14*H20)</f>
        <v>1.8322076302137914E-14</v>
      </c>
      <c r="T20">
        <v>1</v>
      </c>
      <c r="U20" s="1">
        <f>T20/H20</f>
        <v>3.4598042496826228E-10</v>
      </c>
      <c r="V20" t="s">
        <v>139</v>
      </c>
      <c r="W20" t="s">
        <v>140</v>
      </c>
    </row>
    <row r="21" spans="1:23">
      <c r="E21">
        <v>39993</v>
      </c>
      <c r="F21" s="1">
        <f>E21*$I$19</f>
        <v>18422.521907716171</v>
      </c>
      <c r="G21" s="1">
        <v>1.1400000000000001E-6</v>
      </c>
      <c r="H21" s="1">
        <f>F21/G21</f>
        <v>16160106936.59313</v>
      </c>
      <c r="I21" s="1">
        <f>H21/Fluka!$D$13</f>
        <v>188610024936.89459</v>
      </c>
      <c r="J21" s="1">
        <f>I21*Fluka!$D$11</f>
        <v>55.394764323965937</v>
      </c>
      <c r="K21" s="2">
        <f>J21*100/1000</f>
        <v>5.5394764323965937</v>
      </c>
      <c r="L21" s="1">
        <f>K21*1000/E21</f>
        <v>0.13851115026121055</v>
      </c>
      <c r="M21" s="1">
        <f>J21/E21</f>
        <v>1.3851115026121056E-3</v>
      </c>
      <c r="N21">
        <f>10-N20</f>
        <v>7</v>
      </c>
      <c r="O21">
        <f>413-O20</f>
        <v>354</v>
      </c>
      <c r="P21" s="1">
        <f>N21/($N$14*H21)</f>
        <v>6.6095802370982315E-15</v>
      </c>
      <c r="Q21" s="1">
        <f>O21/($O$14*H21)</f>
        <v>1.9662112638090537E-14</v>
      </c>
      <c r="T21">
        <v>5</v>
      </c>
      <c r="U21" s="1">
        <f>T21/H21</f>
        <v>3.0940389315604977E-10</v>
      </c>
    </row>
    <row r="22" spans="1:23">
      <c r="D22">
        <v>982</v>
      </c>
      <c r="E22">
        <v>56603</v>
      </c>
      <c r="F22" s="1">
        <f>E22*$I$19</f>
        <v>26073.813105854984</v>
      </c>
      <c r="G22" s="1">
        <v>1.1400000000000001E-6</v>
      </c>
      <c r="H22" s="1">
        <f>F22/G22</f>
        <v>22871765882.32893</v>
      </c>
      <c r="I22" s="1">
        <f>H22/Fluka!$D$13</f>
        <v>266944046245.6691</v>
      </c>
      <c r="J22" s="1">
        <f>I22*Fluka!$D$11</f>
        <v>78.401466382353007</v>
      </c>
      <c r="K22" s="2">
        <f>J22*100/1000</f>
        <v>7.8401466382353009</v>
      </c>
      <c r="L22" s="1">
        <f>K22*1000/E22</f>
        <v>0.13851115026121055</v>
      </c>
      <c r="M22" s="1">
        <f>J22/E22</f>
        <v>1.3851115026121054E-3</v>
      </c>
      <c r="N22">
        <v>11</v>
      </c>
      <c r="O22">
        <v>516</v>
      </c>
      <c r="P22" s="1">
        <f>N22/($N$14*H22)</f>
        <v>7.3385973147434524E-15</v>
      </c>
      <c r="Q22" s="1">
        <f>O22/($O$14*H22)</f>
        <v>2.0249819328383004E-14</v>
      </c>
      <c r="T22">
        <v>2</v>
      </c>
      <c r="U22" s="1">
        <f>T22/H22</f>
        <v>8.7444057021641261E-11</v>
      </c>
    </row>
    <row r="23" spans="1:23">
      <c r="E23">
        <v>168270</v>
      </c>
      <c r="F23" s="1">
        <f>E23*$I$19</f>
        <v>77512.508724311745</v>
      </c>
      <c r="G23" s="1">
        <v>1.1400000000000001E-6</v>
      </c>
      <c r="H23" s="1">
        <f>F23/G23</f>
        <v>67993428705.536613</v>
      </c>
      <c r="I23" s="1">
        <f>H23/Fluka!$D$13</f>
        <v>793574097870.40857</v>
      </c>
      <c r="J23" s="1">
        <f>I23*Fluka!$D$11</f>
        <v>233.07271254453897</v>
      </c>
      <c r="K23" s="2">
        <f>J23*100/1000</f>
        <v>23.307271254453898</v>
      </c>
      <c r="L23" s="1">
        <f>K23*1000/E23</f>
        <v>0.13851115026121055</v>
      </c>
      <c r="M23" s="1">
        <f>J23/E23</f>
        <v>1.3851115026121054E-3</v>
      </c>
      <c r="N23">
        <v>49</v>
      </c>
      <c r="O23">
        <v>1526</v>
      </c>
      <c r="P23" s="1">
        <f>N23/($N$14*H23)</f>
        <v>1.0996366535662253E-14</v>
      </c>
      <c r="Q23" s="1">
        <f>O23/($O$14*H23)</f>
        <v>2.014460424180144E-14</v>
      </c>
      <c r="T23">
        <v>12</v>
      </c>
      <c r="U23" s="1">
        <f>T23/H23</f>
        <v>1.7648764341579463E-10</v>
      </c>
      <c r="V23" t="s">
        <v>144</v>
      </c>
      <c r="W23" t="s">
        <v>145</v>
      </c>
    </row>
    <row r="24" spans="1:23">
      <c r="F24" s="1"/>
      <c r="G24" s="1"/>
      <c r="H24" s="1"/>
      <c r="I24" s="1"/>
      <c r="J24" s="1"/>
      <c r="K24" s="2"/>
      <c r="L24" s="1"/>
      <c r="M24" s="1"/>
      <c r="V24" t="s">
        <v>142</v>
      </c>
    </row>
    <row r="25" spans="1:23">
      <c r="F25" s="1"/>
      <c r="G25" s="1"/>
      <c r="H25" s="1"/>
      <c r="I25" s="1"/>
      <c r="J25" s="1"/>
      <c r="K25" s="2"/>
      <c r="L25" s="1"/>
      <c r="M25" s="1"/>
      <c r="V25" t="s">
        <v>143</v>
      </c>
    </row>
    <row r="26" spans="1:23">
      <c r="F26" s="1"/>
      <c r="G26" s="1"/>
      <c r="H26" s="1"/>
      <c r="I26" s="1"/>
      <c r="J26" s="1"/>
      <c r="K26" s="2"/>
      <c r="L26" s="1"/>
      <c r="M26" s="1"/>
      <c r="V26" t="s">
        <v>146</v>
      </c>
    </row>
    <row r="27" spans="1:23">
      <c r="V27" t="s">
        <v>147</v>
      </c>
    </row>
    <row r="28" spans="1:23">
      <c r="L28" s="1"/>
      <c r="V28" t="s">
        <v>148</v>
      </c>
    </row>
    <row r="29" spans="1:23">
      <c r="D29">
        <v>675</v>
      </c>
      <c r="E29">
        <v>62730</v>
      </c>
      <c r="F29" s="1">
        <f>E29*$I$19</f>
        <v>28896.176812718109</v>
      </c>
      <c r="G29" s="1">
        <v>1.1400000000000001E-6</v>
      </c>
      <c r="H29" s="1">
        <f>F29/G29</f>
        <v>25347523519.928165</v>
      </c>
      <c r="I29" s="1">
        <f>H29/Fluka!$D$13</f>
        <v>295839443509.89923</v>
      </c>
      <c r="J29" s="1">
        <f>I29*Fluka!$D$11</f>
        <v>86.888044558857402</v>
      </c>
      <c r="K29" s="2">
        <f>J29*100/1000</f>
        <v>8.6888044558857409</v>
      </c>
      <c r="L29" s="1">
        <f>K29*1000/E29</f>
        <v>0.13851115026121058</v>
      </c>
      <c r="M29" s="1">
        <f>J29/E29</f>
        <v>1.3851115026121059E-3</v>
      </c>
      <c r="N29">
        <v>24</v>
      </c>
      <c r="O29">
        <v>511</v>
      </c>
      <c r="P29" s="1">
        <f>N29/($N$14*H29)</f>
        <v>1.4447602236647922E-14</v>
      </c>
      <c r="Q29" s="1">
        <f>O29/($O$14*H29)</f>
        <v>1.8094913585605608E-14</v>
      </c>
      <c r="R29">
        <v>4</v>
      </c>
      <c r="S29" s="19">
        <f>R29/(8000*H29)</f>
        <v>1.9725792920436633E-14</v>
      </c>
      <c r="T29">
        <v>5</v>
      </c>
      <c r="U29" s="1">
        <f>T29/H29</f>
        <v>1.972579292043663E-10</v>
      </c>
      <c r="V29" t="s">
        <v>150</v>
      </c>
    </row>
    <row r="30" spans="1:23">
      <c r="V30" t="s">
        <v>151</v>
      </c>
    </row>
    <row r="31" spans="1:23">
      <c r="G31" t="s">
        <v>152</v>
      </c>
      <c r="H31" s="1">
        <f>SUM(H20:H29)</f>
        <v>135263161976.28619</v>
      </c>
      <c r="I31" s="1"/>
      <c r="J31" s="1"/>
      <c r="K31" s="2">
        <f>SUM(K20:K29)</f>
        <v>46.366469038789973</v>
      </c>
      <c r="N31" s="2">
        <f>SUM(N20:N29)</f>
        <v>94</v>
      </c>
      <c r="O31" s="2">
        <f>SUM(O20:O29)</f>
        <v>2966</v>
      </c>
      <c r="P31" s="19">
        <f>N31/($N$14*H31)</f>
        <v>1.0603967487662756E-14</v>
      </c>
      <c r="Q31" s="19">
        <f>O31/($O$14*H31)</f>
        <v>1.9681706863834627E-14</v>
      </c>
      <c r="R31" s="2"/>
      <c r="S31" s="19"/>
      <c r="T31" s="2">
        <f>SUM(T20:T29)</f>
        <v>25</v>
      </c>
      <c r="U31" s="19">
        <f>T31/H31</f>
        <v>1.8482489714666661E-10</v>
      </c>
    </row>
    <row r="32" spans="1:23">
      <c r="F32" s="1"/>
      <c r="G32" s="1"/>
    </row>
    <row r="33" spans="7:20">
      <c r="G33" s="1"/>
      <c r="H33" s="1"/>
    </row>
    <row r="34" spans="7:20">
      <c r="G34" s="1"/>
      <c r="H34" s="1"/>
    </row>
    <row r="35" spans="7:20">
      <c r="T35" s="1">
        <f>U29/2</f>
        <v>9.8628964602183152E-11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E5:F6"/>
  <sheetViews>
    <sheetView workbookViewId="0">
      <selection activeCell="G38" sqref="G38"/>
    </sheetView>
  </sheetViews>
  <sheetFormatPr defaultColWidth="11" defaultRowHeight="15.75"/>
  <sheetData>
    <row r="5" spans="5:6">
      <c r="E5" t="s">
        <v>115</v>
      </c>
      <c r="F5" s="1">
        <v>8000000</v>
      </c>
    </row>
    <row r="6" spans="5:6">
      <c r="E6" t="s">
        <v>116</v>
      </c>
      <c r="F6" s="1">
        <v>16000000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 profile 14-15 nov</vt:lpstr>
      <vt:lpstr>Beamtest 15 nov</vt:lpstr>
      <vt:lpstr>Fluka</vt:lpstr>
      <vt:lpstr>Beam profile 27-28 nov</vt:lpstr>
      <vt:lpstr>Beamtest 27 nov</vt:lpstr>
      <vt:lpstr>Beam profile 9-11 april</vt:lpstr>
      <vt:lpstr>Beamtest 9 april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Ketil</dc:creator>
  <cp:lastModifiedBy>Inge Nikolai</cp:lastModifiedBy>
  <dcterms:created xsi:type="dcterms:W3CDTF">2013-11-14T13:49:56Z</dcterms:created>
  <dcterms:modified xsi:type="dcterms:W3CDTF">2014-05-14T11:42:18Z</dcterms:modified>
</cp:coreProperties>
</file>