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040" yWindow="2000" windowWidth="21880" windowHeight="12500" tabRatio="500" activeTab="1"/>
  </bookViews>
  <sheets>
    <sheet name="Preliminary results" sheetId="1" r:id="rId1"/>
    <sheet name="Sheet1" sheetId="2" r:id="rId2"/>
    <sheet name="Sheet2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9" i="2" l="1"/>
  <c r="O38" i="2"/>
  <c r="O37" i="2"/>
  <c r="O36" i="2"/>
  <c r="O32" i="2"/>
  <c r="O31" i="2"/>
  <c r="O30" i="2"/>
  <c r="O29" i="2"/>
  <c r="H76" i="2"/>
  <c r="J76" i="2"/>
  <c r="L72" i="2"/>
  <c r="M72" i="2"/>
  <c r="I63" i="2"/>
  <c r="L63" i="2"/>
  <c r="J63" i="2"/>
  <c r="I62" i="2"/>
  <c r="L62" i="2"/>
  <c r="F62" i="2"/>
  <c r="J62" i="2"/>
  <c r="I61" i="2"/>
  <c r="L61" i="2"/>
  <c r="F61" i="2"/>
  <c r="J61" i="2"/>
  <c r="U56" i="2"/>
  <c r="S56" i="2"/>
  <c r="I56" i="2"/>
  <c r="L56" i="2"/>
  <c r="F56" i="2"/>
  <c r="J56" i="2"/>
  <c r="U55" i="2"/>
  <c r="S55" i="2"/>
  <c r="I55" i="2"/>
  <c r="L55" i="2"/>
  <c r="F55" i="2"/>
  <c r="J55" i="2"/>
  <c r="U54" i="2"/>
  <c r="S54" i="2"/>
  <c r="I54" i="2"/>
  <c r="L54" i="2"/>
  <c r="F54" i="2"/>
  <c r="J54" i="2"/>
  <c r="S53" i="2"/>
  <c r="U53" i="2"/>
  <c r="I53" i="2"/>
  <c r="L53" i="2"/>
  <c r="F53" i="2"/>
  <c r="J53" i="2"/>
  <c r="F44" i="2"/>
  <c r="I44" i="2"/>
  <c r="O44" i="2"/>
  <c r="L44" i="2"/>
  <c r="J44" i="2"/>
  <c r="O43" i="2"/>
  <c r="I43" i="2"/>
  <c r="L43" i="2"/>
  <c r="F43" i="2"/>
  <c r="J43" i="2"/>
  <c r="O42" i="2"/>
  <c r="O15" i="2"/>
  <c r="O18" i="2"/>
  <c r="O20" i="2"/>
  <c r="O19" i="2"/>
  <c r="I42" i="2"/>
  <c r="L42" i="2"/>
  <c r="F42" i="2"/>
  <c r="J42" i="2"/>
  <c r="I39" i="2"/>
  <c r="L39" i="2"/>
  <c r="F39" i="2"/>
  <c r="J39" i="2"/>
  <c r="I38" i="2"/>
  <c r="L38" i="2"/>
  <c r="F38" i="2"/>
  <c r="J38" i="2"/>
  <c r="I37" i="2"/>
  <c r="L37" i="2"/>
  <c r="F37" i="2"/>
  <c r="J37" i="2"/>
  <c r="I36" i="2"/>
  <c r="L36" i="2"/>
  <c r="F36" i="2"/>
  <c r="J36" i="2"/>
  <c r="I32" i="2"/>
  <c r="L32" i="2"/>
  <c r="F32" i="2"/>
  <c r="J32" i="2"/>
  <c r="I31" i="2"/>
  <c r="L31" i="2"/>
  <c r="F31" i="2"/>
  <c r="J31" i="2"/>
  <c r="I30" i="2"/>
  <c r="L30" i="2"/>
  <c r="F30" i="2"/>
  <c r="J30" i="2"/>
  <c r="I29" i="2"/>
  <c r="L29" i="2"/>
  <c r="F29" i="2"/>
  <c r="J29" i="2"/>
  <c r="I24" i="2"/>
  <c r="L24" i="2"/>
  <c r="J24" i="2"/>
  <c r="F24" i="2"/>
  <c r="I23" i="2"/>
  <c r="L23" i="2"/>
  <c r="J23" i="2"/>
  <c r="F23" i="2"/>
  <c r="I22" i="2"/>
  <c r="L22" i="2"/>
  <c r="F22" i="2"/>
  <c r="J22" i="2"/>
  <c r="L20" i="2"/>
  <c r="I20" i="2"/>
  <c r="J20" i="2"/>
  <c r="F20" i="2"/>
  <c r="I19" i="2"/>
  <c r="L19" i="2"/>
  <c r="J19" i="2"/>
  <c r="F19" i="2"/>
  <c r="F18" i="2"/>
  <c r="I18" i="2"/>
  <c r="L18" i="2"/>
  <c r="J18" i="2"/>
  <c r="I17" i="2"/>
  <c r="L17" i="2"/>
  <c r="F17" i="2"/>
  <c r="J17" i="2"/>
  <c r="I16" i="2"/>
  <c r="L16" i="2"/>
  <c r="J16" i="2"/>
  <c r="F15" i="2"/>
  <c r="I15" i="2"/>
  <c r="L15" i="2"/>
  <c r="J15" i="2"/>
  <c r="I14" i="2"/>
  <c r="L14" i="2"/>
  <c r="J14" i="2"/>
  <c r="F14" i="2"/>
  <c r="I13" i="2"/>
  <c r="L13" i="2"/>
  <c r="J13" i="2"/>
  <c r="F13" i="2"/>
  <c r="G70" i="1"/>
  <c r="T9" i="1"/>
  <c r="T8" i="1"/>
  <c r="T7" i="1"/>
  <c r="T6" i="1"/>
  <c r="T5" i="1"/>
  <c r="T4" i="1"/>
  <c r="T3" i="1"/>
  <c r="R3" i="1"/>
  <c r="R4" i="1"/>
  <c r="R5" i="1"/>
  <c r="R6" i="1"/>
  <c r="R7" i="1"/>
  <c r="R8" i="1"/>
  <c r="R9" i="1"/>
  <c r="I3" i="1"/>
  <c r="I4" i="1"/>
  <c r="I5" i="1"/>
  <c r="I6" i="1"/>
  <c r="I7" i="1"/>
  <c r="I8" i="1"/>
  <c r="C12" i="3"/>
  <c r="I9" i="1"/>
  <c r="I10" i="2"/>
  <c r="L10" i="2"/>
  <c r="F10" i="2"/>
  <c r="J10" i="2"/>
  <c r="I9" i="2"/>
  <c r="L9" i="2"/>
  <c r="J9" i="2"/>
  <c r="F9" i="2"/>
  <c r="L3" i="2"/>
  <c r="L4" i="2"/>
  <c r="L5" i="2"/>
  <c r="L6" i="2"/>
  <c r="L7" i="2"/>
  <c r="L8" i="2"/>
  <c r="I8" i="2"/>
  <c r="J8" i="2"/>
  <c r="F8" i="2"/>
  <c r="I7" i="2"/>
  <c r="J7" i="2"/>
  <c r="F7" i="2"/>
  <c r="I6" i="2"/>
  <c r="J6" i="2"/>
  <c r="F6" i="2"/>
  <c r="J5" i="2"/>
  <c r="I5" i="2"/>
  <c r="F5" i="2"/>
  <c r="J4" i="2"/>
  <c r="J3" i="2"/>
  <c r="F4" i="2"/>
  <c r="F3" i="2"/>
  <c r="I4" i="2"/>
  <c r="G3" i="1"/>
  <c r="E9" i="1"/>
  <c r="G9" i="1"/>
  <c r="H9" i="1"/>
  <c r="D58" i="1"/>
  <c r="D53" i="1"/>
  <c r="D59" i="1"/>
  <c r="D60" i="1"/>
  <c r="I3" i="2"/>
  <c r="D43" i="1"/>
  <c r="D42" i="1"/>
  <c r="D54" i="1"/>
  <c r="D45" i="1"/>
  <c r="D48" i="1"/>
  <c r="J3" i="1"/>
  <c r="M3" i="1"/>
  <c r="N3" i="1"/>
  <c r="M4" i="1"/>
  <c r="N4" i="1"/>
  <c r="S9" i="1"/>
  <c r="R12" i="1"/>
  <c r="F20" i="1"/>
  <c r="F21" i="1"/>
  <c r="F22" i="1"/>
  <c r="U9" i="1"/>
  <c r="E8" i="1"/>
  <c r="G8" i="1"/>
  <c r="H8" i="1"/>
  <c r="C22" i="1"/>
  <c r="D22" i="1"/>
  <c r="E22" i="1"/>
  <c r="G22" i="1"/>
  <c r="J22" i="1"/>
  <c r="D21" i="1"/>
  <c r="E21" i="1"/>
  <c r="G21" i="1"/>
  <c r="J21" i="1"/>
  <c r="D20" i="1"/>
  <c r="G20" i="1"/>
  <c r="J20" i="1"/>
  <c r="D19" i="1"/>
  <c r="G19" i="1"/>
  <c r="J19" i="1"/>
  <c r="H22" i="1"/>
  <c r="H21" i="1"/>
  <c r="H20" i="1"/>
  <c r="H19" i="1"/>
  <c r="U8" i="1"/>
  <c r="E7" i="1"/>
  <c r="G7" i="1"/>
  <c r="H7" i="1"/>
  <c r="U7" i="1"/>
  <c r="E6" i="1"/>
  <c r="G6" i="1"/>
  <c r="H6" i="1"/>
  <c r="U6" i="1"/>
  <c r="E5" i="1"/>
  <c r="G5" i="1"/>
  <c r="H5" i="1"/>
  <c r="U5" i="1"/>
  <c r="E4" i="1"/>
  <c r="G4" i="1"/>
  <c r="H4" i="1"/>
  <c r="U4" i="1"/>
  <c r="H3" i="1"/>
  <c r="U3" i="1"/>
  <c r="S8" i="1"/>
  <c r="S7" i="1"/>
  <c r="S6" i="1"/>
  <c r="S5" i="1"/>
  <c r="S4" i="1"/>
  <c r="S3" i="1"/>
  <c r="F3" i="1"/>
  <c r="F4" i="1"/>
  <c r="F5" i="1"/>
  <c r="F6" i="1"/>
  <c r="F7" i="1"/>
  <c r="F8" i="1"/>
  <c r="F9" i="1"/>
  <c r="E3" i="1"/>
  <c r="P8" i="1"/>
  <c r="L8" i="1"/>
  <c r="Q8" i="1"/>
  <c r="P7" i="1"/>
  <c r="L7" i="1"/>
  <c r="Q7" i="1"/>
  <c r="P6" i="1"/>
  <c r="Q6" i="1"/>
  <c r="P5" i="1"/>
  <c r="Q5" i="1"/>
  <c r="P4" i="1"/>
  <c r="Q4" i="1"/>
  <c r="P3" i="1"/>
  <c r="Q3" i="1"/>
  <c r="M8" i="1"/>
  <c r="N8" i="1"/>
  <c r="M7" i="1"/>
  <c r="N7" i="1"/>
  <c r="M6" i="1"/>
  <c r="N6" i="1"/>
  <c r="M5" i="1"/>
  <c r="N5" i="1"/>
</calcChain>
</file>

<file path=xl/sharedStrings.xml><?xml version="1.0" encoding="utf-8"?>
<sst xmlns="http://schemas.openxmlformats.org/spreadsheetml/2006/main" count="210" uniqueCount="184">
  <si>
    <t>PLL</t>
  </si>
  <si>
    <t>CS</t>
  </si>
  <si>
    <t>FF</t>
  </si>
  <si>
    <t>PLL-OCL</t>
  </si>
  <si>
    <t>FF-Praha</t>
  </si>
  <si>
    <t>Beam Energy</t>
  </si>
  <si>
    <t>/pll</t>
  </si>
  <si>
    <t>PLL-Tullio Grassi</t>
  </si>
  <si>
    <t>/bit</t>
  </si>
  <si>
    <t>uSRAM-OCL</t>
  </si>
  <si>
    <t>lSRAM-OCL</t>
  </si>
  <si>
    <t>Flux Max</t>
  </si>
  <si>
    <t>Flux min</t>
  </si>
  <si>
    <t>MTBF [s]</t>
  </si>
  <si>
    <t>Rate Max [SEU/s/bit or PLL]</t>
  </si>
  <si>
    <t>No Bits/FF/PLL</t>
  </si>
  <si>
    <t>LET [MeV cm2/g)</t>
  </si>
  <si>
    <t>TSL</t>
  </si>
  <si>
    <t>Ratio</t>
  </si>
  <si>
    <t>MeV/mm</t>
  </si>
  <si>
    <t>Ca Dose/p [Gy]</t>
  </si>
  <si>
    <t>Ca Dose/p [rad]</t>
  </si>
  <si>
    <t>Max dose [krad/min]</t>
  </si>
  <si>
    <t>Min dose [krad/min]</t>
  </si>
  <si>
    <t>#SEU</t>
  </si>
  <si>
    <t>uSRAM</t>
  </si>
  <si>
    <t>lSRAM</t>
  </si>
  <si>
    <t>CS/bit or PLL</t>
  </si>
  <si>
    <t>Bit</t>
  </si>
  <si>
    <t>Flux</t>
  </si>
  <si>
    <t>Time [s]</t>
  </si>
  <si>
    <t>Time [h]</t>
  </si>
  <si>
    <t>Dose kRad</t>
  </si>
  <si>
    <t>Max dose in 24 hrs</t>
  </si>
  <si>
    <t>22 MeV</t>
  </si>
  <si>
    <t>37 MeV</t>
  </si>
  <si>
    <t>230 MeV</t>
  </si>
  <si>
    <t>Assuming some increase in CS due to energy will also decrease the total dose.</t>
  </si>
  <si>
    <t>FF Design</t>
  </si>
  <si>
    <t>inv/Freq</t>
  </si>
  <si>
    <t>Max dose rate [krad/h]</t>
  </si>
  <si>
    <t>Min dose rate [krad/h]</t>
  </si>
  <si>
    <t>Calibration</t>
  </si>
  <si>
    <t>sec</t>
  </si>
  <si>
    <t>Dose</t>
  </si>
  <si>
    <t>Dose [rad]</t>
  </si>
  <si>
    <t>hours</t>
  </si>
  <si>
    <t>Run status</t>
  </si>
  <si>
    <t>fluence</t>
  </si>
  <si>
    <t>cnt 10</t>
  </si>
  <si>
    <t>Target error</t>
  </si>
  <si>
    <t>Time to target</t>
  </si>
  <si>
    <t>s</t>
  </si>
  <si>
    <t>hr</t>
  </si>
  <si>
    <t>Date</t>
  </si>
  <si>
    <t>start</t>
  </si>
  <si>
    <t>stop</t>
  </si>
  <si>
    <t>cnt10</t>
  </si>
  <si>
    <t>Comment</t>
  </si>
  <si>
    <t>Beam not on for the first 220 sec</t>
  </si>
  <si>
    <t>Fluence</t>
  </si>
  <si>
    <t>Dose rad/p</t>
  </si>
  <si>
    <t>Dose krad</t>
  </si>
  <si>
    <t>Target dose</t>
  </si>
  <si>
    <t>Dose/s</t>
  </si>
  <si>
    <t>rad</t>
  </si>
  <si>
    <t>Beam Hz</t>
  </si>
  <si>
    <t>Increase beam by x50</t>
  </si>
  <si>
    <t>cnt12 (100Hz)</t>
  </si>
  <si>
    <t>Total</t>
  </si>
  <si>
    <t>03:46 link down</t>
  </si>
  <si>
    <t>log file</t>
  </si>
  <si>
    <t>20140507-0245-rcu2-serdes-r1.txt</t>
  </si>
  <si>
    <t>20140507-0325-rcu2-serdes-r2.txt</t>
  </si>
  <si>
    <t>20140507-0344-rcu2-serdes-r3.txt</t>
  </si>
  <si>
    <t>Beam after roughly 10 seconds after pressing bean enable</t>
  </si>
  <si>
    <t>20140507-0400-rcu2-serdes-r4.txt</t>
  </si>
  <si>
    <t>0407 bit error,0412 bit error,0414 link down stop run</t>
  </si>
  <si>
    <t>20140507-0420-rcu2-serdes-r5.txt</t>
  </si>
  <si>
    <t>Beam on after 15 s, turned of to increase resolution of Voltage</t>
  </si>
  <si>
    <t>20140507-0426-rcu2-serdes-r6.txt</t>
  </si>
  <si>
    <t>Beam on after 9 sec,turned off to increase threshold again</t>
  </si>
  <si>
    <t>sum</t>
  </si>
  <si>
    <t>4:38 bit error,4:45 high jump and reset of counter, lost connection to computer, stopped beam</t>
  </si>
  <si>
    <t>20140507-0438-rcu2-serdes-r7.txt</t>
  </si>
  <si>
    <t>Beam on after 16 s, after this run the 1V2 is at 1.5mV after repower of rcu2 but down again to 1.45mV after some seconds</t>
  </si>
  <si>
    <t>Moved beam to optical link, beam on after 8 s</t>
  </si>
  <si>
    <t>05:12 bit error with loss of link afterwards, repowered and link is up. 05:!2 link down repowerd link up, 05:15 bit error, 05:16 link down and up again automatically followed ,by bit error and a reset of counter, 05:19 link down -&gt; repower -&gt; reset counter, 05:22 link down-&gt; repower-&gt;link up,05:20 no errors for a long while -&gt; repower board, 05:43 bit error noticed, 05:56 stopped beam (noticed that pc in hall runs on battery</t>
  </si>
  <si>
    <t>20140507-0510-rcu2-optical-r8.txt</t>
  </si>
  <si>
    <t>cycles</t>
  </si>
  <si>
    <t>length</t>
  </si>
  <si>
    <t>frequency</t>
  </si>
  <si>
    <t>period</t>
  </si>
  <si>
    <t>Time readout</t>
  </si>
  <si>
    <t>J</t>
  </si>
  <si>
    <t>eV</t>
  </si>
  <si>
    <t>Conv</t>
  </si>
  <si>
    <t>LET</t>
  </si>
  <si>
    <t>fluka</t>
  </si>
  <si>
    <t>calc</t>
  </si>
  <si>
    <t>Dose /p rad</t>
  </si>
  <si>
    <t>dE/dx * flux</t>
  </si>
  <si>
    <t>=</t>
  </si>
  <si>
    <t>(MeVcm2/mg)*cm2</t>
  </si>
  <si>
    <t>Dose(krad)</t>
  </si>
  <si>
    <t>1,6e-19*1e6*100/(1e-6*1000)</t>
  </si>
  <si>
    <t>*LET</t>
  </si>
  <si>
    <t>Beam on after 15s, we stopped the beam as the gui did no longer read values</t>
  </si>
  <si>
    <t>First run with trigger, beam on after 10 s, beam stopped due to problems on line</t>
  </si>
  <si>
    <t>Repowerd after &gt;220s as no contact with, repowered everytime we lost connection. Keep one continous log file. 10:40 stopped run when shifting to beam therapy</t>
  </si>
  <si>
    <t>20140508-0952-rcu2-trigger-r1.txt</t>
  </si>
  <si>
    <t>20140508-0956-rcu2-trigger-r2.txt</t>
  </si>
  <si>
    <t>20140508-1009-rcu2-trigger-r3.txt</t>
  </si>
  <si>
    <t>RCU2 comment</t>
  </si>
  <si>
    <t>Some fluence received in the process of switching to therapy. Problem with the beam controlling program.</t>
  </si>
  <si>
    <t>1s trigger rate</t>
  </si>
  <si>
    <t xml:space="preserve">Repowered in the beginning(probably forgot from end of previous run, 10:38 switch to teraphy keep running, </t>
  </si>
  <si>
    <t>1s trigger rate, 11:50 high increase in pll counting-&gt;repowerd to fix this problem,</t>
  </si>
  <si>
    <t>We reset the beam counters during proton therapy so added a new line (same log files),12:20 stopped to increase trigger rate</t>
  </si>
  <si>
    <t>20140508-1134-rcu2-trigger-r4.txt</t>
  </si>
  <si>
    <t>1ms trigger rate,12:25 possible bananas tigger counters -&gt; repower</t>
  </si>
  <si>
    <t>20140508-1221-rcu2-trigger-r5.txt</t>
  </si>
  <si>
    <t xml:space="preserve">0.1ms trigger </t>
  </si>
  <si>
    <t>stopped run at 12:59 to change trigger rate (also take lunch as proton therapy starts)</t>
  </si>
  <si>
    <t>20140508-1345-rcu2-trigger-r6.txt</t>
  </si>
  <si>
    <t>beam start after 30 s, stopped beam to reposition to optical link</t>
  </si>
  <si>
    <t>Probably run for ~5min with beam but without logging due to software problem when switching to therapy. Estimated additional dose ~0,5kRads</t>
  </si>
  <si>
    <t>Beam available after ~50 s in current log file., 14:47 shift beam to p therapy,15:05 beam back in blue hall ,</t>
  </si>
  <si>
    <t>20140508-1445-rcu2-ttc-r1.txt</t>
  </si>
  <si>
    <t>1ms trigger rate, new trigger rate to see if hamming errors increase.</t>
  </si>
  <si>
    <t>200hz tigger rate</t>
  </si>
  <si>
    <t>20140508-1515-rcu2-ttc-r2.txt</t>
  </si>
  <si>
    <t>15:50 repowered due to decrease updating frequency in the software gui-&gt; back to normal frequency after repowering.</t>
  </si>
  <si>
    <t>20140508-1533-rcu2-ttc-r3.txt</t>
  </si>
  <si>
    <t>beam on after 17 s,stopped to fix resetting of counters.</t>
  </si>
  <si>
    <t>19:29 reset after lots of errors in sram,19:32 current decrease-&gt;labview no function-&gt; repower,19:54 stopped to increase beam intensity (also added delay after repowering to see if this helps for the resetting of the plls)</t>
  </si>
  <si>
    <t>20:17 stopped to increase frequency</t>
  </si>
  <si>
    <t>20:38 stopped beam due to problems with current</t>
  </si>
  <si>
    <t>Starterkit 1</t>
  </si>
  <si>
    <t>Starterkit 2</t>
  </si>
  <si>
    <t>L2500 inv0 f160</t>
  </si>
  <si>
    <t>Change resistors to 0x025</t>
  </si>
  <si>
    <t>Beam stopped due to problemes with current -&gt; needed to go into the hall and repower.</t>
  </si>
  <si>
    <t>l2500 inv4 f80</t>
  </si>
  <si>
    <t>l2500 inv4 f40</t>
  </si>
  <si>
    <t>Stopped again due to problems with resetting power -&gt; acces to see if reg enable is proberly connected., forgot to solder pin</t>
  </si>
  <si>
    <t>Stopped beam due to problems with current, access to repower</t>
  </si>
  <si>
    <t>23:25 Changed to 80MHz after 943 s 23:37 changed to 40Mhz after 1671s,23:48 stopped beam for the night</t>
  </si>
  <si>
    <t>run different frequencies</t>
  </si>
  <si>
    <t>Beam on after 25 s in log file, stopped beam for proton therapy</t>
  </si>
  <si>
    <t>1khz, triggers are not working</t>
  </si>
  <si>
    <t>SEL</t>
  </si>
  <si>
    <t>11:02 current decreased to 1.7mV do not know why, 11:18 repowering seems to bring the current down to 2.9mV only and not 2mV. 11:22 problems repowering could be software catching of character,</t>
  </si>
  <si>
    <t>ESA</t>
  </si>
  <si>
    <t>Bits</t>
  </si>
  <si>
    <t>DIE0</t>
  </si>
  <si>
    <t>Die1</t>
  </si>
  <si>
    <t>Die2</t>
  </si>
  <si>
    <t>Die3</t>
  </si>
  <si>
    <t>20140409-tsl-r1.csv</t>
  </si>
  <si>
    <t>20140409-tsl-r2.csv</t>
  </si>
  <si>
    <t>20140409-tsl-r3.csv</t>
  </si>
  <si>
    <t>20140409-tsl-r4.csv</t>
  </si>
  <si>
    <t>Sk ES dose test</t>
  </si>
  <si>
    <t>Reprogramming at start Ok</t>
  </si>
  <si>
    <t>15:06: switchig to therapy,programming OK</t>
  </si>
  <si>
    <t>One failed programming, two failed programming, DONE!</t>
  </si>
  <si>
    <t xml:space="preserve"> </t>
  </si>
  <si>
    <t>20140-1912-sk-r1.txt</t>
  </si>
  <si>
    <t>20140-1924-sk-r2.txt</t>
  </si>
  <si>
    <t>20140-1956-sk-r3.txt</t>
  </si>
  <si>
    <t>20140-2020-sk-r4.txt</t>
  </si>
  <si>
    <t>20140-2215-sk2-r1.txt</t>
  </si>
  <si>
    <t>20140-2223-sk2-r2.txt</t>
  </si>
  <si>
    <t>20140-2250-sk2-r3.txt</t>
  </si>
  <si>
    <t>20140509-0950-trigger-r7.txt</t>
  </si>
  <si>
    <t>20140509-1035-trigger-r8.txt</t>
  </si>
  <si>
    <t>20140509-1100-trigger-r9.txt</t>
  </si>
  <si>
    <t>20140509-skdosetest-r1.txt</t>
  </si>
  <si>
    <t>20140-2308-sk2-r4.txt</t>
  </si>
  <si>
    <t>10 Hz</t>
  </si>
  <si>
    <t>40 Hz</t>
  </si>
  <si>
    <t>20 Hz</t>
  </si>
  <si>
    <t>RCU Trigger with lower resistor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</si>
</sst>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4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2" fontId="3" fillId="2" borderId="0" xfId="0" applyNumberFormat="1" applyFont="1" applyFill="1"/>
    <xf numFmtId="0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11" fontId="3" fillId="0" borderId="0" xfId="0" applyNumberFormat="1" applyFont="1"/>
    <xf numFmtId="11" fontId="0" fillId="0" borderId="0" xfId="0" applyNumberFormat="1" applyFont="1"/>
    <xf numFmtId="11" fontId="0" fillId="3" borderId="0" xfId="0" applyNumberFormat="1" applyFill="1"/>
    <xf numFmtId="0" fontId="0" fillId="3" borderId="0" xfId="0" applyFill="1"/>
    <xf numFmtId="2" fontId="0" fillId="3" borderId="0" xfId="0" applyNumberFormat="1" applyFill="1"/>
  </cellXfs>
  <cellStyles count="4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1"/>
  <sheetViews>
    <sheetView showRuler="0" topLeftCell="A52" zoomScale="85" zoomScaleNormal="85" zoomScalePageLayoutView="85" workbookViewId="0">
      <selection activeCell="H70" sqref="H70"/>
    </sheetView>
  </sheetViews>
  <sheetFormatPr baseColWidth="10" defaultRowHeight="15" x14ac:dyDescent="0"/>
  <cols>
    <col min="2" max="2" width="14.33203125" bestFit="1" customWidth="1"/>
    <col min="4" max="4" width="15.1640625" bestFit="1" customWidth="1"/>
    <col min="5" max="5" width="15.1640625" customWidth="1"/>
    <col min="7" max="7" width="13.5" bestFit="1" customWidth="1"/>
    <col min="8" max="9" width="13.5" customWidth="1"/>
    <col min="10" max="10" width="14" bestFit="1" customWidth="1"/>
    <col min="11" max="11" width="13" bestFit="1" customWidth="1"/>
    <col min="12" max="12" width="13.1640625" bestFit="1" customWidth="1"/>
    <col min="13" max="13" width="23.6640625" bestFit="1" customWidth="1"/>
    <col min="14" max="14" width="9.83203125" bestFit="1" customWidth="1"/>
    <col min="16" max="16" width="23.6640625" bestFit="1" customWidth="1"/>
    <col min="17" max="17" width="23.33203125" bestFit="1" customWidth="1"/>
    <col min="18" max="19" width="18.33203125" bestFit="1" customWidth="1"/>
    <col min="20" max="21" width="18" bestFit="1" customWidth="1"/>
  </cols>
  <sheetData>
    <row r="1" spans="2:21">
      <c r="G1" s="9" t="s">
        <v>98</v>
      </c>
      <c r="H1" s="9"/>
      <c r="I1" t="s">
        <v>99</v>
      </c>
    </row>
    <row r="2" spans="2:21">
      <c r="C2" t="s">
        <v>5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100</v>
      </c>
      <c r="J2" t="s">
        <v>1</v>
      </c>
      <c r="L2" t="s">
        <v>15</v>
      </c>
      <c r="M2" s="5" t="s">
        <v>14</v>
      </c>
      <c r="N2" t="s">
        <v>13</v>
      </c>
      <c r="P2" s="5" t="s">
        <v>14</v>
      </c>
      <c r="Q2" t="s">
        <v>13</v>
      </c>
      <c r="R2" t="s">
        <v>22</v>
      </c>
      <c r="S2" t="s">
        <v>40</v>
      </c>
      <c r="T2" t="s">
        <v>23</v>
      </c>
      <c r="U2" t="s">
        <v>41</v>
      </c>
    </row>
    <row r="3" spans="2:21">
      <c r="B3" t="s">
        <v>3</v>
      </c>
      <c r="C3">
        <v>22</v>
      </c>
      <c r="D3" s="1">
        <v>19.559999999999999</v>
      </c>
      <c r="E3" s="2">
        <f>D3/$D$3</f>
        <v>1</v>
      </c>
      <c r="F3" s="2">
        <f>D3*2.33/10</f>
        <v>4.55748</v>
      </c>
      <c r="G3" s="1">
        <f>0.000000000294</f>
        <v>2.9400000000000002E-10</v>
      </c>
      <c r="H3" s="1">
        <f t="shared" ref="H3:H9" si="0">G3*100</f>
        <v>2.9400000000000002E-8</v>
      </c>
      <c r="I3" s="1">
        <f>1.602E-19*1000000*D3*100/(1000*0.000001)</f>
        <v>3.133512E-7</v>
      </c>
      <c r="J3" s="1">
        <f>0.00000000019/2</f>
        <v>9.4999999999999995E-11</v>
      </c>
      <c r="K3" t="s">
        <v>6</v>
      </c>
      <c r="L3">
        <v>1</v>
      </c>
      <c r="M3" s="1">
        <f t="shared" ref="M3:M8" si="1">J3*$C$13</f>
        <v>2.375E-2</v>
      </c>
      <c r="N3" s="4">
        <f t="shared" ref="N3:N8" si="2">1/(M3*L3)</f>
        <v>42.10526315789474</v>
      </c>
      <c r="O3" s="1"/>
      <c r="P3" s="1">
        <f t="shared" ref="P3:P8" si="3">J3*$C$14</f>
        <v>1.5199999999999998E-4</v>
      </c>
      <c r="Q3" s="4">
        <f t="shared" ref="Q3:Q8" si="4">1/(P3*L3)</f>
        <v>6578.9473684210534</v>
      </c>
      <c r="R3" s="2">
        <f>$C$13*I3*60/1000</f>
        <v>4.7002680000000003</v>
      </c>
      <c r="S3" s="2">
        <f t="shared" ref="S3:S9" si="5">R3*60</f>
        <v>282.01608000000004</v>
      </c>
      <c r="T3" s="1">
        <f>$C$14*I3*60/1000</f>
        <v>3.0081715200000001E-2</v>
      </c>
      <c r="U3" s="2">
        <f t="shared" ref="U3:U9" si="6">T3*60</f>
        <v>1.804902912</v>
      </c>
    </row>
    <row r="4" spans="2:21">
      <c r="B4" t="s">
        <v>7</v>
      </c>
      <c r="C4">
        <v>230</v>
      </c>
      <c r="D4">
        <v>3.4319999999999999</v>
      </c>
      <c r="E4" s="2">
        <f>D4/$D$3</f>
        <v>0.17546012269938652</v>
      </c>
      <c r="F4" s="2">
        <f>D4*2.33/10</f>
        <v>0.79965599999999992</v>
      </c>
      <c r="G4" s="1">
        <f t="shared" ref="G4:G9" si="7">$G$3*E4</f>
        <v>5.1585276073619637E-11</v>
      </c>
      <c r="H4" s="1">
        <f t="shared" si="0"/>
        <v>5.1585276073619637E-9</v>
      </c>
      <c r="I4" s="1">
        <f>1.602E-19*1000000*D4*100/(1000*0.000001)</f>
        <v>5.4980639999999999E-8</v>
      </c>
      <c r="J4" s="1">
        <v>2.0000000000000001E-10</v>
      </c>
      <c r="K4" t="s">
        <v>6</v>
      </c>
      <c r="L4">
        <v>1</v>
      </c>
      <c r="M4" s="1">
        <f t="shared" si="1"/>
        <v>0.05</v>
      </c>
      <c r="N4" s="4">
        <f t="shared" si="2"/>
        <v>20</v>
      </c>
      <c r="O4" s="1"/>
      <c r="P4" s="1">
        <f t="shared" si="3"/>
        <v>3.2000000000000003E-4</v>
      </c>
      <c r="Q4" s="4">
        <f t="shared" si="4"/>
        <v>3124.9999999999995</v>
      </c>
      <c r="R4" s="2">
        <f>$C$13*I4*60/1000</f>
        <v>0.82470960000000004</v>
      </c>
      <c r="S4" s="2">
        <f t="shared" si="5"/>
        <v>49.482576000000002</v>
      </c>
      <c r="T4" s="1">
        <f>$C$14*I4*60/1000</f>
        <v>5.2781414400000001E-3</v>
      </c>
      <c r="U4" s="2">
        <f t="shared" si="6"/>
        <v>0.31668848640000002</v>
      </c>
    </row>
    <row r="5" spans="2:21">
      <c r="B5" t="s">
        <v>4</v>
      </c>
      <c r="C5">
        <v>37</v>
      </c>
      <c r="D5" s="1">
        <v>12.95</v>
      </c>
      <c r="E5" s="2">
        <f>D5/$D$3</f>
        <v>0.66206543967280163</v>
      </c>
      <c r="F5" s="2">
        <f>D5*2.33/10</f>
        <v>3.01735</v>
      </c>
      <c r="G5" s="1">
        <f t="shared" si="7"/>
        <v>1.946472392638037E-10</v>
      </c>
      <c r="H5" s="1">
        <f t="shared" si="0"/>
        <v>1.946472392638037E-8</v>
      </c>
      <c r="I5" s="1">
        <f>1.602E-19*1000000*D5*100/(1000*0.000001)</f>
        <v>2.0745899999999995E-7</v>
      </c>
      <c r="J5" s="1">
        <v>1.4999999999999999E-14</v>
      </c>
      <c r="K5" t="s">
        <v>8</v>
      </c>
      <c r="L5">
        <v>2000</v>
      </c>
      <c r="M5" s="1">
        <f t="shared" si="1"/>
        <v>3.7499999999999997E-6</v>
      </c>
      <c r="N5" s="4">
        <f t="shared" si="2"/>
        <v>133.33333333333334</v>
      </c>
      <c r="O5" s="1"/>
      <c r="P5" s="1">
        <f t="shared" si="3"/>
        <v>2.4E-8</v>
      </c>
      <c r="Q5" s="4">
        <f t="shared" si="4"/>
        <v>20833.333333333332</v>
      </c>
      <c r="R5" s="2">
        <f>$C$13*I5*60/1000</f>
        <v>3.1118849999999991</v>
      </c>
      <c r="S5" s="2">
        <f t="shared" si="5"/>
        <v>186.71309999999994</v>
      </c>
      <c r="T5" s="1">
        <f>$C$14*I5*60/1000</f>
        <v>1.9916063999999994E-2</v>
      </c>
      <c r="U5" s="2">
        <f t="shared" si="6"/>
        <v>1.1949638399999996</v>
      </c>
    </row>
    <row r="6" spans="2:21">
      <c r="B6" t="s">
        <v>4</v>
      </c>
      <c r="C6">
        <v>28</v>
      </c>
      <c r="D6" s="1">
        <v>16.059999999999999</v>
      </c>
      <c r="E6" s="2">
        <f>D6/$D$3</f>
        <v>0.82106339468302658</v>
      </c>
      <c r="F6" s="2">
        <f>D6*2.33/10</f>
        <v>3.7419799999999994</v>
      </c>
      <c r="G6" s="1">
        <f t="shared" si="7"/>
        <v>2.4139263803680981E-10</v>
      </c>
      <c r="H6" s="1">
        <f t="shared" si="0"/>
        <v>2.413926380368098E-8</v>
      </c>
      <c r="I6" s="1">
        <f>1.602E-19*1000000*D6*100/(1000*0.000001)</f>
        <v>2.572812E-7</v>
      </c>
      <c r="J6" s="1">
        <v>1.2199999999999999E-14</v>
      </c>
      <c r="K6" t="s">
        <v>8</v>
      </c>
      <c r="L6">
        <v>2000</v>
      </c>
      <c r="M6" s="1">
        <f t="shared" si="1"/>
        <v>3.05E-6</v>
      </c>
      <c r="N6" s="4">
        <f t="shared" si="2"/>
        <v>163.93442622950818</v>
      </c>
      <c r="O6" s="1"/>
      <c r="P6" s="1">
        <f t="shared" si="3"/>
        <v>1.9519999999999999E-8</v>
      </c>
      <c r="Q6" s="4">
        <f t="shared" si="4"/>
        <v>25614.754098360656</v>
      </c>
      <c r="R6" s="2">
        <f>$C$13*I6*60/1000</f>
        <v>3.8592180000000003</v>
      </c>
      <c r="S6" s="2">
        <f t="shared" si="5"/>
        <v>231.55308000000002</v>
      </c>
      <c r="T6" s="1">
        <f>$C$14*I6*60/1000</f>
        <v>2.4698995199999997E-2</v>
      </c>
      <c r="U6" s="2">
        <f t="shared" si="6"/>
        <v>1.4819397119999997</v>
      </c>
    </row>
    <row r="7" spans="2:21">
      <c r="B7" t="s">
        <v>9</v>
      </c>
      <c r="C7">
        <v>22</v>
      </c>
      <c r="D7" s="1">
        <v>19.559999999999999</v>
      </c>
      <c r="E7" s="2">
        <f>D7/$D$3</f>
        <v>1</v>
      </c>
      <c r="F7" s="2">
        <f>D7*2.33/10</f>
        <v>4.55748</v>
      </c>
      <c r="G7" s="1">
        <f t="shared" si="7"/>
        <v>2.9400000000000002E-10</v>
      </c>
      <c r="H7" s="1">
        <f t="shared" si="0"/>
        <v>2.9400000000000002E-8</v>
      </c>
      <c r="I7" s="1">
        <f>1.602E-19*1000000*D7*100/(1000*0.000001)</f>
        <v>3.133512E-7</v>
      </c>
      <c r="J7" s="1">
        <v>1.1E-14</v>
      </c>
      <c r="K7" t="s">
        <v>8</v>
      </c>
      <c r="L7">
        <f>2048*32</f>
        <v>65536</v>
      </c>
      <c r="M7" s="1">
        <f t="shared" si="1"/>
        <v>2.7499999999999999E-6</v>
      </c>
      <c r="N7" s="4">
        <f t="shared" si="2"/>
        <v>5.5486505681818183</v>
      </c>
      <c r="O7" s="1"/>
      <c r="P7" s="1">
        <f t="shared" si="3"/>
        <v>1.7600000000000002E-8</v>
      </c>
      <c r="Q7" s="4">
        <f t="shared" si="4"/>
        <v>866.97665127840901</v>
      </c>
      <c r="R7" s="2">
        <f>$C$13*I7*60/1000</f>
        <v>4.7002680000000003</v>
      </c>
      <c r="S7" s="2">
        <f t="shared" si="5"/>
        <v>282.01608000000004</v>
      </c>
      <c r="T7" s="1">
        <f>$C$14*I7*60/1000</f>
        <v>3.0081715200000001E-2</v>
      </c>
      <c r="U7" s="2">
        <f t="shared" si="6"/>
        <v>1.804902912</v>
      </c>
    </row>
    <row r="8" spans="2:21">
      <c r="B8" t="s">
        <v>10</v>
      </c>
      <c r="C8">
        <v>22</v>
      </c>
      <c r="D8" s="1">
        <v>19.559999999999999</v>
      </c>
      <c r="E8" s="2">
        <f>D8/$D$3</f>
        <v>1</v>
      </c>
      <c r="F8" s="2">
        <f>D8*2.33/10</f>
        <v>4.55748</v>
      </c>
      <c r="G8" s="1">
        <f t="shared" si="7"/>
        <v>2.9400000000000002E-10</v>
      </c>
      <c r="H8" s="1">
        <f t="shared" si="0"/>
        <v>2.9400000000000002E-8</v>
      </c>
      <c r="I8" s="1">
        <f>1.602E-19*1000000*D8*100/(1000*0.000001)</f>
        <v>3.133512E-7</v>
      </c>
      <c r="J8" s="1">
        <v>2E-14</v>
      </c>
      <c r="K8" t="s">
        <v>8</v>
      </c>
      <c r="L8">
        <f>16384*68</f>
        <v>1114112</v>
      </c>
      <c r="M8" s="1">
        <f t="shared" si="1"/>
        <v>5.0000000000000004E-6</v>
      </c>
      <c r="N8" s="3">
        <f t="shared" si="2"/>
        <v>0.17951516544117646</v>
      </c>
      <c r="O8" s="1"/>
      <c r="P8" s="1">
        <f t="shared" si="3"/>
        <v>3.2000000000000002E-8</v>
      </c>
      <c r="Q8" s="4">
        <f t="shared" si="4"/>
        <v>28.049244600183822</v>
      </c>
      <c r="R8" s="2">
        <f>$C$13*I8*60/1000</f>
        <v>4.7002680000000003</v>
      </c>
      <c r="S8" s="2">
        <f t="shared" si="5"/>
        <v>282.01608000000004</v>
      </c>
      <c r="T8" s="1">
        <f>$C$14*I8*60/1000</f>
        <v>3.0081715200000001E-2</v>
      </c>
      <c r="U8" s="2">
        <f t="shared" si="6"/>
        <v>1.804902912</v>
      </c>
    </row>
    <row r="9" spans="2:21">
      <c r="B9" t="s">
        <v>17</v>
      </c>
      <c r="C9">
        <v>180</v>
      </c>
      <c r="D9" s="1">
        <v>4.0069999999999997</v>
      </c>
      <c r="E9" s="2">
        <f>D9/$D$3</f>
        <v>0.20485685071574641</v>
      </c>
      <c r="F9" s="2">
        <f>D9*2.33/10</f>
        <v>0.93363099999999988</v>
      </c>
      <c r="G9" s="1">
        <f t="shared" si="7"/>
        <v>6.0227914110429445E-11</v>
      </c>
      <c r="H9" s="1">
        <f t="shared" si="0"/>
        <v>6.0227914110429448E-9</v>
      </c>
      <c r="I9" s="1">
        <f>1.602E-19*1000000*D9*100/(1000*0.000001)</f>
        <v>6.4192139999999975E-8</v>
      </c>
      <c r="R9" s="2">
        <f>$C$13*I9*60/1000</f>
        <v>0.96288209999999974</v>
      </c>
      <c r="S9" s="6">
        <f t="shared" si="5"/>
        <v>57.772925999999984</v>
      </c>
      <c r="T9" s="1">
        <f>$C$14*I9*60/1000</f>
        <v>6.1624454399999981E-3</v>
      </c>
      <c r="U9" s="6">
        <f t="shared" si="6"/>
        <v>0.36974672639999989</v>
      </c>
    </row>
    <row r="10" spans="2:21">
      <c r="D10" s="1"/>
    </row>
    <row r="11" spans="2:21">
      <c r="D11" s="1"/>
      <c r="E11" s="1"/>
      <c r="F11" s="1"/>
      <c r="G11" s="1"/>
      <c r="H11" s="1"/>
      <c r="I11" s="1"/>
    </row>
    <row r="12" spans="2:21">
      <c r="Q12" t="s">
        <v>33</v>
      </c>
      <c r="R12">
        <f>24*S9</f>
        <v>1386.5502239999996</v>
      </c>
    </row>
    <row r="13" spans="2:21">
      <c r="B13" t="s">
        <v>11</v>
      </c>
      <c r="C13" s="1">
        <v>250000000</v>
      </c>
      <c r="D13" s="1"/>
      <c r="E13" s="1"/>
      <c r="F13" s="1"/>
      <c r="G13" s="1"/>
      <c r="H13" s="1"/>
      <c r="I13" s="1"/>
    </row>
    <row r="14" spans="2:21">
      <c r="B14" t="s">
        <v>12</v>
      </c>
      <c r="C14" s="1">
        <v>1600000</v>
      </c>
      <c r="D14" s="1"/>
      <c r="E14" s="1"/>
      <c r="F14" s="1"/>
      <c r="G14" s="1"/>
      <c r="H14" s="1"/>
      <c r="I14" s="1"/>
    </row>
    <row r="17" spans="2:12">
      <c r="C17" t="s">
        <v>24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J17" t="s">
        <v>32</v>
      </c>
    </row>
    <row r="18" spans="2:12">
      <c r="C18">
        <v>200</v>
      </c>
    </row>
    <row r="19" spans="2:12">
      <c r="B19" t="s">
        <v>0</v>
      </c>
      <c r="C19">
        <v>200</v>
      </c>
      <c r="D19" s="1">
        <f>$J$4</f>
        <v>2.0000000000000001E-10</v>
      </c>
      <c r="E19">
        <v>1</v>
      </c>
      <c r="F19" s="1">
        <v>250000000</v>
      </c>
      <c r="G19" s="2">
        <f>C19/(D19*E19*F19)</f>
        <v>4000</v>
      </c>
      <c r="H19" s="2">
        <f>G19/3600</f>
        <v>1.1111111111111112</v>
      </c>
      <c r="I19" s="2"/>
      <c r="J19" s="2">
        <f>F19*G19*$H$9/1000</f>
        <v>6.0227914110429444</v>
      </c>
      <c r="L19" t="s">
        <v>36</v>
      </c>
    </row>
    <row r="20" spans="2:12">
      <c r="B20" t="s">
        <v>2</v>
      </c>
      <c r="C20">
        <v>200</v>
      </c>
      <c r="D20" s="1">
        <f>$J$5</f>
        <v>1.4999999999999999E-14</v>
      </c>
      <c r="E20">
        <v>2000</v>
      </c>
      <c r="F20" s="1">
        <f>F19</f>
        <v>250000000</v>
      </c>
      <c r="G20" s="2">
        <f>C20/(D20*E20*F20)</f>
        <v>26666.666666666668</v>
      </c>
      <c r="H20" s="2">
        <f>G20/3600</f>
        <v>7.4074074074074074</v>
      </c>
      <c r="I20" s="2"/>
      <c r="J20" s="2">
        <f>F20*G20*$H$9/1000</f>
        <v>40.151942740286302</v>
      </c>
      <c r="L20" t="s">
        <v>35</v>
      </c>
    </row>
    <row r="21" spans="2:12">
      <c r="B21" t="s">
        <v>25</v>
      </c>
      <c r="C21">
        <v>1000</v>
      </c>
      <c r="D21" s="1">
        <f>$J7</f>
        <v>1.1E-14</v>
      </c>
      <c r="E21">
        <f>2048*32</f>
        <v>65536</v>
      </c>
      <c r="F21" s="1">
        <f>F20</f>
        <v>250000000</v>
      </c>
      <c r="G21" s="2">
        <f>C21/(D21*E21*F21)</f>
        <v>5548.650568181818</v>
      </c>
      <c r="H21" s="2">
        <f>G21/3600</f>
        <v>1.5412918244949494</v>
      </c>
      <c r="I21" s="2"/>
      <c r="J21" s="2">
        <f>F21*G21*$H$9/1000</f>
        <v>8.3545912462310028</v>
      </c>
      <c r="L21" t="s">
        <v>34</v>
      </c>
    </row>
    <row r="22" spans="2:12">
      <c r="B22" t="s">
        <v>26</v>
      </c>
      <c r="C22">
        <f>C21</f>
        <v>1000</v>
      </c>
      <c r="D22" s="1">
        <f>$J$8</f>
        <v>2E-14</v>
      </c>
      <c r="E22">
        <f>16384*68</f>
        <v>1114112</v>
      </c>
      <c r="F22" s="1">
        <f>F21</f>
        <v>250000000</v>
      </c>
      <c r="G22" s="2">
        <f>C22/(D22*E22*F22)</f>
        <v>179.51516544117646</v>
      </c>
      <c r="H22" s="2">
        <f>G22/3600</f>
        <v>4.9865323733660129E-2</v>
      </c>
      <c r="I22" s="2"/>
      <c r="J22" s="2">
        <f>F22*G22*$H$9/1000</f>
        <v>0.27029559914276768</v>
      </c>
      <c r="L22" t="s">
        <v>34</v>
      </c>
    </row>
    <row r="25" spans="2:12">
      <c r="B25" t="s">
        <v>37</v>
      </c>
    </row>
    <row r="31" spans="2:12">
      <c r="B31" t="s">
        <v>38</v>
      </c>
      <c r="D31">
        <v>40</v>
      </c>
      <c r="E31">
        <v>80</v>
      </c>
      <c r="F31">
        <v>160</v>
      </c>
    </row>
    <row r="32" spans="2:12">
      <c r="C32" t="s">
        <v>39</v>
      </c>
    </row>
    <row r="33" spans="2:9">
      <c r="C33">
        <v>0</v>
      </c>
      <c r="D33">
        <v>100</v>
      </c>
      <c r="E33">
        <v>100</v>
      </c>
      <c r="F33">
        <v>100</v>
      </c>
    </row>
    <row r="34" spans="2:9">
      <c r="C34">
        <v>4</v>
      </c>
      <c r="D34">
        <v>100</v>
      </c>
      <c r="E34">
        <v>100</v>
      </c>
      <c r="F34">
        <v>100</v>
      </c>
    </row>
    <row r="35" spans="2:9">
      <c r="C35">
        <v>8</v>
      </c>
      <c r="D35">
        <v>100</v>
      </c>
      <c r="E35">
        <v>100</v>
      </c>
      <c r="F35">
        <v>100</v>
      </c>
    </row>
    <row r="38" spans="2:9">
      <c r="B38" t="s">
        <v>47</v>
      </c>
    </row>
    <row r="40" spans="2:9">
      <c r="B40" t="s">
        <v>42</v>
      </c>
      <c r="D40" s="1">
        <v>78500</v>
      </c>
      <c r="H40" s="1">
        <v>1E-10</v>
      </c>
      <c r="I40" s="1"/>
    </row>
    <row r="41" spans="2:9">
      <c r="B41" t="s">
        <v>49</v>
      </c>
      <c r="C41" s="1"/>
      <c r="D41">
        <v>35000</v>
      </c>
      <c r="E41" s="1"/>
      <c r="H41" s="1"/>
      <c r="I41" s="1"/>
    </row>
    <row r="42" spans="2:9">
      <c r="B42" t="s">
        <v>29</v>
      </c>
      <c r="D42" s="1">
        <f>D43/D44</f>
        <v>1990942.0289855073</v>
      </c>
      <c r="E42" s="1"/>
      <c r="H42" s="1"/>
      <c r="I42" s="1"/>
    </row>
    <row r="43" spans="2:9">
      <c r="B43" t="s">
        <v>48</v>
      </c>
      <c r="C43" s="1"/>
      <c r="D43" s="1">
        <f>D41*D40</f>
        <v>2747500000</v>
      </c>
      <c r="E43" s="1"/>
      <c r="H43" s="1"/>
      <c r="I43" s="1"/>
    </row>
    <row r="44" spans="2:9">
      <c r="B44" t="s">
        <v>43</v>
      </c>
      <c r="D44">
        <v>1380</v>
      </c>
    </row>
    <row r="45" spans="2:9">
      <c r="B45" t="s">
        <v>46</v>
      </c>
      <c r="D45" s="2">
        <f>D44/3600</f>
        <v>0.38333333333333336</v>
      </c>
    </row>
    <row r="48" spans="2:9">
      <c r="B48" t="s">
        <v>45</v>
      </c>
      <c r="D48" s="7">
        <f>D43*H9</f>
        <v>16.547619401840493</v>
      </c>
    </row>
    <row r="50" spans="2:5">
      <c r="B50" t="s">
        <v>29</v>
      </c>
      <c r="D50" s="1">
        <v>100000000</v>
      </c>
    </row>
    <row r="51" spans="2:5">
      <c r="B51" t="s">
        <v>1</v>
      </c>
      <c r="D51" s="1">
        <v>1E-10</v>
      </c>
    </row>
    <row r="52" spans="2:5">
      <c r="B52" t="s">
        <v>50</v>
      </c>
      <c r="D52">
        <v>100</v>
      </c>
    </row>
    <row r="53" spans="2:5">
      <c r="B53" t="s">
        <v>51</v>
      </c>
      <c r="D53" s="7">
        <f>D52/(D51*D50)</f>
        <v>10000</v>
      </c>
      <c r="E53" t="s">
        <v>52</v>
      </c>
    </row>
    <row r="54" spans="2:5">
      <c r="D54" s="2">
        <f>D53/3600</f>
        <v>2.7777777777777777</v>
      </c>
      <c r="E54" t="s">
        <v>53</v>
      </c>
    </row>
    <row r="56" spans="2:5">
      <c r="D56" s="1"/>
    </row>
    <row r="57" spans="2:5">
      <c r="B57" t="s">
        <v>63</v>
      </c>
      <c r="D57">
        <v>10000</v>
      </c>
      <c r="E57" t="s">
        <v>65</v>
      </c>
    </row>
    <row r="58" spans="2:5">
      <c r="B58" t="s">
        <v>64</v>
      </c>
      <c r="D58" s="1">
        <f>H9*D50</f>
        <v>0.60227914110429448</v>
      </c>
      <c r="E58" t="s">
        <v>65</v>
      </c>
    </row>
    <row r="59" spans="2:5">
      <c r="B59" t="s">
        <v>51</v>
      </c>
      <c r="D59">
        <f>D57/D58</f>
        <v>16603.596766882445</v>
      </c>
      <c r="E59" t="s">
        <v>52</v>
      </c>
    </row>
    <row r="60" spans="2:5">
      <c r="D60">
        <f>D59/3600</f>
        <v>4.612110213022901</v>
      </c>
      <c r="E60" t="s">
        <v>53</v>
      </c>
    </row>
    <row r="67" spans="2:7">
      <c r="B67" s="1"/>
    </row>
    <row r="70" spans="2:7">
      <c r="D70" s="1"/>
      <c r="E70" s="1">
        <v>1.6019999999999999E-7</v>
      </c>
      <c r="F70" s="1">
        <v>1.833E-3</v>
      </c>
      <c r="G70" s="1">
        <f>F70*E70</f>
        <v>2.9364659999999996E-10</v>
      </c>
    </row>
    <row r="71" spans="2:7">
      <c r="D71" s="1"/>
    </row>
  </sheetData>
  <mergeCells count="1">
    <mergeCell ref="G1:H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tabSelected="1" showRuler="0" workbookViewId="0">
      <selection activeCell="J22" sqref="J22"/>
    </sheetView>
  </sheetViews>
  <sheetFormatPr baseColWidth="10" defaultRowHeight="15" x14ac:dyDescent="0"/>
  <cols>
    <col min="5" max="5" width="12.5" bestFit="1" customWidth="1"/>
    <col min="9" max="9" width="14" style="14" customWidth="1"/>
    <col min="10" max="11" width="14" customWidth="1"/>
    <col min="12" max="12" width="14" style="14" customWidth="1"/>
    <col min="13" max="13" width="29.1640625" bestFit="1" customWidth="1"/>
    <col min="14" max="15" width="29.1640625" customWidth="1"/>
    <col min="16" max="16" width="15.6640625" bestFit="1" customWidth="1"/>
  </cols>
  <sheetData>
    <row r="1" spans="1:17">
      <c r="H1" t="s">
        <v>82</v>
      </c>
      <c r="I1" s="13"/>
      <c r="L1" s="13"/>
      <c r="N1" t="s">
        <v>151</v>
      </c>
    </row>
    <row r="2" spans="1:17">
      <c r="A2" t="s">
        <v>54</v>
      </c>
      <c r="B2" t="s">
        <v>55</v>
      </c>
      <c r="C2" t="s">
        <v>56</v>
      </c>
      <c r="D2" t="s">
        <v>57</v>
      </c>
      <c r="E2" t="s">
        <v>68</v>
      </c>
      <c r="F2" t="s">
        <v>30</v>
      </c>
      <c r="G2" t="s">
        <v>66</v>
      </c>
      <c r="H2" t="s">
        <v>42</v>
      </c>
      <c r="I2" s="14" t="s">
        <v>60</v>
      </c>
      <c r="J2" t="s">
        <v>29</v>
      </c>
      <c r="K2" t="s">
        <v>61</v>
      </c>
      <c r="L2" s="14" t="s">
        <v>62</v>
      </c>
      <c r="M2" t="s">
        <v>71</v>
      </c>
      <c r="P2" t="s">
        <v>113</v>
      </c>
      <c r="Q2" t="s">
        <v>58</v>
      </c>
    </row>
    <row r="3" spans="1:17">
      <c r="A3">
        <v>20140507</v>
      </c>
      <c r="B3" s="8">
        <v>0.1111111111111111</v>
      </c>
      <c r="C3" s="8">
        <v>0.12847222222222224</v>
      </c>
      <c r="D3">
        <v>35431</v>
      </c>
      <c r="E3">
        <v>134000</v>
      </c>
      <c r="F3">
        <f>E3/100</f>
        <v>1340</v>
      </c>
      <c r="G3">
        <v>1</v>
      </c>
      <c r="H3" s="1">
        <v>78500</v>
      </c>
      <c r="I3" s="13">
        <f>H3*D3</f>
        <v>2781333500</v>
      </c>
      <c r="J3" s="1">
        <f>I3/F3</f>
        <v>2075622.014925373</v>
      </c>
      <c r="K3" s="1">
        <v>5.9999999999999995E-8</v>
      </c>
      <c r="L3" s="15">
        <f>K3*I3/1000</f>
        <v>0.16688001</v>
      </c>
      <c r="M3" s="2" t="s">
        <v>72</v>
      </c>
      <c r="N3" s="2"/>
      <c r="O3" s="2"/>
      <c r="P3" s="2"/>
      <c r="Q3" t="s">
        <v>59</v>
      </c>
    </row>
    <row r="4" spans="1:17">
      <c r="A4">
        <v>20140507</v>
      </c>
      <c r="B4" s="8">
        <v>0.1423611111111111</v>
      </c>
      <c r="C4" s="8">
        <v>0.14722222222222223</v>
      </c>
      <c r="D4">
        <v>177453</v>
      </c>
      <c r="E4">
        <v>14235</v>
      </c>
      <c r="F4" s="4">
        <f>E4/100</f>
        <v>142.35</v>
      </c>
      <c r="G4">
        <v>50</v>
      </c>
      <c r="H4" s="1">
        <v>78500</v>
      </c>
      <c r="I4" s="13">
        <f>H4*D4</f>
        <v>13930060500</v>
      </c>
      <c r="J4" s="1">
        <f>I4/F4</f>
        <v>97857818.756585881</v>
      </c>
      <c r="K4" s="1">
        <v>5.9999999999999995E-8</v>
      </c>
      <c r="L4" s="15">
        <f>K4*I4/1000</f>
        <v>0.83580362999999991</v>
      </c>
      <c r="M4" s="2" t="s">
        <v>73</v>
      </c>
      <c r="N4" s="2"/>
      <c r="O4" s="2"/>
      <c r="P4" s="2"/>
      <c r="Q4" t="s">
        <v>67</v>
      </c>
    </row>
    <row r="5" spans="1:17">
      <c r="A5">
        <v>20140507</v>
      </c>
      <c r="B5" s="8">
        <v>0.15555555555555556</v>
      </c>
      <c r="C5" s="8">
        <v>0.15833333333333333</v>
      </c>
      <c r="D5">
        <v>252633</v>
      </c>
      <c r="E5">
        <v>16000</v>
      </c>
      <c r="F5" s="4">
        <f>E5/100</f>
        <v>160</v>
      </c>
      <c r="G5">
        <v>50</v>
      </c>
      <c r="H5" s="1">
        <v>78500</v>
      </c>
      <c r="I5" s="13">
        <f>H5*D5</f>
        <v>19831690500</v>
      </c>
      <c r="J5" s="1">
        <f>I5/F5</f>
        <v>123948065.625</v>
      </c>
      <c r="K5" s="1">
        <v>5.9999999999999995E-8</v>
      </c>
      <c r="L5" s="15">
        <f>K5*I5/1000</f>
        <v>1.1899014299999999</v>
      </c>
      <c r="M5" s="2" t="s">
        <v>74</v>
      </c>
      <c r="N5" s="2"/>
      <c r="O5" s="2"/>
      <c r="P5" t="s">
        <v>70</v>
      </c>
    </row>
    <row r="6" spans="1:17">
      <c r="A6">
        <v>20140507</v>
      </c>
      <c r="B6" s="8">
        <v>0.16666666666666666</v>
      </c>
      <c r="C6" s="8">
        <v>0.1763888888888889</v>
      </c>
      <c r="D6">
        <v>1356473</v>
      </c>
      <c r="E6">
        <v>83854</v>
      </c>
      <c r="F6" s="4">
        <f>E6/100</f>
        <v>838.54</v>
      </c>
      <c r="G6">
        <v>50</v>
      </c>
      <c r="H6" s="1">
        <v>78500</v>
      </c>
      <c r="I6" s="13">
        <f>H6*D6</f>
        <v>106483130500</v>
      </c>
      <c r="J6" s="1">
        <f>I6/F6</f>
        <v>126986345.91074964</v>
      </c>
      <c r="K6" s="1">
        <v>5.9999999999999995E-8</v>
      </c>
      <c r="L6" s="15">
        <f>K6*I6/1000</f>
        <v>6.3889878299999987</v>
      </c>
      <c r="M6" t="s">
        <v>76</v>
      </c>
      <c r="P6" t="s">
        <v>77</v>
      </c>
      <c r="Q6" t="s">
        <v>75</v>
      </c>
    </row>
    <row r="7" spans="1:17">
      <c r="A7">
        <v>20140507</v>
      </c>
      <c r="B7" s="8">
        <v>0.18055555555555555</v>
      </c>
      <c r="C7" s="8">
        <v>0.18263888888888891</v>
      </c>
      <c r="D7">
        <v>338464</v>
      </c>
      <c r="E7">
        <v>21260</v>
      </c>
      <c r="F7" s="4">
        <f>E7/100</f>
        <v>212.6</v>
      </c>
      <c r="G7">
        <v>50</v>
      </c>
      <c r="H7" s="1">
        <v>78500</v>
      </c>
      <c r="I7" s="13">
        <f>H7*D7</f>
        <v>26569424000</v>
      </c>
      <c r="J7" s="1">
        <f>I7/F7</f>
        <v>124973772.34242709</v>
      </c>
      <c r="K7" s="1">
        <v>5.9999999999999995E-8</v>
      </c>
      <c r="L7" s="15">
        <f>K7*I7/1000</f>
        <v>1.5941654399999998</v>
      </c>
      <c r="M7" t="s">
        <v>78</v>
      </c>
      <c r="Q7" t="s">
        <v>79</v>
      </c>
    </row>
    <row r="8" spans="1:17">
      <c r="A8">
        <v>20140507</v>
      </c>
      <c r="B8" s="8">
        <v>0.18472222222222223</v>
      </c>
      <c r="C8" s="8">
        <v>0.19097222222222221</v>
      </c>
      <c r="D8">
        <v>857977</v>
      </c>
      <c r="E8">
        <v>53453</v>
      </c>
      <c r="F8" s="4">
        <f>E8/100</f>
        <v>534.53</v>
      </c>
      <c r="G8">
        <v>50</v>
      </c>
      <c r="H8" s="1">
        <v>78500</v>
      </c>
      <c r="I8" s="13">
        <f>H8*D8</f>
        <v>67351194500</v>
      </c>
      <c r="J8" s="1">
        <f>I8/F8</f>
        <v>126000775.44758947</v>
      </c>
      <c r="K8" s="1">
        <v>5.9999999999999995E-8</v>
      </c>
      <c r="L8" s="15">
        <f>K8*I8/1000</f>
        <v>4.04107167</v>
      </c>
      <c r="M8" t="s">
        <v>80</v>
      </c>
      <c r="Q8" t="s">
        <v>81</v>
      </c>
    </row>
    <row r="9" spans="1:17">
      <c r="A9">
        <v>20140507</v>
      </c>
      <c r="B9" s="8">
        <v>0.19305555555555554</v>
      </c>
      <c r="C9" s="8">
        <v>0.19999999999999998</v>
      </c>
      <c r="D9">
        <v>1028015</v>
      </c>
      <c r="E9">
        <v>63151</v>
      </c>
      <c r="F9" s="4">
        <f>E9/100</f>
        <v>631.51</v>
      </c>
      <c r="G9">
        <v>50</v>
      </c>
      <c r="H9" s="1">
        <v>78500</v>
      </c>
      <c r="I9" s="13">
        <f>H9*D9</f>
        <v>80699177500</v>
      </c>
      <c r="J9" s="1">
        <f>I9/F9</f>
        <v>127787647.85989137</v>
      </c>
      <c r="K9" s="1">
        <v>5.9999999999999995E-8</v>
      </c>
      <c r="L9" s="15">
        <f>K9*I9/1000</f>
        <v>4.8419506499999994</v>
      </c>
      <c r="M9" t="s">
        <v>84</v>
      </c>
      <c r="P9" t="s">
        <v>83</v>
      </c>
      <c r="Q9" t="s">
        <v>85</v>
      </c>
    </row>
    <row r="10" spans="1:17">
      <c r="A10">
        <v>20140507</v>
      </c>
      <c r="B10" s="8">
        <v>0.21527777777777779</v>
      </c>
      <c r="C10" s="8">
        <v>0.24652777777777779</v>
      </c>
      <c r="D10">
        <v>4587151</v>
      </c>
      <c r="E10">
        <v>277505</v>
      </c>
      <c r="F10" s="4">
        <f>E10/100</f>
        <v>2775.05</v>
      </c>
      <c r="G10">
        <v>50</v>
      </c>
      <c r="H10" s="1">
        <v>78500</v>
      </c>
      <c r="I10" s="13">
        <f>H10*D10</f>
        <v>360091353500</v>
      </c>
      <c r="J10" s="1">
        <f>I10/F10</f>
        <v>129760311.88627231</v>
      </c>
      <c r="K10" s="1">
        <v>5.9999999999999995E-8</v>
      </c>
      <c r="L10" s="15">
        <f>K10*I10/1000</f>
        <v>21.605481209999997</v>
      </c>
      <c r="M10" t="s">
        <v>88</v>
      </c>
      <c r="P10" t="s">
        <v>87</v>
      </c>
      <c r="Q10" t="s">
        <v>86</v>
      </c>
    </row>
    <row r="13" spans="1:17">
      <c r="A13">
        <v>20140508</v>
      </c>
      <c r="B13" s="8">
        <v>0.41111111111111115</v>
      </c>
      <c r="C13" s="8">
        <v>0.41250000000000003</v>
      </c>
      <c r="D13">
        <v>14641</v>
      </c>
      <c r="E13">
        <v>5207</v>
      </c>
      <c r="F13" s="4">
        <f>E13/100</f>
        <v>52.07</v>
      </c>
      <c r="G13">
        <v>11</v>
      </c>
      <c r="H13" s="1">
        <v>78500</v>
      </c>
      <c r="I13" s="13">
        <f>H13*D13</f>
        <v>1149318500</v>
      </c>
      <c r="J13" s="1">
        <f>I13/F13</f>
        <v>22072565.776838869</v>
      </c>
      <c r="K13" s="1">
        <v>5.9999999999999995E-8</v>
      </c>
      <c r="L13" s="15">
        <f>K13*I13/1000</f>
        <v>6.895910999999999E-2</v>
      </c>
      <c r="M13" t="s">
        <v>110</v>
      </c>
      <c r="P13" t="s">
        <v>115</v>
      </c>
      <c r="Q13" t="s">
        <v>108</v>
      </c>
    </row>
    <row r="14" spans="1:17">
      <c r="A14">
        <v>20140508</v>
      </c>
      <c r="B14" s="8">
        <v>0.41388888888888892</v>
      </c>
      <c r="C14" s="8">
        <v>0.41805555555555557</v>
      </c>
      <c r="D14">
        <v>19768</v>
      </c>
      <c r="E14">
        <v>7364</v>
      </c>
      <c r="F14" s="4">
        <f>E14/100</f>
        <v>73.64</v>
      </c>
      <c r="G14">
        <v>11</v>
      </c>
      <c r="H14" s="1">
        <v>78500</v>
      </c>
      <c r="I14" s="13">
        <f>H14*D14</f>
        <v>1551788000</v>
      </c>
      <c r="J14" s="1">
        <f>I14/F14</f>
        <v>21072623.574144486</v>
      </c>
      <c r="K14" s="1">
        <v>5.9999999999999995E-8</v>
      </c>
      <c r="L14" s="15">
        <f>K14*I14/1000</f>
        <v>9.3107279999999987E-2</v>
      </c>
      <c r="M14" t="s">
        <v>111</v>
      </c>
      <c r="P14" t="s">
        <v>115</v>
      </c>
      <c r="Q14" t="s">
        <v>107</v>
      </c>
    </row>
    <row r="15" spans="1:17">
      <c r="A15">
        <v>20140508</v>
      </c>
      <c r="B15" s="8">
        <v>0.42291666666666666</v>
      </c>
      <c r="C15" s="8">
        <v>0.44444444444444442</v>
      </c>
      <c r="D15">
        <v>621703</v>
      </c>
      <c r="E15" s="1">
        <v>183654</v>
      </c>
      <c r="F15" s="4">
        <f>E15/100</f>
        <v>1836.54</v>
      </c>
      <c r="G15">
        <v>11</v>
      </c>
      <c r="H15" s="1">
        <v>78500</v>
      </c>
      <c r="I15" s="13">
        <f>H15*D15</f>
        <v>48803685500</v>
      </c>
      <c r="J15" s="1">
        <f>I15/F15</f>
        <v>26573712.252387643</v>
      </c>
      <c r="K15" s="1">
        <v>5.9999999999999995E-8</v>
      </c>
      <c r="L15" s="15">
        <f>K15*I15/1000</f>
        <v>2.9282211299999998</v>
      </c>
      <c r="M15" t="s">
        <v>112</v>
      </c>
      <c r="N15">
        <v>42</v>
      </c>
      <c r="O15" s="1">
        <f>N15/(I15+I14)</f>
        <v>8.3407020291448554E-10</v>
      </c>
      <c r="P15" t="s">
        <v>115</v>
      </c>
      <c r="Q15" t="s">
        <v>109</v>
      </c>
    </row>
    <row r="16" spans="1:17">
      <c r="A16">
        <v>20140508</v>
      </c>
      <c r="D16">
        <v>62101</v>
      </c>
      <c r="G16">
        <v>11</v>
      </c>
      <c r="H16" s="1">
        <v>78500</v>
      </c>
      <c r="I16" s="13">
        <f>H16*D16</f>
        <v>4874928500</v>
      </c>
      <c r="J16" s="1" t="e">
        <f>I16/F16</f>
        <v>#DIV/0!</v>
      </c>
      <c r="K16" s="1">
        <v>5.9999999999999995E-8</v>
      </c>
      <c r="L16" s="15">
        <f>K16*I16/1000</f>
        <v>0.29249570999999996</v>
      </c>
      <c r="Q16" t="s">
        <v>114</v>
      </c>
    </row>
    <row r="17" spans="1:17">
      <c r="A17">
        <v>20140508</v>
      </c>
      <c r="B17" s="8">
        <v>0.48194444444444445</v>
      </c>
      <c r="C17" s="8">
        <v>0.48472222222222222</v>
      </c>
      <c r="D17">
        <v>44720</v>
      </c>
      <c r="E17">
        <v>15174</v>
      </c>
      <c r="F17" s="4">
        <f>E17/100</f>
        <v>151.74</v>
      </c>
      <c r="G17">
        <v>11</v>
      </c>
      <c r="H17" s="1">
        <v>78500</v>
      </c>
      <c r="I17" s="13">
        <f>H17*D17</f>
        <v>3510520000</v>
      </c>
      <c r="J17" s="1">
        <f>I17/F17</f>
        <v>23135099.512323711</v>
      </c>
      <c r="K17" s="1">
        <v>5.9999999999999995E-8</v>
      </c>
      <c r="L17" s="15">
        <f>K17*I17/1000</f>
        <v>0.21063119999999999</v>
      </c>
      <c r="M17" t="s">
        <v>119</v>
      </c>
      <c r="P17" t="s">
        <v>115</v>
      </c>
      <c r="Q17" t="s">
        <v>116</v>
      </c>
    </row>
    <row r="18" spans="1:17">
      <c r="A18">
        <v>20140508</v>
      </c>
      <c r="B18" s="8">
        <v>0.4916666666666667</v>
      </c>
      <c r="C18" s="8">
        <v>0.5131944444444444</v>
      </c>
      <c r="D18">
        <v>636561</v>
      </c>
      <c r="E18">
        <v>189325</v>
      </c>
      <c r="F18" s="4">
        <f>E18/100</f>
        <v>1893.25</v>
      </c>
      <c r="G18">
        <v>11</v>
      </c>
      <c r="H18" s="1">
        <v>78500</v>
      </c>
      <c r="I18" s="13">
        <f>H18*D18</f>
        <v>49970038500</v>
      </c>
      <c r="J18" s="1">
        <f>I18/F18</f>
        <v>26393787.666710682</v>
      </c>
      <c r="K18" s="1">
        <v>5.9999999999999995E-8</v>
      </c>
      <c r="L18" s="15">
        <f>K18*I18/1000</f>
        <v>2.9982023099999995</v>
      </c>
      <c r="M18" t="s">
        <v>119</v>
      </c>
      <c r="N18">
        <v>28</v>
      </c>
      <c r="O18" s="1">
        <f>N18/(I18+I17)</f>
        <v>5.235547418600724E-10</v>
      </c>
      <c r="P18" t="s">
        <v>117</v>
      </c>
      <c r="Q18" t="s">
        <v>118</v>
      </c>
    </row>
    <row r="19" spans="1:17">
      <c r="A19">
        <v>20140508</v>
      </c>
      <c r="B19" s="8">
        <v>0.51388888888888895</v>
      </c>
      <c r="C19" s="8">
        <v>0.54097222222222219</v>
      </c>
      <c r="D19">
        <v>748575</v>
      </c>
      <c r="E19">
        <v>220737</v>
      </c>
      <c r="F19" s="4">
        <f>E19/100</f>
        <v>2207.37</v>
      </c>
      <c r="G19">
        <v>11</v>
      </c>
      <c r="H19" s="1">
        <v>78500</v>
      </c>
      <c r="I19" s="13">
        <f>H19*D19</f>
        <v>58763137500</v>
      </c>
      <c r="J19" s="1">
        <f>I19/F19</f>
        <v>26621335.571290724</v>
      </c>
      <c r="K19" s="1">
        <v>5.9999999999999995E-8</v>
      </c>
      <c r="L19" s="15">
        <f>K19*I19/1000</f>
        <v>3.5257882499999997</v>
      </c>
      <c r="M19" t="s">
        <v>121</v>
      </c>
      <c r="N19">
        <v>38</v>
      </c>
      <c r="O19" s="1">
        <f>N19/I19</f>
        <v>6.4666390558196451E-10</v>
      </c>
      <c r="P19" t="s">
        <v>120</v>
      </c>
      <c r="Q19" t="s">
        <v>123</v>
      </c>
    </row>
    <row r="20" spans="1:17">
      <c r="A20">
        <v>20140508</v>
      </c>
      <c r="B20" s="8">
        <v>0.57291666666666663</v>
      </c>
      <c r="C20" s="8">
        <v>0.58472222222222225</v>
      </c>
      <c r="D20">
        <v>300903</v>
      </c>
      <c r="E20">
        <v>96000</v>
      </c>
      <c r="F20" s="4">
        <f>E20/100</f>
        <v>960</v>
      </c>
      <c r="G20">
        <v>11</v>
      </c>
      <c r="H20" s="1">
        <v>78500</v>
      </c>
      <c r="I20" s="13">
        <f>H20*D20</f>
        <v>23620885500</v>
      </c>
      <c r="J20" s="1">
        <f>I20/F20</f>
        <v>24605089.0625</v>
      </c>
      <c r="K20" s="1">
        <v>5.9999999999999995E-8</v>
      </c>
      <c r="L20" s="15">
        <f>K20*I20/1000</f>
        <v>1.4172531299999998</v>
      </c>
      <c r="M20" t="s">
        <v>124</v>
      </c>
      <c r="N20">
        <v>20</v>
      </c>
      <c r="O20" s="1">
        <f>N20/I20</f>
        <v>8.4670830820461832E-10</v>
      </c>
      <c r="P20" t="s">
        <v>122</v>
      </c>
      <c r="Q20" t="s">
        <v>125</v>
      </c>
    </row>
    <row r="21" spans="1:17">
      <c r="F21" s="4"/>
      <c r="Q21" t="s">
        <v>126</v>
      </c>
    </row>
    <row r="22" spans="1:17">
      <c r="A22">
        <v>20140508</v>
      </c>
      <c r="B22" s="8">
        <v>0.61458333333333337</v>
      </c>
      <c r="C22" s="8">
        <v>0.63402777777777775</v>
      </c>
      <c r="D22">
        <v>445841</v>
      </c>
      <c r="E22">
        <v>186472</v>
      </c>
      <c r="F22" s="4">
        <f>E22/100</f>
        <v>1864.72</v>
      </c>
      <c r="G22">
        <v>11</v>
      </c>
      <c r="H22" s="1">
        <v>78500</v>
      </c>
      <c r="I22" s="13">
        <f>H22*D22</f>
        <v>34998518500</v>
      </c>
      <c r="J22" s="11">
        <f>I22/F22</f>
        <v>18768779.495044831</v>
      </c>
      <c r="K22" s="1">
        <v>5.9999999999999995E-8</v>
      </c>
      <c r="L22" s="15">
        <f>K22*I22/1000</f>
        <v>2.0999111099999999</v>
      </c>
      <c r="M22" t="s">
        <v>128</v>
      </c>
      <c r="P22" t="s">
        <v>115</v>
      </c>
      <c r="Q22" t="s">
        <v>127</v>
      </c>
    </row>
    <row r="23" spans="1:17">
      <c r="A23">
        <v>20140508</v>
      </c>
      <c r="B23" s="8">
        <v>0.63541666666666663</v>
      </c>
      <c r="C23" s="8">
        <v>0.64722222222222225</v>
      </c>
      <c r="D23">
        <v>348743</v>
      </c>
      <c r="E23">
        <v>104321</v>
      </c>
      <c r="F23" s="4">
        <f>E23/100</f>
        <v>1043.21</v>
      </c>
      <c r="G23">
        <v>11</v>
      </c>
      <c r="H23" s="1">
        <v>78500</v>
      </c>
      <c r="I23" s="13">
        <f>H23*D23</f>
        <v>27376325500</v>
      </c>
      <c r="J23" s="12">
        <f>I23/F23</f>
        <v>26242391.752379674</v>
      </c>
      <c r="K23" s="1">
        <v>5.9999999999999995E-8</v>
      </c>
      <c r="L23" s="15">
        <f>K23*I23/1000</f>
        <v>1.6425795299999997</v>
      </c>
      <c r="M23" t="s">
        <v>131</v>
      </c>
      <c r="O23" s="1"/>
      <c r="P23" t="s">
        <v>129</v>
      </c>
    </row>
    <row r="24" spans="1:17">
      <c r="A24">
        <v>20140508</v>
      </c>
      <c r="B24" s="8">
        <v>0.6479166666666667</v>
      </c>
      <c r="C24" s="8">
        <v>0.6645833333333333</v>
      </c>
      <c r="D24">
        <v>479039</v>
      </c>
      <c r="E24">
        <v>142258</v>
      </c>
      <c r="F24" s="4">
        <f>E24/100</f>
        <v>1422.58</v>
      </c>
      <c r="G24">
        <v>11</v>
      </c>
      <c r="H24" s="1">
        <v>78500</v>
      </c>
      <c r="I24" s="13">
        <f>H24*D24</f>
        <v>37604561500</v>
      </c>
      <c r="J24" s="12">
        <f>I24/F24</f>
        <v>26434057.487100903</v>
      </c>
      <c r="K24" s="1">
        <v>5.9999999999999995E-8</v>
      </c>
      <c r="L24" s="15">
        <f>K24*I24/1000</f>
        <v>2.25627369</v>
      </c>
      <c r="M24" t="s">
        <v>133</v>
      </c>
      <c r="P24" t="s">
        <v>130</v>
      </c>
      <c r="Q24" t="s">
        <v>132</v>
      </c>
    </row>
    <row r="25" spans="1:17">
      <c r="F25" s="1"/>
      <c r="G25" s="1"/>
      <c r="H25" s="1"/>
      <c r="I25" s="13"/>
      <c r="J25" s="1"/>
    </row>
    <row r="27" spans="1:17">
      <c r="A27" t="s">
        <v>138</v>
      </c>
      <c r="O27" s="1"/>
      <c r="P27" s="1"/>
      <c r="Q27" s="1"/>
    </row>
    <row r="29" spans="1:17">
      <c r="A29">
        <v>20140508</v>
      </c>
      <c r="B29">
        <v>1915</v>
      </c>
      <c r="C29" s="8">
        <v>0.80555555555555547</v>
      </c>
      <c r="D29">
        <v>101421</v>
      </c>
      <c r="E29">
        <v>30866</v>
      </c>
      <c r="F29" s="4">
        <f>E29/100</f>
        <v>308.66000000000003</v>
      </c>
      <c r="G29">
        <v>11</v>
      </c>
      <c r="H29" s="1">
        <v>78500</v>
      </c>
      <c r="I29" s="13">
        <f>H29*D29</f>
        <v>7961548500</v>
      </c>
      <c r="J29" s="12">
        <f>I29/F29</f>
        <v>25793910.775610704</v>
      </c>
      <c r="K29" s="1">
        <v>5.9999999999999995E-8</v>
      </c>
      <c r="L29" s="15">
        <f>K29*I29/1000</f>
        <v>0.47769290999999997</v>
      </c>
      <c r="M29" t="s">
        <v>168</v>
      </c>
      <c r="N29">
        <v>4</v>
      </c>
      <c r="O29" s="1">
        <f>N29/I29/2500</f>
        <v>2.0096593018305422E-13</v>
      </c>
      <c r="P29" t="s">
        <v>144</v>
      </c>
      <c r="Q29" t="s">
        <v>134</v>
      </c>
    </row>
    <row r="30" spans="1:17">
      <c r="A30">
        <v>20140508</v>
      </c>
      <c r="B30" s="8">
        <v>0.80833333333333324</v>
      </c>
      <c r="C30" s="8">
        <v>0.82916666666666661</v>
      </c>
      <c r="D30">
        <v>594231</v>
      </c>
      <c r="E30">
        <v>176528</v>
      </c>
      <c r="F30" s="4">
        <f>E30/100</f>
        <v>1765.28</v>
      </c>
      <c r="G30">
        <v>11</v>
      </c>
      <c r="H30" s="1">
        <v>78500</v>
      </c>
      <c r="I30" s="13">
        <f>H30*D30</f>
        <v>46647133500</v>
      </c>
      <c r="J30" s="12">
        <f>I30/F30</f>
        <v>26424778.788634099</v>
      </c>
      <c r="K30" s="1">
        <v>5.9999999999999995E-8</v>
      </c>
      <c r="L30" s="15">
        <f>K30*I30/1000</f>
        <v>2.7988280099999998</v>
      </c>
      <c r="M30" t="s">
        <v>169</v>
      </c>
      <c r="N30">
        <v>3</v>
      </c>
      <c r="O30" s="1">
        <f>N30/I30/2500</f>
        <v>2.5725053394760047E-14</v>
      </c>
      <c r="Q30" t="s">
        <v>135</v>
      </c>
    </row>
    <row r="31" spans="1:17">
      <c r="A31">
        <v>20140508</v>
      </c>
      <c r="B31" s="8">
        <v>0.8305555555555556</v>
      </c>
      <c r="C31" s="8">
        <v>0.84444444444444444</v>
      </c>
      <c r="D31">
        <v>1046147</v>
      </c>
      <c r="E31">
        <v>85671</v>
      </c>
      <c r="F31" s="4">
        <f>E31/100</f>
        <v>856.71</v>
      </c>
      <c r="G31">
        <v>11</v>
      </c>
      <c r="H31" s="1">
        <v>78500</v>
      </c>
      <c r="I31" s="13">
        <f>H31*D31</f>
        <v>82122539500</v>
      </c>
      <c r="J31" s="12">
        <f>I31/F31</f>
        <v>95858037.725718156</v>
      </c>
      <c r="K31" s="1">
        <v>5.9999999999999995E-8</v>
      </c>
      <c r="L31" s="15">
        <f>K31*I31/1000</f>
        <v>4.9273523699999995</v>
      </c>
      <c r="M31" t="s">
        <v>170</v>
      </c>
      <c r="N31">
        <v>5</v>
      </c>
      <c r="O31" s="1">
        <f>N31/I31/2500</f>
        <v>2.4353849895253177E-14</v>
      </c>
      <c r="Q31" t="s">
        <v>136</v>
      </c>
    </row>
    <row r="32" spans="1:17">
      <c r="A32">
        <v>20140508</v>
      </c>
      <c r="B32" s="8">
        <v>0.84583333333333333</v>
      </c>
      <c r="C32" s="8">
        <v>0.85972222222222217</v>
      </c>
      <c r="D32">
        <v>1201327</v>
      </c>
      <c r="E32">
        <v>99494</v>
      </c>
      <c r="F32" s="4">
        <f>E32/100</f>
        <v>994.94</v>
      </c>
      <c r="G32">
        <v>11</v>
      </c>
      <c r="H32" s="1">
        <v>78500</v>
      </c>
      <c r="I32" s="13">
        <f>H32*D32</f>
        <v>94304169500</v>
      </c>
      <c r="J32" s="12">
        <f>I32/F32</f>
        <v>94783775.403541923</v>
      </c>
      <c r="K32" s="1">
        <v>5.9999999999999995E-8</v>
      </c>
      <c r="L32" s="15">
        <f>K32*I32/1000</f>
        <v>5.6582501699999996</v>
      </c>
      <c r="M32" t="s">
        <v>171</v>
      </c>
      <c r="N32">
        <v>5</v>
      </c>
      <c r="O32" s="1">
        <f>N32/I32/2500</f>
        <v>2.1207970025121744E-14</v>
      </c>
      <c r="P32" t="s">
        <v>143</v>
      </c>
      <c r="Q32" t="s">
        <v>137</v>
      </c>
    </row>
    <row r="34" spans="1:17">
      <c r="A34" t="s">
        <v>139</v>
      </c>
      <c r="B34" t="s">
        <v>141</v>
      </c>
      <c r="M34" s="1"/>
    </row>
    <row r="36" spans="1:17">
      <c r="A36">
        <v>20140508</v>
      </c>
      <c r="B36" s="8">
        <v>0.92708333333333337</v>
      </c>
      <c r="C36" s="8">
        <v>0.9291666666666667</v>
      </c>
      <c r="D36">
        <v>78895</v>
      </c>
      <c r="E36">
        <v>8428</v>
      </c>
      <c r="F36" s="4">
        <f>E36/100</f>
        <v>84.28</v>
      </c>
      <c r="H36" s="1">
        <v>78500</v>
      </c>
      <c r="I36" s="13">
        <f>H36*D36</f>
        <v>6193257500</v>
      </c>
      <c r="J36" s="12">
        <f>I36/F36</f>
        <v>73484308.258186996</v>
      </c>
      <c r="K36" s="1">
        <v>5.9999999999999995E-8</v>
      </c>
      <c r="L36" s="15">
        <f>K36*I36/1000</f>
        <v>0.37159544999999999</v>
      </c>
      <c r="M36" t="s">
        <v>172</v>
      </c>
      <c r="N36">
        <v>2</v>
      </c>
      <c r="O36" s="1">
        <f>N36/I36/2500</f>
        <v>1.291727334121018E-13</v>
      </c>
      <c r="P36" t="s">
        <v>140</v>
      </c>
      <c r="Q36" t="s">
        <v>142</v>
      </c>
    </row>
    <row r="37" spans="1:17">
      <c r="A37">
        <v>20140508</v>
      </c>
      <c r="B37" s="8">
        <v>0.93194444444444446</v>
      </c>
      <c r="C37" s="8">
        <v>0.93402777777777779</v>
      </c>
      <c r="D37">
        <v>102834</v>
      </c>
      <c r="E37">
        <v>9290</v>
      </c>
      <c r="F37" s="4">
        <f>E37/100</f>
        <v>92.9</v>
      </c>
      <c r="H37" s="1">
        <v>78500</v>
      </c>
      <c r="I37" s="13">
        <f>H37*D37</f>
        <v>8072469000</v>
      </c>
      <c r="J37" s="12">
        <f>I37/F37</f>
        <v>86894176.533907428</v>
      </c>
      <c r="K37" s="1">
        <v>5.9999999999999995E-8</v>
      </c>
      <c r="L37" s="15">
        <f>K37*I37/1000</f>
        <v>0.48434813999999993</v>
      </c>
      <c r="M37" t="s">
        <v>173</v>
      </c>
      <c r="N37">
        <v>1</v>
      </c>
      <c r="O37" s="1">
        <f>N37/I37/2500</f>
        <v>4.9551134851059822E-14</v>
      </c>
      <c r="Q37" t="s">
        <v>145</v>
      </c>
    </row>
    <row r="38" spans="1:17">
      <c r="A38">
        <v>20140508</v>
      </c>
      <c r="B38" s="8">
        <v>0.95000000000000007</v>
      </c>
      <c r="C38" s="8">
        <v>0.95763888888888893</v>
      </c>
      <c r="D38">
        <v>671613</v>
      </c>
      <c r="E38">
        <v>55897</v>
      </c>
      <c r="F38" s="4">
        <f>E38/100</f>
        <v>558.97</v>
      </c>
      <c r="H38" s="1">
        <v>78500</v>
      </c>
      <c r="I38" s="13">
        <f>H38*D38</f>
        <v>52721620500</v>
      </c>
      <c r="J38" s="12">
        <f>I38/F38</f>
        <v>94319230.906846523</v>
      </c>
      <c r="K38" s="1">
        <v>5.9999999999999995E-8</v>
      </c>
      <c r="L38" s="15">
        <f>K38*I38/1000</f>
        <v>3.1632972299999995</v>
      </c>
      <c r="M38" t="s">
        <v>174</v>
      </c>
      <c r="N38">
        <v>3</v>
      </c>
      <c r="O38" s="1">
        <f>N38/I38/2500</f>
        <v>2.2761060616488446E-14</v>
      </c>
      <c r="Q38" t="s">
        <v>146</v>
      </c>
    </row>
    <row r="39" spans="1:17">
      <c r="A39">
        <v>20140508</v>
      </c>
      <c r="B39" s="8">
        <v>0.96319444444444446</v>
      </c>
      <c r="C39" s="8">
        <v>0.9916666666666667</v>
      </c>
      <c r="D39">
        <v>2881340</v>
      </c>
      <c r="E39">
        <v>238317</v>
      </c>
      <c r="F39" s="4">
        <f>E39/100</f>
        <v>2383.17</v>
      </c>
      <c r="H39" s="1">
        <v>78500</v>
      </c>
      <c r="I39" s="13">
        <f>H39*D39</f>
        <v>226185190000</v>
      </c>
      <c r="J39" s="12">
        <f>I39/F39</f>
        <v>94909381.202348128</v>
      </c>
      <c r="K39" s="1">
        <v>5.9999999999999995E-8</v>
      </c>
      <c r="L39" s="15">
        <f>K39*I39/1000</f>
        <v>13.571111399999998</v>
      </c>
      <c r="M39" t="s">
        <v>179</v>
      </c>
      <c r="N39">
        <v>10</v>
      </c>
      <c r="O39" s="1">
        <f>N39/I39/2500</f>
        <v>1.7684623825282283E-14</v>
      </c>
      <c r="P39" t="s">
        <v>148</v>
      </c>
      <c r="Q39" t="s">
        <v>147</v>
      </c>
    </row>
    <row r="40" spans="1:17">
      <c r="O40" s="1"/>
    </row>
    <row r="41" spans="1:17">
      <c r="A41" t="s">
        <v>183</v>
      </c>
    </row>
    <row r="42" spans="1:17">
      <c r="A42">
        <v>20140509</v>
      </c>
      <c r="B42" s="8">
        <v>0.40208333333333335</v>
      </c>
      <c r="C42" s="8">
        <v>0.43333333333333335</v>
      </c>
      <c r="D42">
        <v>1602223</v>
      </c>
      <c r="E42">
        <v>128521</v>
      </c>
      <c r="F42" s="4">
        <f>E42/100</f>
        <v>1285.21</v>
      </c>
      <c r="G42">
        <v>11</v>
      </c>
      <c r="H42" s="1">
        <v>78500</v>
      </c>
      <c r="I42" s="13">
        <f>H42*D42</f>
        <v>125774505500</v>
      </c>
      <c r="J42" s="12">
        <f>I42/F42</f>
        <v>97862999.43199943</v>
      </c>
      <c r="K42" s="1">
        <v>5.9999999999999995E-8</v>
      </c>
      <c r="L42" s="15">
        <f>K42*I42/1000</f>
        <v>7.5464703299999991</v>
      </c>
      <c r="M42" t="s">
        <v>175</v>
      </c>
      <c r="N42">
        <v>6</v>
      </c>
      <c r="O42" s="1">
        <f>N42/I42</f>
        <v>4.7704421306589835E-11</v>
      </c>
      <c r="P42" t="s">
        <v>150</v>
      </c>
      <c r="Q42" t="s">
        <v>149</v>
      </c>
    </row>
    <row r="43" spans="1:17">
      <c r="A43">
        <v>20140509</v>
      </c>
      <c r="B43" s="8">
        <v>0.44097222222222227</v>
      </c>
      <c r="C43" s="8">
        <v>0.45069444444444445</v>
      </c>
      <c r="D43">
        <v>409828</v>
      </c>
      <c r="E43">
        <v>87737</v>
      </c>
      <c r="F43" s="4">
        <f>E43/100</f>
        <v>877.37</v>
      </c>
      <c r="G43">
        <v>11</v>
      </c>
      <c r="H43" s="1">
        <v>78500</v>
      </c>
      <c r="I43" s="13">
        <f>H43*D43</f>
        <v>32171498000</v>
      </c>
      <c r="J43" s="12">
        <f>I43/F43</f>
        <v>36668108.095786273</v>
      </c>
      <c r="K43" s="1">
        <v>5.9999999999999995E-8</v>
      </c>
      <c r="L43" s="15">
        <f>K43*I43/1000</f>
        <v>1.9302898799999999</v>
      </c>
      <c r="M43" t="s">
        <v>176</v>
      </c>
      <c r="N43">
        <v>5</v>
      </c>
      <c r="O43" s="1">
        <f>N43/I43</f>
        <v>1.5541707134681761E-10</v>
      </c>
      <c r="P43" t="s">
        <v>150</v>
      </c>
    </row>
    <row r="44" spans="1:17">
      <c r="A44">
        <v>20140509</v>
      </c>
      <c r="B44" s="8">
        <v>0.45833333333333331</v>
      </c>
      <c r="C44" s="8">
        <v>0.47986111111111113</v>
      </c>
      <c r="D44">
        <v>3501244</v>
      </c>
      <c r="E44">
        <v>188734</v>
      </c>
      <c r="F44" s="4">
        <f>E44/100</f>
        <v>1887.34</v>
      </c>
      <c r="G44">
        <v>11</v>
      </c>
      <c r="H44" s="1">
        <v>78500</v>
      </c>
      <c r="I44" s="13">
        <f>H44*D44</f>
        <v>274847654000</v>
      </c>
      <c r="J44" s="12">
        <f>I44/F44</f>
        <v>145626995.66585776</v>
      </c>
      <c r="K44" s="1">
        <v>5.9999999999999995E-8</v>
      </c>
      <c r="L44" s="15">
        <f>K44*I44/1000</f>
        <v>16.490859239999999</v>
      </c>
      <c r="M44" t="s">
        <v>177</v>
      </c>
      <c r="N44">
        <v>23</v>
      </c>
      <c r="O44" s="1">
        <f>N44/I44</f>
        <v>8.3682722647507119E-11</v>
      </c>
      <c r="P44" t="s">
        <v>152</v>
      </c>
    </row>
    <row r="46" spans="1:17">
      <c r="O46" s="1"/>
    </row>
    <row r="48" spans="1:17">
      <c r="O48" s="1"/>
      <c r="P48" s="1"/>
    </row>
    <row r="51" spans="1:23">
      <c r="A51" t="s">
        <v>153</v>
      </c>
      <c r="S51" t="s">
        <v>1</v>
      </c>
      <c r="U51" t="s">
        <v>154</v>
      </c>
    </row>
    <row r="52" spans="1:23">
      <c r="N52" t="s">
        <v>155</v>
      </c>
      <c r="O52" t="s">
        <v>156</v>
      </c>
      <c r="P52" t="s">
        <v>157</v>
      </c>
      <c r="Q52" t="s">
        <v>158</v>
      </c>
      <c r="R52" t="s">
        <v>69</v>
      </c>
    </row>
    <row r="53" spans="1:23">
      <c r="A53">
        <v>20140509</v>
      </c>
      <c r="B53" s="8">
        <v>0.52083333333333337</v>
      </c>
      <c r="C53" s="8">
        <v>0.52361111111111114</v>
      </c>
      <c r="D53">
        <v>54772</v>
      </c>
      <c r="E53">
        <v>18104</v>
      </c>
      <c r="F53" s="4">
        <f>E53/100</f>
        <v>181.04</v>
      </c>
      <c r="G53">
        <v>11</v>
      </c>
      <c r="H53" s="1">
        <v>78500</v>
      </c>
      <c r="I53" s="13">
        <f>H53*D53</f>
        <v>4299602000</v>
      </c>
      <c r="J53" s="12">
        <f>I53/F53</f>
        <v>23749458.683163941</v>
      </c>
      <c r="K53" s="1">
        <v>5.9999999999999995E-8</v>
      </c>
      <c r="L53" s="15">
        <f>K53*I53/1000</f>
        <v>0.25797611999999998</v>
      </c>
      <c r="M53" t="s">
        <v>159</v>
      </c>
      <c r="N53">
        <v>460</v>
      </c>
      <c r="O53">
        <v>427</v>
      </c>
      <c r="P53">
        <v>440</v>
      </c>
      <c r="Q53">
        <v>454</v>
      </c>
      <c r="R53">
        <v>1781</v>
      </c>
      <c r="S53" s="1">
        <f>R53/I53/U53</f>
        <v>2.4689697405706551E-14</v>
      </c>
      <c r="U53">
        <f>2^24</f>
        <v>16777216</v>
      </c>
      <c r="W53" t="s">
        <v>180</v>
      </c>
    </row>
    <row r="54" spans="1:23">
      <c r="A54">
        <v>20140509</v>
      </c>
      <c r="B54" s="8">
        <v>0.52708333333333335</v>
      </c>
      <c r="C54" s="8">
        <v>0.52847222222222223</v>
      </c>
      <c r="D54">
        <v>145594</v>
      </c>
      <c r="E54">
        <v>12059</v>
      </c>
      <c r="F54" s="4">
        <f>E54/100</f>
        <v>120.59</v>
      </c>
      <c r="G54">
        <v>11</v>
      </c>
      <c r="H54" s="1">
        <v>78500</v>
      </c>
      <c r="I54" s="13">
        <f>H54*D54</f>
        <v>11429129000</v>
      </c>
      <c r="J54" s="12">
        <f>I54/F54</f>
        <v>94776755.949912921</v>
      </c>
      <c r="K54" s="1">
        <v>5.9999999999999995E-8</v>
      </c>
      <c r="L54" s="15">
        <f>K54*I54/1000</f>
        <v>0.68574773999999994</v>
      </c>
      <c r="M54" t="s">
        <v>160</v>
      </c>
      <c r="N54">
        <v>1050</v>
      </c>
      <c r="O54">
        <v>1120</v>
      </c>
      <c r="P54">
        <v>1131</v>
      </c>
      <c r="Q54">
        <v>1137</v>
      </c>
      <c r="R54">
        <v>4438</v>
      </c>
      <c r="S54" s="1">
        <f>R54/I54/U54</f>
        <v>2.3144844503302359E-14</v>
      </c>
      <c r="U54">
        <f>2^24</f>
        <v>16777216</v>
      </c>
      <c r="W54" t="s">
        <v>181</v>
      </c>
    </row>
    <row r="55" spans="1:23">
      <c r="A55">
        <v>20140509</v>
      </c>
      <c r="B55" s="8">
        <v>0.52986111111111112</v>
      </c>
      <c r="C55" s="8">
        <v>0.53055555555555556</v>
      </c>
      <c r="D55">
        <v>73707</v>
      </c>
      <c r="E55">
        <v>6091</v>
      </c>
      <c r="F55" s="4">
        <f>E55/100</f>
        <v>60.91</v>
      </c>
      <c r="G55">
        <v>11</v>
      </c>
      <c r="H55" s="1">
        <v>78500</v>
      </c>
      <c r="I55" s="13">
        <f>H55*D55</f>
        <v>5785999500</v>
      </c>
      <c r="J55" s="12">
        <f>I55/F55</f>
        <v>94992603.841733709</v>
      </c>
      <c r="K55" s="1">
        <v>5.9999999999999995E-8</v>
      </c>
      <c r="L55" s="15">
        <f>K55*I55/1000</f>
        <v>0.34715996999999998</v>
      </c>
      <c r="M55" t="s">
        <v>161</v>
      </c>
      <c r="N55">
        <v>575</v>
      </c>
      <c r="O55">
        <v>528</v>
      </c>
      <c r="P55">
        <v>600</v>
      </c>
      <c r="Q55">
        <v>547</v>
      </c>
      <c r="R55">
        <v>2250</v>
      </c>
      <c r="S55" s="1">
        <f>R55/I55/U55</f>
        <v>2.3178441468000282E-14</v>
      </c>
      <c r="U55">
        <f>2^24</f>
        <v>16777216</v>
      </c>
      <c r="W55" t="s">
        <v>181</v>
      </c>
    </row>
    <row r="56" spans="1:23">
      <c r="A56">
        <v>20140509</v>
      </c>
      <c r="B56" s="8">
        <v>0.53194444444444444</v>
      </c>
      <c r="C56" s="8">
        <v>0.53402777777777777</v>
      </c>
      <c r="D56">
        <v>45982</v>
      </c>
      <c r="E56">
        <v>15032</v>
      </c>
      <c r="F56" s="4">
        <f>E56/100</f>
        <v>150.32</v>
      </c>
      <c r="G56">
        <v>11</v>
      </c>
      <c r="H56" s="1">
        <v>78500</v>
      </c>
      <c r="I56" s="13">
        <f>H56*D56</f>
        <v>3609587000</v>
      </c>
      <c r="J56" s="12">
        <f>I56/F56</f>
        <v>24012686.269292179</v>
      </c>
      <c r="K56" s="1">
        <v>5.9999999999999995E-8</v>
      </c>
      <c r="L56" s="15">
        <f>K56*I56/1000</f>
        <v>0.21657521999999998</v>
      </c>
      <c r="M56" t="s">
        <v>162</v>
      </c>
      <c r="N56">
        <v>327</v>
      </c>
      <c r="O56">
        <v>365</v>
      </c>
      <c r="P56">
        <v>334</v>
      </c>
      <c r="Q56">
        <v>346</v>
      </c>
      <c r="R56">
        <v>1372</v>
      </c>
      <c r="S56" s="1">
        <f>R56/I56/U56</f>
        <v>2.2655659118850977E-14</v>
      </c>
      <c r="U56">
        <f>2^24</f>
        <v>16777216</v>
      </c>
      <c r="W56" t="s">
        <v>182</v>
      </c>
    </row>
    <row r="59" spans="1:23">
      <c r="A59" t="s">
        <v>163</v>
      </c>
    </row>
    <row r="61" spans="1:23">
      <c r="A61">
        <v>20140509</v>
      </c>
      <c r="B61" s="8">
        <v>0.61527777777777781</v>
      </c>
      <c r="D61">
        <v>236159</v>
      </c>
      <c r="E61">
        <v>20007</v>
      </c>
      <c r="F61" s="4">
        <f>E61/100</f>
        <v>200.07</v>
      </c>
      <c r="G61">
        <v>11</v>
      </c>
      <c r="H61" s="1">
        <v>78500</v>
      </c>
      <c r="I61" s="13">
        <f>H61*D61</f>
        <v>18538481500</v>
      </c>
      <c r="J61" s="12">
        <f>I61/F61</f>
        <v>92659976.508222118</v>
      </c>
      <c r="K61" s="1">
        <v>5.9999999999999995E-8</v>
      </c>
      <c r="L61" s="15">
        <f>K61*I61/1000</f>
        <v>1.1123088899999998</v>
      </c>
      <c r="M61" t="s">
        <v>178</v>
      </c>
      <c r="P61" t="s">
        <v>164</v>
      </c>
    </row>
    <row r="62" spans="1:23">
      <c r="D62">
        <v>501203</v>
      </c>
      <c r="F62" s="4">
        <f>E62/100</f>
        <v>0</v>
      </c>
      <c r="G62">
        <v>11</v>
      </c>
      <c r="H62" s="1">
        <v>78500</v>
      </c>
      <c r="I62" s="13">
        <f>H62*D62</f>
        <v>39344435500</v>
      </c>
      <c r="J62" s="12" t="e">
        <f>I62/F62</f>
        <v>#DIV/0!</v>
      </c>
      <c r="K62" s="1">
        <v>5.9999999999999995E-8</v>
      </c>
      <c r="L62" s="15">
        <f>K62*I62/1000</f>
        <v>2.3606661299999998</v>
      </c>
      <c r="P62" t="s">
        <v>165</v>
      </c>
    </row>
    <row r="63" spans="1:23">
      <c r="D63">
        <v>749227</v>
      </c>
      <c r="G63">
        <v>11</v>
      </c>
      <c r="H63" s="1">
        <v>78500</v>
      </c>
      <c r="I63" s="13">
        <f>H63*D63</f>
        <v>58814319500</v>
      </c>
      <c r="J63" s="12" t="e">
        <f>I63/F63</f>
        <v>#DIV/0!</v>
      </c>
      <c r="K63" s="1">
        <v>5.9999999999999995E-8</v>
      </c>
      <c r="L63" s="15">
        <f>K63*I63/1000</f>
        <v>3.5288591699999996</v>
      </c>
      <c r="P63" t="s">
        <v>166</v>
      </c>
    </row>
    <row r="64" spans="1:23">
      <c r="P64" t="s">
        <v>167</v>
      </c>
    </row>
    <row r="65" spans="2:15">
      <c r="I65" s="13"/>
      <c r="K65" s="1"/>
      <c r="L65" s="13"/>
      <c r="M65" s="1"/>
      <c r="N65" s="1"/>
      <c r="O65" s="1"/>
    </row>
    <row r="69" spans="2:15">
      <c r="B69" s="1"/>
      <c r="G69" s="1"/>
      <c r="H69" s="1"/>
      <c r="J69" s="7"/>
    </row>
    <row r="72" spans="2:15">
      <c r="B72">
        <v>2</v>
      </c>
      <c r="I72" s="13">
        <v>2E-14</v>
      </c>
      <c r="J72">
        <v>10000</v>
      </c>
      <c r="K72" s="1">
        <v>100000000</v>
      </c>
      <c r="L72" s="13">
        <f>K72*J72*I72</f>
        <v>0.02</v>
      </c>
      <c r="M72" s="1">
        <f>1/L72</f>
        <v>50</v>
      </c>
    </row>
    <row r="73" spans="2:15">
      <c r="B73">
        <v>5</v>
      </c>
    </row>
    <row r="74" spans="2:15">
      <c r="B74">
        <v>5</v>
      </c>
    </row>
    <row r="75" spans="2:15">
      <c r="E75" t="s">
        <v>89</v>
      </c>
      <c r="F75" t="s">
        <v>90</v>
      </c>
      <c r="G75" t="s">
        <v>91</v>
      </c>
      <c r="H75" t="s">
        <v>92</v>
      </c>
      <c r="I75" s="14" t="s">
        <v>93</v>
      </c>
    </row>
    <row r="76" spans="2:15">
      <c r="B76" s="1"/>
      <c r="E76">
        <v>19453</v>
      </c>
      <c r="F76">
        <v>128</v>
      </c>
      <c r="G76" s="1">
        <v>20000000</v>
      </c>
      <c r="H76" s="1">
        <f>1/G76</f>
        <v>4.9999999999999998E-8</v>
      </c>
      <c r="I76" s="14">
        <v>0.12</v>
      </c>
      <c r="J76" s="7">
        <f>E76*F76*H76</f>
        <v>0.12449919999999999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"/>
  <sheetViews>
    <sheetView showRuler="0" workbookViewId="0">
      <selection activeCell="B15" sqref="B15"/>
    </sheetView>
  </sheetViews>
  <sheetFormatPr baseColWidth="10" defaultRowHeight="15" x14ac:dyDescent="0"/>
  <cols>
    <col min="2" max="2" width="26.1640625" bestFit="1" customWidth="1"/>
    <col min="3" max="4" width="13" bestFit="1" customWidth="1"/>
  </cols>
  <sheetData>
    <row r="3" spans="1:6">
      <c r="B3" t="s">
        <v>96</v>
      </c>
      <c r="C3">
        <v>1</v>
      </c>
      <c r="D3" t="s">
        <v>95</v>
      </c>
      <c r="E3" s="1">
        <v>1.602E-19</v>
      </c>
      <c r="F3" t="s">
        <v>94</v>
      </c>
    </row>
    <row r="8" spans="1:6">
      <c r="A8" t="s">
        <v>97</v>
      </c>
    </row>
    <row r="10" spans="1:6">
      <c r="A10" t="s">
        <v>44</v>
      </c>
      <c r="B10" t="s">
        <v>101</v>
      </c>
      <c r="C10" t="s">
        <v>102</v>
      </c>
      <c r="D10" s="10" t="s">
        <v>103</v>
      </c>
    </row>
    <row r="12" spans="1:6">
      <c r="A12" t="s">
        <v>104</v>
      </c>
      <c r="B12" t="s">
        <v>105</v>
      </c>
      <c r="C12" s="1">
        <f>1.6E-19*1000000*100/(0.000001*1000)</f>
        <v>1.6000000000000001E-8</v>
      </c>
      <c r="D12" t="s">
        <v>106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Preliminary results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Ketil</dc:creator>
  <cp:lastModifiedBy>Ketil</cp:lastModifiedBy>
  <dcterms:created xsi:type="dcterms:W3CDTF">2014-04-27T19:18:26Z</dcterms:created>
  <dcterms:modified xsi:type="dcterms:W3CDTF">2014-05-13T09:51:42Z</dcterms:modified>
</cp:coreProperties>
</file>