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Characteristics!$A$1:$O$274</definedName>
    <definedName name="_xlnm._FilterDatabase" localSheetId="1" hidden="1">Performance!$A$1:$I$274</definedName>
  </definedNames>
  <calcPr calcId="124519" fullCalcOnLoad="1"/>
</workbook>
</file>

<file path=xl/sharedStrings.xml><?xml version="1.0" encoding="utf-8"?>
<sst xmlns="http://schemas.openxmlformats.org/spreadsheetml/2006/main" count="1070" uniqueCount="300">
  <si>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</si>
  <si>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</si>
  <si>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</si>
  <si>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</si>
  <si>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</si>
  <si>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</si>
  <si>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</si>
  <si>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</si>
  <si>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</si>
  <si>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</si>
  <si>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</si>
  <si>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</si>
  <si>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</si>
  <si>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</si>
  <si>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ABCB</t>
  </si>
  <si>
    <t>ABTX</t>
  </si>
  <si>
    <t>ACGL</t>
  </si>
  <si>
    <t>AEL</t>
  </si>
  <si>
    <t>AFG</t>
  </si>
  <si>
    <t>AFL</t>
  </si>
  <si>
    <t>AGO</t>
  </si>
  <si>
    <t>AIG</t>
  </si>
  <si>
    <t>AIZ</t>
  </si>
  <si>
    <t>AJG</t>
  </si>
  <si>
    <t>ALL</t>
  </si>
  <si>
    <t>AMBC</t>
  </si>
  <si>
    <t>AMP</t>
  </si>
  <si>
    <t>AMSF</t>
  </si>
  <si>
    <t>ANAT</t>
  </si>
  <si>
    <t>AON</t>
  </si>
  <si>
    <t>ARGO</t>
  </si>
  <si>
    <t>ARI</t>
  </si>
  <si>
    <t>ARR</t>
  </si>
  <si>
    <t>ASB</t>
  </si>
  <si>
    <t>ATH</t>
  </si>
  <si>
    <t>AUB</t>
  </si>
  <si>
    <t>AX</t>
  </si>
  <si>
    <t>AXP</t>
  </si>
  <si>
    <t>AXS</t>
  </si>
  <si>
    <t>BAC</t>
  </si>
  <si>
    <t>BANC</t>
  </si>
  <si>
    <t>BANF</t>
  </si>
  <si>
    <t>BANR</t>
  </si>
  <si>
    <t>BCOR</t>
  </si>
  <si>
    <t>BEN</t>
  </si>
  <si>
    <t>BHF</t>
  </si>
  <si>
    <t>BHLB</t>
  </si>
  <si>
    <t>BK</t>
  </si>
  <si>
    <t>BKU</t>
  </si>
  <si>
    <t>BLK</t>
  </si>
  <si>
    <t>BMTC</t>
  </si>
  <si>
    <t>BOH</t>
  </si>
  <si>
    <t>BOKF</t>
  </si>
  <si>
    <t>BPOP</t>
  </si>
  <si>
    <t>BRK.B</t>
  </si>
  <si>
    <t>BRKL</t>
  </si>
  <si>
    <t>BRO</t>
  </si>
  <si>
    <t>BSIG</t>
  </si>
  <si>
    <t>BUSE</t>
  </si>
  <si>
    <t>C</t>
  </si>
  <si>
    <t>CAC</t>
  </si>
  <si>
    <t>CADE</t>
  </si>
  <si>
    <t>CATY</t>
  </si>
  <si>
    <t>CB</t>
  </si>
  <si>
    <t>CBOE</t>
  </si>
  <si>
    <t>CBSH</t>
  </si>
  <si>
    <t>CBU</t>
  </si>
  <si>
    <t>CFFN</t>
  </si>
  <si>
    <t>CFG</t>
  </si>
  <si>
    <t>CFR</t>
  </si>
  <si>
    <t>CHCO</t>
  </si>
  <si>
    <t>CINF</t>
  </si>
  <si>
    <t>CIT</t>
  </si>
  <si>
    <t>CMA</t>
  </si>
  <si>
    <t>CME</t>
  </si>
  <si>
    <t>CNA</t>
  </si>
  <si>
    <t>CNO</t>
  </si>
  <si>
    <t>CNOB</t>
  </si>
  <si>
    <t>COF</t>
  </si>
  <si>
    <t>COLB</t>
  </si>
  <si>
    <t>COOP</t>
  </si>
  <si>
    <t>CPF</t>
  </si>
  <si>
    <t>CUBI</t>
  </si>
  <si>
    <t>CVBF</t>
  </si>
  <si>
    <t>DCOM</t>
  </si>
  <si>
    <t>DFIN</t>
  </si>
  <si>
    <t>DFS</t>
  </si>
  <si>
    <t>EBC</t>
  </si>
  <si>
    <t>ECPG</t>
  </si>
  <si>
    <t>EFC</t>
  </si>
  <si>
    <t>EFSC</t>
  </si>
  <si>
    <t>EGBN</t>
  </si>
  <si>
    <t>EHTH</t>
  </si>
  <si>
    <t>EIG</t>
  </si>
  <si>
    <t>ENVA</t>
  </si>
  <si>
    <t>ERIE</t>
  </si>
  <si>
    <t>EWBC</t>
  </si>
  <si>
    <t>EZPW</t>
  </si>
  <si>
    <t>FAF</t>
  </si>
  <si>
    <t>FBC</t>
  </si>
  <si>
    <t>FBK</t>
  </si>
  <si>
    <t>FBNC</t>
  </si>
  <si>
    <t>FBP</t>
  </si>
  <si>
    <t>FBRT</t>
  </si>
  <si>
    <t>FCF</t>
  </si>
  <si>
    <t>FCNCA</t>
  </si>
  <si>
    <t>FFBC</t>
  </si>
  <si>
    <t>FFIC</t>
  </si>
  <si>
    <t>FFIN</t>
  </si>
  <si>
    <t>FFWM</t>
  </si>
  <si>
    <t>FHB</t>
  </si>
  <si>
    <t>FHN</t>
  </si>
  <si>
    <t>FIBK</t>
  </si>
  <si>
    <t>FITB</t>
  </si>
  <si>
    <t>FMBI</t>
  </si>
  <si>
    <t>FNB</t>
  </si>
  <si>
    <t>FRC</t>
  </si>
  <si>
    <t>FRME</t>
  </si>
  <si>
    <t>FULT</t>
  </si>
  <si>
    <t>GBCI</t>
  </si>
  <si>
    <t>GDOT</t>
  </si>
  <si>
    <t>GHL</t>
  </si>
  <si>
    <t>GL</t>
  </si>
  <si>
    <t>GNW</t>
  </si>
  <si>
    <t>GPMT</t>
  </si>
  <si>
    <t>GS</t>
  </si>
  <si>
    <t>GWB</t>
  </si>
  <si>
    <t>HAFC</t>
  </si>
  <si>
    <t>HBAN</t>
  </si>
  <si>
    <t>HCI</t>
  </si>
  <si>
    <t>HFWA</t>
  </si>
  <si>
    <t>HIG</t>
  </si>
  <si>
    <t>HMN</t>
  </si>
  <si>
    <t>HMST</t>
  </si>
  <si>
    <t>HOMB</t>
  </si>
  <si>
    <t>HONE</t>
  </si>
  <si>
    <t>HOPE</t>
  </si>
  <si>
    <t>HTBK</t>
  </si>
  <si>
    <t>HTH</t>
  </si>
  <si>
    <t>HTLF</t>
  </si>
  <si>
    <t>HWC</t>
  </si>
  <si>
    <t>IBCP</t>
  </si>
  <si>
    <t>IBOC</t>
  </si>
  <si>
    <t>IBTX</t>
  </si>
  <si>
    <t>ICE</t>
  </si>
  <si>
    <t>INDB</t>
  </si>
  <si>
    <t>ISBC</t>
  </si>
  <si>
    <t>IVR</t>
  </si>
  <si>
    <t>IVZ</t>
  </si>
  <si>
    <t>JPM</t>
  </si>
  <si>
    <t>JRVR</t>
  </si>
  <si>
    <t>KEY</t>
  </si>
  <si>
    <t>KMPR</t>
  </si>
  <si>
    <t>KNSL</t>
  </si>
  <si>
    <t>KREF</t>
  </si>
  <si>
    <t>L</t>
  </si>
  <si>
    <t>LBAI</t>
  </si>
  <si>
    <t>LKFN</t>
  </si>
  <si>
    <t>LMND</t>
  </si>
  <si>
    <t>LNC</t>
  </si>
  <si>
    <t>LOB</t>
  </si>
  <si>
    <t>MBI</t>
  </si>
  <si>
    <t>MCO</t>
  </si>
  <si>
    <t>MCY</t>
  </si>
  <si>
    <t>MET</t>
  </si>
  <si>
    <t>MILE</t>
  </si>
  <si>
    <t>MKL</t>
  </si>
  <si>
    <t>MKTX</t>
  </si>
  <si>
    <t>MMC</t>
  </si>
  <si>
    <t>MS</t>
  </si>
  <si>
    <t>MSBI</t>
  </si>
  <si>
    <t>MSCI</t>
  </si>
  <si>
    <t>MTB</t>
  </si>
  <si>
    <t>NBHC</t>
  </si>
  <si>
    <t>NBTB</t>
  </si>
  <si>
    <t>NCBS</t>
  </si>
  <si>
    <t>NDAQ</t>
  </si>
  <si>
    <t>NFBK</t>
  </si>
  <si>
    <t>NMIH</t>
  </si>
  <si>
    <t>NTRS</t>
  </si>
  <si>
    <t>NWBI</t>
  </si>
  <si>
    <t>NWLI</t>
  </si>
  <si>
    <t>NYCB</t>
  </si>
  <si>
    <t>NYMT</t>
  </si>
  <si>
    <t>OCFC</t>
  </si>
  <si>
    <t>OFG</t>
  </si>
  <si>
    <t>ONB</t>
  </si>
  <si>
    <t>ORI</t>
  </si>
  <si>
    <t>OSCR</t>
  </si>
  <si>
    <t>OZK</t>
  </si>
  <si>
    <t>PACW</t>
  </si>
  <si>
    <t>PB</t>
  </si>
  <si>
    <t>PBCT</t>
  </si>
  <si>
    <t>PEBO</t>
  </si>
  <si>
    <t>PFBC</t>
  </si>
  <si>
    <t>PFG</t>
  </si>
  <si>
    <t>PFS</t>
  </si>
  <si>
    <t>PGR</t>
  </si>
  <si>
    <t>PIPR</t>
  </si>
  <si>
    <t>PLMR</t>
  </si>
  <si>
    <t>PMT</t>
  </si>
  <si>
    <t>PNC</t>
  </si>
  <si>
    <t>PNFP</t>
  </si>
  <si>
    <t>PPBI</t>
  </si>
  <si>
    <t>PRA</t>
  </si>
  <si>
    <t>PRAA</t>
  </si>
  <si>
    <t>PRI</t>
  </si>
  <si>
    <t>PRK</t>
  </si>
  <si>
    <t>PRU</t>
  </si>
  <si>
    <t>QCRH</t>
  </si>
  <si>
    <t>RC</t>
  </si>
  <si>
    <t>RE</t>
  </si>
  <si>
    <t>RF</t>
  </si>
  <si>
    <t>RILY</t>
  </si>
  <si>
    <t>RJF</t>
  </si>
  <si>
    <t>RLI</t>
  </si>
  <si>
    <t>RNST</t>
  </si>
  <si>
    <t>ROOT</t>
  </si>
  <si>
    <t>RWT</t>
  </si>
  <si>
    <t>SAFT</t>
  </si>
  <si>
    <t>SASR</t>
  </si>
  <si>
    <t>SBCF</t>
  </si>
  <si>
    <t>SBNY</t>
  </si>
  <si>
    <t>SBSI</t>
  </si>
  <si>
    <t>SCHW</t>
  </si>
  <si>
    <t>SFBS</t>
  </si>
  <si>
    <t>SFNC</t>
  </si>
  <si>
    <t>SI</t>
  </si>
  <si>
    <t>SIGI</t>
  </si>
  <si>
    <t>SIVB</t>
  </si>
  <si>
    <t>SLQT</t>
  </si>
  <si>
    <t>SNEX</t>
  </si>
  <si>
    <t>SNV</t>
  </si>
  <si>
    <t>SPGI</t>
  </si>
  <si>
    <t>SPNT</t>
  </si>
  <si>
    <t>SRCE</t>
  </si>
  <si>
    <t>SSB</t>
  </si>
  <si>
    <t>STBA</t>
  </si>
  <si>
    <t>STC</t>
  </si>
  <si>
    <t>STFC</t>
  </si>
  <si>
    <t>STL</t>
  </si>
  <si>
    <t>STT</t>
  </si>
  <si>
    <t>SYF</t>
  </si>
  <si>
    <t>TBBK</t>
  </si>
  <si>
    <t>TBK</t>
  </si>
  <si>
    <t>TCBI</t>
  </si>
  <si>
    <t>TCBK</t>
  </si>
  <si>
    <t>TFC</t>
  </si>
  <si>
    <t>THFF</t>
  </si>
  <si>
    <t>THG</t>
  </si>
  <si>
    <t>TMP</t>
  </si>
  <si>
    <t>TREE</t>
  </si>
  <si>
    <t>TRMK</t>
  </si>
  <si>
    <t>TROW</t>
  </si>
  <si>
    <t>TRST</t>
  </si>
  <si>
    <t>TRUP</t>
  </si>
  <si>
    <t>TRV</t>
  </si>
  <si>
    <t>TSC</t>
  </si>
  <si>
    <t>TWO</t>
  </si>
  <si>
    <t>UBSI</t>
  </si>
  <si>
    <t>UCBI</t>
  </si>
  <si>
    <t>UFCS</t>
  </si>
  <si>
    <t>UMBF</t>
  </si>
  <si>
    <t>UMPQ</t>
  </si>
  <si>
    <t>UNM</t>
  </si>
  <si>
    <t>USB</t>
  </si>
  <si>
    <t>UVE</t>
  </si>
  <si>
    <t>UVSP</t>
  </si>
  <si>
    <t>VBTX</t>
  </si>
  <si>
    <t>VLY</t>
  </si>
  <si>
    <t>VOYA</t>
  </si>
  <si>
    <t>VRTS</t>
  </si>
  <si>
    <t>WABC</t>
  </si>
  <si>
    <t>WAL</t>
  </si>
  <si>
    <t>WASH</t>
  </si>
  <si>
    <t>WBS</t>
  </si>
  <si>
    <t>WD</t>
  </si>
  <si>
    <t>WETF</t>
  </si>
  <si>
    <t>WFC</t>
  </si>
  <si>
    <t>WRB</t>
  </si>
  <si>
    <t>WRLD</t>
  </si>
  <si>
    <t>WSBC</t>
  </si>
  <si>
    <t>WSFS</t>
  </si>
  <si>
    <t>WTFC</t>
  </si>
  <si>
    <t>WTM</t>
  </si>
  <si>
    <t>Y</t>
  </si>
  <si>
    <t>ZION</t>
  </si>
  <si>
    <t>Financial Services</t>
  </si>
  <si>
    <t>Real Estate</t>
  </si>
  <si>
    <t>N/A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</si>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</sst>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HYPERLINK("https://www.suredividend.com/sure-analysis-research-database/","Ameris Bancorp")</f>
        <v>0</v>
      </c>
      <c r="C2" t="s">
        <v>287</v>
      </c>
      <c r="D2">
        <v>48.22</v>
      </c>
      <c r="E2">
        <v>0.012381519872608</v>
      </c>
      <c r="F2">
        <v>0</v>
      </c>
      <c r="G2">
        <v>0.08447177119769855</v>
      </c>
      <c r="H2">
        <v>0.597036888257191</v>
      </c>
      <c r="I2">
        <v>3344.139408</v>
      </c>
      <c r="J2">
        <v>9.657801751789824</v>
      </c>
      <c r="K2">
        <v>0.1198869253528496</v>
      </c>
      <c r="L2">
        <v>0.9153733849697441</v>
      </c>
      <c r="M2">
        <v>54.07</v>
      </c>
      <c r="N2">
        <v>37.97</v>
      </c>
    </row>
    <row r="3" spans="1:14">
      <c r="A3" s="1" t="s">
        <v>15</v>
      </c>
      <c r="B3">
        <f>HYPERLINK("https://www.suredividend.com/sure-analysis-research-database/","Allegiance Bancshares Inc")</f>
        <v>0</v>
      </c>
      <c r="C3" t="s">
        <v>287</v>
      </c>
      <c r="D3">
        <v>41.63</v>
      </c>
      <c r="E3">
        <v>0</v>
      </c>
      <c r="F3" t="s">
        <v>289</v>
      </c>
      <c r="G3" t="s">
        <v>289</v>
      </c>
      <c r="H3">
        <v>0.53999999910593</v>
      </c>
      <c r="I3">
        <v>0</v>
      </c>
      <c r="J3">
        <v>0</v>
      </c>
      <c r="K3">
        <v>0.1459459457043054</v>
      </c>
    </row>
    <row r="4" spans="1:14">
      <c r="A4" s="1" t="s">
        <v>16</v>
      </c>
      <c r="B4">
        <f>HYPERLINK("https://www.suredividend.com/sure-analysis-research-database/","Arch Capital Group Ltd")</f>
        <v>0</v>
      </c>
      <c r="C4" t="s">
        <v>287</v>
      </c>
      <c r="D4">
        <v>62.46</v>
      </c>
      <c r="E4">
        <v>0</v>
      </c>
      <c r="F4" t="s">
        <v>289</v>
      </c>
      <c r="G4" t="s">
        <v>289</v>
      </c>
      <c r="H4">
        <v>0</v>
      </c>
      <c r="I4">
        <v>23102.269266</v>
      </c>
      <c r="J4">
        <v>19.25551751114793</v>
      </c>
      <c r="K4">
        <v>0</v>
      </c>
      <c r="L4">
        <v>0.605276784097439</v>
      </c>
      <c r="M4">
        <v>64.37</v>
      </c>
      <c r="N4">
        <v>41.05</v>
      </c>
    </row>
    <row r="5" spans="1:14">
      <c r="A5" s="1" t="s">
        <v>17</v>
      </c>
      <c r="B5">
        <f>HYPERLINK("https://www.suredividend.com/sure-analysis-AEL/","American Equity Investment Life Holding Co")</f>
        <v>0</v>
      </c>
      <c r="C5" t="s">
        <v>287</v>
      </c>
      <c r="D5">
        <v>45.76</v>
      </c>
      <c r="E5">
        <v>0.007867132867132868</v>
      </c>
      <c r="F5" t="s">
        <v>289</v>
      </c>
      <c r="G5" t="s">
        <v>289</v>
      </c>
      <c r="H5">
        <v>0.360000014305114</v>
      </c>
      <c r="I5">
        <v>3921.735418</v>
      </c>
      <c r="J5">
        <v>3.042782151427806</v>
      </c>
      <c r="K5">
        <v>0.02606806765424432</v>
      </c>
      <c r="L5">
        <v>0.8848009630852081</v>
      </c>
      <c r="M5">
        <v>47.3</v>
      </c>
      <c r="N5">
        <v>28.05</v>
      </c>
    </row>
    <row r="6" spans="1:14">
      <c r="A6" s="1" t="s">
        <v>18</v>
      </c>
      <c r="B6">
        <f>HYPERLINK("https://www.suredividend.com/sure-analysis-AFG/","American Financial Group Inc")</f>
        <v>0</v>
      </c>
      <c r="C6" t="s">
        <v>287</v>
      </c>
      <c r="D6">
        <v>136.65</v>
      </c>
      <c r="E6">
        <v>0.01844127332601537</v>
      </c>
      <c r="F6">
        <v>0.125</v>
      </c>
      <c r="G6">
        <v>0.04730724775551032</v>
      </c>
      <c r="H6">
        <v>2.309248032617918</v>
      </c>
      <c r="I6">
        <v>11634.859685</v>
      </c>
      <c r="J6">
        <v>11.90876119237462</v>
      </c>
      <c r="K6">
        <v>0.2015050639282651</v>
      </c>
      <c r="L6">
        <v>0.66486970194879</v>
      </c>
      <c r="M6">
        <v>148.18</v>
      </c>
      <c r="N6">
        <v>110.56</v>
      </c>
    </row>
    <row r="7" spans="1:14">
      <c r="A7" s="1" t="s">
        <v>19</v>
      </c>
      <c r="B7">
        <f>HYPERLINK("https://www.suredividend.com/sure-analysis-AFL/","Aflac Inc.")</f>
        <v>0</v>
      </c>
      <c r="C7" t="s">
        <v>287</v>
      </c>
      <c r="D7">
        <v>71.05</v>
      </c>
      <c r="E7">
        <v>0.02364532019704434</v>
      </c>
      <c r="F7">
        <v>0.2121212121212122</v>
      </c>
      <c r="G7">
        <v>-0.05111991994525078</v>
      </c>
      <c r="H7">
        <v>1.585087414106384</v>
      </c>
      <c r="I7">
        <v>44178.077188</v>
      </c>
      <c r="J7">
        <v>8.739481145004946</v>
      </c>
      <c r="K7">
        <v>0.2029561349688072</v>
      </c>
      <c r="L7">
        <v>0.6800359796663801</v>
      </c>
      <c r="M7">
        <v>74.02</v>
      </c>
      <c r="N7">
        <v>51.43</v>
      </c>
    </row>
    <row r="8" spans="1:14">
      <c r="A8" s="1" t="s">
        <v>20</v>
      </c>
      <c r="B8">
        <f>HYPERLINK("https://www.suredividend.com/sure-analysis-AGO/","Assured Guaranty Ltd")</f>
        <v>0</v>
      </c>
      <c r="C8" t="s">
        <v>287</v>
      </c>
      <c r="D8">
        <v>60.76</v>
      </c>
      <c r="E8">
        <v>0.01645819618169849</v>
      </c>
      <c r="F8">
        <v>0.1363636363636365</v>
      </c>
      <c r="G8">
        <v>0.09336207394327811</v>
      </c>
      <c r="H8">
        <v>0.9935037213176721</v>
      </c>
      <c r="I8">
        <v>3645.263268</v>
      </c>
      <c r="J8">
        <v>12.44117156341297</v>
      </c>
      <c r="K8">
        <v>0.2237620993958721</v>
      </c>
      <c r="L8">
        <v>0.8657191933695241</v>
      </c>
      <c r="M8">
        <v>67.13</v>
      </c>
      <c r="N8">
        <v>45.72</v>
      </c>
    </row>
    <row r="9" spans="1:14">
      <c r="A9" s="1" t="s">
        <v>21</v>
      </c>
      <c r="B9">
        <f>HYPERLINK("https://www.suredividend.com/sure-analysis-research-database/","American International Group Inc")</f>
        <v>0</v>
      </c>
      <c r="C9" t="s">
        <v>287</v>
      </c>
      <c r="D9">
        <v>62.47</v>
      </c>
      <c r="E9">
        <v>0.020321112206305</v>
      </c>
      <c r="F9">
        <v>0</v>
      </c>
      <c r="G9">
        <v>0</v>
      </c>
      <c r="H9">
        <v>1.269459879527907</v>
      </c>
      <c r="I9">
        <v>46413.961225</v>
      </c>
      <c r="J9">
        <v>3.382448711900597</v>
      </c>
      <c r="K9">
        <v>0.07502717964112925</v>
      </c>
      <c r="L9">
        <v>0.9416771713834791</v>
      </c>
      <c r="M9">
        <v>64.88</v>
      </c>
      <c r="N9">
        <v>46.81</v>
      </c>
    </row>
    <row r="10" spans="1:14">
      <c r="A10" s="1" t="s">
        <v>22</v>
      </c>
      <c r="B10">
        <f>HYPERLINK("https://www.suredividend.com/sure-analysis-AIZ/","Assurant Inc")</f>
        <v>0</v>
      </c>
      <c r="C10" t="s">
        <v>287</v>
      </c>
      <c r="D10">
        <v>128.91</v>
      </c>
      <c r="E10">
        <v>0.02172058024978667</v>
      </c>
      <c r="F10">
        <v>0.02941176470588247</v>
      </c>
      <c r="G10">
        <v>0.04563955259127317</v>
      </c>
      <c r="H10">
        <v>2.731863226704393</v>
      </c>
      <c r="I10">
        <v>6810.499512</v>
      </c>
      <c r="J10">
        <v>20.7258049677115</v>
      </c>
      <c r="K10">
        <v>0.4638137906119513</v>
      </c>
      <c r="L10">
        <v>0.587540046754896</v>
      </c>
      <c r="M10">
        <v>192.59</v>
      </c>
      <c r="N10">
        <v>119.01</v>
      </c>
    </row>
    <row r="11" spans="1:14">
      <c r="A11" s="1" t="s">
        <v>23</v>
      </c>
      <c r="B11">
        <f>HYPERLINK("https://www.suredividend.com/sure-analysis-AJG/","Arthur J. Gallagher &amp; Co.")</f>
        <v>0</v>
      </c>
      <c r="C11" t="s">
        <v>287</v>
      </c>
      <c r="D11">
        <v>193.9</v>
      </c>
      <c r="E11">
        <v>0.01052088705518308</v>
      </c>
      <c r="F11">
        <v>0.0625</v>
      </c>
      <c r="G11">
        <v>0.04461742008699598</v>
      </c>
      <c r="H11">
        <v>2.031611749289178</v>
      </c>
      <c r="I11">
        <v>40881.876</v>
      </c>
      <c r="J11">
        <v>37.57180038599394</v>
      </c>
      <c r="K11">
        <v>0.399137868229701</v>
      </c>
      <c r="L11">
        <v>0.8377017327433131</v>
      </c>
      <c r="M11">
        <v>201.51</v>
      </c>
      <c r="N11">
        <v>145.6</v>
      </c>
    </row>
    <row r="12" spans="1:14">
      <c r="A12" s="1" t="s">
        <v>24</v>
      </c>
      <c r="B12">
        <f>HYPERLINK("https://www.suredividend.com/sure-analysis-ALL/","Allstate Corp (The)")</f>
        <v>0</v>
      </c>
      <c r="C12" t="s">
        <v>287</v>
      </c>
      <c r="D12">
        <v>125.65</v>
      </c>
      <c r="E12">
        <v>0.02705929168324711</v>
      </c>
      <c r="F12">
        <v>0.04938271604938271</v>
      </c>
      <c r="G12">
        <v>0.1306604963400571</v>
      </c>
      <c r="H12">
        <v>3.366805953593399</v>
      </c>
      <c r="I12">
        <v>33323.582973</v>
      </c>
      <c r="J12" t="s">
        <v>289</v>
      </c>
      <c r="K12" t="s">
        <v>289</v>
      </c>
      <c r="L12">
        <v>0.6034105205015681</v>
      </c>
      <c r="M12">
        <v>142.15</v>
      </c>
      <c r="N12">
        <v>110.37</v>
      </c>
    </row>
    <row r="13" spans="1:14">
      <c r="A13" s="1" t="s">
        <v>25</v>
      </c>
      <c r="B13">
        <f>HYPERLINK("https://www.suredividend.com/sure-analysis-research-database/","AMBAC Financial Group Inc.")</f>
        <v>0</v>
      </c>
      <c r="C13" t="s">
        <v>287</v>
      </c>
      <c r="D13">
        <v>17.29</v>
      </c>
      <c r="E13">
        <v>0</v>
      </c>
      <c r="F13" t="s">
        <v>289</v>
      </c>
      <c r="G13" t="s">
        <v>289</v>
      </c>
      <c r="H13">
        <v>0</v>
      </c>
      <c r="I13">
        <v>777.552549</v>
      </c>
      <c r="J13">
        <v>0</v>
      </c>
      <c r="K13" t="s">
        <v>289</v>
      </c>
      <c r="L13">
        <v>0.6528658982812511</v>
      </c>
      <c r="M13">
        <v>17.59</v>
      </c>
      <c r="N13">
        <v>7.24</v>
      </c>
    </row>
    <row r="14" spans="1:14">
      <c r="A14" s="1" t="s">
        <v>26</v>
      </c>
      <c r="B14">
        <f>HYPERLINK("https://www.suredividend.com/sure-analysis-AMP/","Ameriprise Financial Inc")</f>
        <v>0</v>
      </c>
      <c r="C14" t="s">
        <v>287</v>
      </c>
      <c r="D14">
        <v>333.25</v>
      </c>
      <c r="E14">
        <v>0.01500375093773443</v>
      </c>
      <c r="F14">
        <v>0.1061946902654869</v>
      </c>
      <c r="G14">
        <v>0.08534143692781315</v>
      </c>
      <c r="H14">
        <v>4.849137154860001</v>
      </c>
      <c r="I14">
        <v>35463.531567</v>
      </c>
      <c r="J14">
        <v>12.82123339361894</v>
      </c>
      <c r="K14">
        <v>0.2018791488284763</v>
      </c>
      <c r="L14">
        <v>1.237962307262165</v>
      </c>
      <c r="M14">
        <v>339.41</v>
      </c>
      <c r="N14">
        <v>218.08</v>
      </c>
    </row>
    <row r="15" spans="1:14">
      <c r="A15" s="1" t="s">
        <v>27</v>
      </c>
      <c r="B15">
        <f>HYPERLINK("https://www.suredividend.com/sure-analysis-research-database/","Amerisafe Inc")</f>
        <v>0</v>
      </c>
      <c r="C15" t="s">
        <v>287</v>
      </c>
      <c r="D15">
        <v>52.13</v>
      </c>
      <c r="E15">
        <v>0.02358117509664</v>
      </c>
      <c r="F15">
        <v>11.90322580645161</v>
      </c>
      <c r="G15">
        <v>0.7411011265922482</v>
      </c>
      <c r="H15">
        <v>1.229286657787854</v>
      </c>
      <c r="I15">
        <v>998.595659</v>
      </c>
      <c r="J15">
        <v>26.02881948364395</v>
      </c>
      <c r="K15">
        <v>0.620851847367603</v>
      </c>
      <c r="L15">
        <v>0.4970305534406591</v>
      </c>
      <c r="M15">
        <v>60.17</v>
      </c>
      <c r="N15">
        <v>42.99</v>
      </c>
    </row>
    <row r="16" spans="1:14">
      <c r="A16" s="1" t="s">
        <v>28</v>
      </c>
      <c r="B16">
        <f>HYPERLINK("https://www.suredividend.com/sure-analysis-research-database/","American National Group Inc")</f>
        <v>0</v>
      </c>
      <c r="C16" t="s">
        <v>287</v>
      </c>
      <c r="D16">
        <v>190.02</v>
      </c>
      <c r="E16">
        <v>0</v>
      </c>
      <c r="F16" t="s">
        <v>289</v>
      </c>
      <c r="G16" t="s">
        <v>289</v>
      </c>
      <c r="H16">
        <v>2.459999978542328</v>
      </c>
      <c r="I16">
        <v>0</v>
      </c>
      <c r="J16">
        <v>0</v>
      </c>
      <c r="K16">
        <v>0.1036662443549232</v>
      </c>
    </row>
    <row r="17" spans="1:14">
      <c r="A17" s="1" t="s">
        <v>29</v>
      </c>
      <c r="B17">
        <f>HYPERLINK("https://www.suredividend.com/sure-analysis-AON/","Aon plc.")</f>
        <v>0</v>
      </c>
      <c r="C17" t="s">
        <v>287</v>
      </c>
      <c r="D17">
        <v>325.4</v>
      </c>
      <c r="E17">
        <v>0.006883835279655809</v>
      </c>
      <c r="F17" t="s">
        <v>289</v>
      </c>
      <c r="G17" t="s">
        <v>289</v>
      </c>
      <c r="H17">
        <v>2.183906126728811</v>
      </c>
      <c r="I17">
        <v>67309.945374</v>
      </c>
      <c r="J17">
        <v>0</v>
      </c>
      <c r="K17" t="s">
        <v>289</v>
      </c>
      <c r="L17">
        <v>0.851288861724095</v>
      </c>
      <c r="M17">
        <v>340.07</v>
      </c>
      <c r="N17">
        <v>245.26</v>
      </c>
    </row>
    <row r="18" spans="1:14">
      <c r="A18" s="1" t="s">
        <v>30</v>
      </c>
      <c r="B18">
        <f>HYPERLINK("https://www.suredividend.com/sure-analysis-research-database/","Argo Group International Holdings Ltd")</f>
        <v>0</v>
      </c>
      <c r="C18" t="s">
        <v>287</v>
      </c>
      <c r="D18">
        <v>27.3</v>
      </c>
      <c r="E18">
        <v>0.04460069177148401</v>
      </c>
      <c r="F18">
        <v>0</v>
      </c>
      <c r="G18">
        <v>0.0280153179958833</v>
      </c>
      <c r="H18">
        <v>1.217598885361515</v>
      </c>
      <c r="I18">
        <v>957.015095</v>
      </c>
      <c r="J18" t="s">
        <v>289</v>
      </c>
      <c r="K18" t="s">
        <v>289</v>
      </c>
      <c r="L18">
        <v>0.6472411174188091</v>
      </c>
      <c r="M18">
        <v>57.01</v>
      </c>
      <c r="N18">
        <v>18.78</v>
      </c>
    </row>
    <row r="19" spans="1:14">
      <c r="A19" s="1" t="s">
        <v>31</v>
      </c>
      <c r="B19">
        <f>HYPERLINK("https://www.suredividend.com/sure-analysis-ARI/","Apollo Commercial Real Estate Finance Inc")</f>
        <v>0</v>
      </c>
      <c r="C19" t="s">
        <v>288</v>
      </c>
      <c r="D19">
        <v>11.7</v>
      </c>
      <c r="E19">
        <v>0.1196581196581197</v>
      </c>
      <c r="F19">
        <v>0</v>
      </c>
      <c r="G19">
        <v>-0.05319173028852708</v>
      </c>
      <c r="H19">
        <v>1.330697498050735</v>
      </c>
      <c r="I19">
        <v>1644.973142</v>
      </c>
      <c r="J19">
        <v>5.669056582933275</v>
      </c>
      <c r="K19">
        <v>0.7351919878733343</v>
      </c>
      <c r="L19">
        <v>1.154246056569951</v>
      </c>
      <c r="M19">
        <v>12.86</v>
      </c>
      <c r="N19">
        <v>7.66</v>
      </c>
    </row>
    <row r="20" spans="1:14">
      <c r="A20" s="1" t="s">
        <v>32</v>
      </c>
      <c r="B20">
        <f>HYPERLINK("https://www.suredividend.com/sure-analysis-ARR/","ARMOUR Residential REIT Inc")</f>
        <v>0</v>
      </c>
      <c r="C20" t="s">
        <v>288</v>
      </c>
      <c r="D20">
        <v>6.11</v>
      </c>
      <c r="E20">
        <v>0.1963993453355155</v>
      </c>
      <c r="F20">
        <v>0</v>
      </c>
      <c r="G20">
        <v>0</v>
      </c>
      <c r="H20">
        <v>1.1007990618839</v>
      </c>
      <c r="I20">
        <v>807.375553</v>
      </c>
      <c r="J20" t="s">
        <v>289</v>
      </c>
      <c r="K20" t="s">
        <v>289</v>
      </c>
      <c r="L20">
        <v>0.8210735344298461</v>
      </c>
      <c r="M20">
        <v>8.039999999999999</v>
      </c>
      <c r="N20">
        <v>4.08</v>
      </c>
    </row>
    <row r="21" spans="1:14">
      <c r="A21" s="1" t="s">
        <v>33</v>
      </c>
      <c r="B21">
        <f>HYPERLINK("https://www.suredividend.com/sure-analysis-ASB/","Associated Banc-Corp.")</f>
        <v>0</v>
      </c>
      <c r="C21" t="s">
        <v>287</v>
      </c>
      <c r="D21">
        <v>22.37</v>
      </c>
      <c r="E21">
        <v>0.03576218149307108</v>
      </c>
      <c r="F21">
        <v>0.04999999999999982</v>
      </c>
      <c r="G21">
        <v>0.06961037572506878</v>
      </c>
      <c r="H21">
        <v>0.8009674270449001</v>
      </c>
      <c r="I21">
        <v>3363.535259</v>
      </c>
      <c r="J21">
        <v>10.49897386524247</v>
      </c>
      <c r="K21">
        <v>0.376041045560986</v>
      </c>
      <c r="L21">
        <v>0.8418825347773871</v>
      </c>
      <c r="M21">
        <v>25.28</v>
      </c>
      <c r="N21">
        <v>17.13</v>
      </c>
    </row>
    <row r="22" spans="1:14">
      <c r="A22" s="1" t="s">
        <v>34</v>
      </c>
      <c r="B22">
        <f>HYPERLINK("https://www.suredividend.com/sure-analysis-research-database/","Athene Holding Ltd")</f>
        <v>0</v>
      </c>
      <c r="C22" t="s">
        <v>287</v>
      </c>
      <c r="D22">
        <v>83.33</v>
      </c>
      <c r="E22">
        <v>0</v>
      </c>
      <c r="F22" t="s">
        <v>289</v>
      </c>
      <c r="G22" t="s">
        <v>289</v>
      </c>
      <c r="H22">
        <v>0</v>
      </c>
      <c r="I22">
        <v>16011.154278</v>
      </c>
      <c r="J22">
        <v>4.300605500459307</v>
      </c>
      <c r="K22">
        <v>0</v>
      </c>
      <c r="L22">
        <v>1.23803114889401</v>
      </c>
      <c r="M22">
        <v>91.26000000000001</v>
      </c>
      <c r="N22">
        <v>40.21</v>
      </c>
    </row>
    <row r="23" spans="1:14">
      <c r="A23" s="1" t="s">
        <v>35</v>
      </c>
      <c r="B23">
        <f>HYPERLINK("https://www.suredividend.com/sure-analysis-research-database/","Atlantic Union Bankshares Corp")</f>
        <v>0</v>
      </c>
      <c r="C23" t="s">
        <v>287</v>
      </c>
      <c r="D23">
        <v>36.38</v>
      </c>
      <c r="E23">
        <v>0.031202679984564</v>
      </c>
      <c r="F23">
        <v>0.0714285714285714</v>
      </c>
      <c r="G23">
        <v>0.07394092378577932</v>
      </c>
      <c r="H23">
        <v>1.135153497838463</v>
      </c>
      <c r="I23">
        <v>2718.004625</v>
      </c>
      <c r="J23">
        <v>13.59702559147961</v>
      </c>
      <c r="K23">
        <v>0.4267494352776177</v>
      </c>
      <c r="L23">
        <v>0.778684942642841</v>
      </c>
      <c r="M23">
        <v>40.57</v>
      </c>
      <c r="N23">
        <v>29.73</v>
      </c>
    </row>
    <row r="24" spans="1:14">
      <c r="A24" s="1" t="s">
        <v>36</v>
      </c>
      <c r="B24">
        <f>HYPERLINK("https://www.suredividend.com/sure-analysis-research-database/","Axos Financial Inc.")</f>
        <v>0</v>
      </c>
      <c r="C24" t="s">
        <v>287</v>
      </c>
      <c r="D24">
        <v>41.58</v>
      </c>
      <c r="E24">
        <v>0</v>
      </c>
      <c r="F24" t="s">
        <v>289</v>
      </c>
      <c r="G24" t="s">
        <v>289</v>
      </c>
      <c r="H24">
        <v>0</v>
      </c>
      <c r="I24">
        <v>2494.772516</v>
      </c>
      <c r="J24">
        <v>10.44217985467513</v>
      </c>
      <c r="K24">
        <v>0</v>
      </c>
      <c r="L24">
        <v>1.249368044690702</v>
      </c>
      <c r="M24">
        <v>56.5</v>
      </c>
      <c r="N24">
        <v>33.91</v>
      </c>
    </row>
    <row r="25" spans="1:14">
      <c r="A25" s="1" t="s">
        <v>37</v>
      </c>
      <c r="B25">
        <f>HYPERLINK("https://www.suredividend.com/sure-analysis-AXP/","American Express Co.")</f>
        <v>0</v>
      </c>
      <c r="C25" t="s">
        <v>287</v>
      </c>
      <c r="D25">
        <v>151.6</v>
      </c>
      <c r="E25">
        <v>0.01372031662269129</v>
      </c>
      <c r="F25">
        <v>0.2093023255813955</v>
      </c>
      <c r="G25">
        <v>0.08239819622948685</v>
      </c>
      <c r="H25">
        <v>2.06874535852568</v>
      </c>
      <c r="I25">
        <v>113280.476714</v>
      </c>
      <c r="J25">
        <v>15.03789681582371</v>
      </c>
      <c r="K25">
        <v>0.2077053572816948</v>
      </c>
      <c r="L25">
        <v>1.148848588953139</v>
      </c>
      <c r="M25">
        <v>196.81</v>
      </c>
      <c r="N25">
        <v>130.2</v>
      </c>
    </row>
    <row r="26" spans="1:14">
      <c r="A26" s="1" t="s">
        <v>38</v>
      </c>
      <c r="B26">
        <f>HYPERLINK("https://www.suredividend.com/sure-analysis-AXS/","Axis Capital Holdings Ltd")</f>
        <v>0</v>
      </c>
      <c r="C26" t="s">
        <v>287</v>
      </c>
      <c r="D26">
        <v>57.07</v>
      </c>
      <c r="E26">
        <v>0.03013842649377957</v>
      </c>
      <c r="F26">
        <v>0.02325581395348841</v>
      </c>
      <c r="G26">
        <v>0.02441897433224605</v>
      </c>
      <c r="H26">
        <v>1.709024972380181</v>
      </c>
      <c r="I26">
        <v>4831.939755</v>
      </c>
      <c r="J26">
        <v>13.83590207861823</v>
      </c>
      <c r="K26">
        <v>0.4178545164743719</v>
      </c>
      <c r="L26">
        <v>0.6904927970175191</v>
      </c>
      <c r="M26">
        <v>59.92</v>
      </c>
      <c r="N26">
        <v>47.78</v>
      </c>
    </row>
    <row r="27" spans="1:14">
      <c r="A27" s="1" t="s">
        <v>39</v>
      </c>
      <c r="B27">
        <f>HYPERLINK("https://www.suredividend.com/sure-analysis-BAC/","Bank Of America Corp.")</f>
        <v>0</v>
      </c>
      <c r="C27" t="s">
        <v>287</v>
      </c>
      <c r="D27">
        <v>33.85</v>
      </c>
      <c r="E27">
        <v>0.02599704579025111</v>
      </c>
      <c r="F27">
        <v>0.04761904761904767</v>
      </c>
      <c r="G27">
        <v>0.1288813207301975</v>
      </c>
      <c r="H27">
        <v>0.852359619344742</v>
      </c>
      <c r="I27">
        <v>271559.33129</v>
      </c>
      <c r="J27">
        <v>10.49139743819155</v>
      </c>
      <c r="K27">
        <v>0.2697340567546652</v>
      </c>
      <c r="L27">
        <v>0.9621097324394441</v>
      </c>
      <c r="M27">
        <v>48.97</v>
      </c>
      <c r="N27">
        <v>29.14</v>
      </c>
    </row>
    <row r="28" spans="1:14">
      <c r="A28" s="1" t="s">
        <v>40</v>
      </c>
      <c r="B28">
        <f>HYPERLINK("https://www.suredividend.com/sure-analysis-research-database/","Banc of California Inc")</f>
        <v>0</v>
      </c>
      <c r="C28" t="s">
        <v>287</v>
      </c>
      <c r="D28">
        <v>16.91</v>
      </c>
      <c r="E28">
        <v>0.014115266406867</v>
      </c>
      <c r="F28">
        <v>0</v>
      </c>
      <c r="G28">
        <v>-0.1432747249506905</v>
      </c>
      <c r="H28">
        <v>0.238689154940129</v>
      </c>
      <c r="I28">
        <v>1009.218562</v>
      </c>
      <c r="J28">
        <v>10.27455903894121</v>
      </c>
      <c r="K28">
        <v>0.1501189653711503</v>
      </c>
      <c r="L28">
        <v>0.831397228131167</v>
      </c>
      <c r="M28">
        <v>20.43</v>
      </c>
      <c r="N28">
        <v>14.86</v>
      </c>
    </row>
    <row r="29" spans="1:14">
      <c r="A29" s="1" t="s">
        <v>41</v>
      </c>
      <c r="B29">
        <f>HYPERLINK("https://www.suredividend.com/sure-analysis-BANF/","Bancfirst Corp.")</f>
        <v>0</v>
      </c>
      <c r="C29" t="s">
        <v>287</v>
      </c>
      <c r="D29">
        <v>82.78</v>
      </c>
      <c r="E29">
        <v>0.01836192316984779</v>
      </c>
      <c r="F29">
        <v>0.1111111111111112</v>
      </c>
      <c r="G29">
        <v>0.137543830351883</v>
      </c>
      <c r="H29">
        <v>1.510451822488914</v>
      </c>
      <c r="I29">
        <v>2721.025453</v>
      </c>
      <c r="J29">
        <v>15.62532561633609</v>
      </c>
      <c r="K29">
        <v>0.2893585866837</v>
      </c>
      <c r="L29">
        <v>0.5038523653237781</v>
      </c>
      <c r="M29">
        <v>117.02</v>
      </c>
      <c r="N29">
        <v>71.79000000000001</v>
      </c>
    </row>
    <row r="30" spans="1:14">
      <c r="A30" s="1" t="s">
        <v>42</v>
      </c>
      <c r="B30">
        <f>HYPERLINK("https://www.suredividend.com/sure-analysis-research-database/","Banner Corp.")</f>
        <v>0</v>
      </c>
      <c r="C30" t="s">
        <v>287</v>
      </c>
      <c r="D30">
        <v>64.43000000000001</v>
      </c>
      <c r="E30">
        <v>0.027038984414272</v>
      </c>
      <c r="F30">
        <v>0.07317073170731692</v>
      </c>
      <c r="G30">
        <v>-0.02524261446920795</v>
      </c>
      <c r="H30">
        <v>1.742121765811594</v>
      </c>
      <c r="I30">
        <v>2202.88934</v>
      </c>
      <c r="J30">
        <v>11.53798266581118</v>
      </c>
      <c r="K30">
        <v>0.3156017691687671</v>
      </c>
      <c r="L30">
        <v>0.72811696016408</v>
      </c>
      <c r="M30">
        <v>75.72</v>
      </c>
      <c r="N30">
        <v>51.66</v>
      </c>
    </row>
    <row r="31" spans="1:14">
      <c r="A31" s="1" t="s">
        <v>43</v>
      </c>
      <c r="B31">
        <f>HYPERLINK("https://www.suredividend.com/sure-analysis-research-database/","Blucora Inc")</f>
        <v>0</v>
      </c>
      <c r="C31" t="s">
        <v>287</v>
      </c>
      <c r="D31">
        <v>27.24</v>
      </c>
      <c r="E31">
        <v>0</v>
      </c>
      <c r="F31" t="s">
        <v>289</v>
      </c>
      <c r="G31" t="s">
        <v>289</v>
      </c>
      <c r="H31">
        <v>0</v>
      </c>
      <c r="I31">
        <v>1304.366779</v>
      </c>
      <c r="J31">
        <v>45.75120236127674</v>
      </c>
      <c r="K31">
        <v>0</v>
      </c>
      <c r="L31">
        <v>0.838016470519043</v>
      </c>
      <c r="M31">
        <v>27.5</v>
      </c>
      <c r="N31">
        <v>15.1</v>
      </c>
    </row>
    <row r="32" spans="1:14">
      <c r="A32" s="1" t="s">
        <v>44</v>
      </c>
      <c r="B32">
        <f>HYPERLINK("https://www.suredividend.com/sure-analysis-BEN/","Franklin Resources, Inc.")</f>
        <v>0</v>
      </c>
      <c r="C32" t="s">
        <v>287</v>
      </c>
      <c r="D32">
        <v>30.04</v>
      </c>
      <c r="E32">
        <v>0.03994673768308921</v>
      </c>
      <c r="F32">
        <v>0.03448275862068995</v>
      </c>
      <c r="G32">
        <v>0.05457794330579446</v>
      </c>
      <c r="H32">
        <v>1.1494802436171</v>
      </c>
      <c r="I32">
        <v>15027.751882</v>
      </c>
      <c r="J32">
        <v>9.093949701712557</v>
      </c>
      <c r="K32">
        <v>0.3410920604205044</v>
      </c>
      <c r="L32">
        <v>1.259959026883677</v>
      </c>
      <c r="M32">
        <v>31.54</v>
      </c>
      <c r="N32">
        <v>20.01</v>
      </c>
    </row>
    <row r="33" spans="1:14">
      <c r="A33" s="1" t="s">
        <v>45</v>
      </c>
      <c r="B33">
        <f>HYPERLINK("https://www.suredividend.com/sure-analysis-research-database/","Brighthouse Financial Inc")</f>
        <v>0</v>
      </c>
      <c r="C33" t="s">
        <v>287</v>
      </c>
      <c r="D33">
        <v>53.03</v>
      </c>
      <c r="E33">
        <v>0</v>
      </c>
      <c r="F33" t="s">
        <v>289</v>
      </c>
      <c r="G33" t="s">
        <v>289</v>
      </c>
      <c r="H33">
        <v>0</v>
      </c>
      <c r="I33">
        <v>3665.94762</v>
      </c>
      <c r="J33">
        <v>4.028513867901099</v>
      </c>
      <c r="K33">
        <v>0</v>
      </c>
      <c r="L33">
        <v>1.34342769433078</v>
      </c>
      <c r="M33">
        <v>62.33</v>
      </c>
      <c r="N33">
        <v>38.38</v>
      </c>
    </row>
    <row r="34" spans="1:14">
      <c r="A34" s="1" t="s">
        <v>46</v>
      </c>
      <c r="B34">
        <f>HYPERLINK("https://www.suredividend.com/sure-analysis-research-database/","Berkshire Hills Bancorp Inc.")</f>
        <v>0</v>
      </c>
      <c r="C34" t="s">
        <v>287</v>
      </c>
      <c r="D34">
        <v>28.46</v>
      </c>
      <c r="E34">
        <v>0.018845313399879</v>
      </c>
      <c r="F34">
        <v>0.5</v>
      </c>
      <c r="G34">
        <v>-0.03933943162756326</v>
      </c>
      <c r="H34">
        <v>0.536337619360565</v>
      </c>
      <c r="I34">
        <v>1281.413265</v>
      </c>
      <c r="J34">
        <v>15.57456930964072</v>
      </c>
      <c r="K34">
        <v>0.3047372837275937</v>
      </c>
      <c r="L34">
        <v>0.8103072638304251</v>
      </c>
      <c r="M34">
        <v>31.63</v>
      </c>
      <c r="N34">
        <v>23.38</v>
      </c>
    </row>
    <row r="35" spans="1:14">
      <c r="A35" s="1" t="s">
        <v>47</v>
      </c>
      <c r="B35">
        <f>HYPERLINK("https://www.suredividend.com/sure-analysis-BK/","Bank Of New York Mellon Corp")</f>
        <v>0</v>
      </c>
      <c r="C35" t="s">
        <v>287</v>
      </c>
      <c r="D35">
        <v>49.24</v>
      </c>
      <c r="E35">
        <v>0.03005686433793664</v>
      </c>
      <c r="F35">
        <v>0.08823529411764697</v>
      </c>
      <c r="G35">
        <v>0.0904307661344419</v>
      </c>
      <c r="H35">
        <v>1.761693859909441</v>
      </c>
      <c r="I35">
        <v>39799.704689</v>
      </c>
      <c r="J35">
        <v>14.87839427617196</v>
      </c>
      <c r="K35">
        <v>0.5371017865577564</v>
      </c>
      <c r="L35">
        <v>0.937086694800177</v>
      </c>
      <c r="M35">
        <v>62.53</v>
      </c>
      <c r="N35">
        <v>35.63</v>
      </c>
    </row>
    <row r="36" spans="1:14">
      <c r="A36" s="1" t="s">
        <v>48</v>
      </c>
      <c r="B36">
        <f>HYPERLINK("https://www.suredividend.com/sure-analysis-research-database/","BankUnited Inc")</f>
        <v>0</v>
      </c>
      <c r="C36" t="s">
        <v>287</v>
      </c>
      <c r="D36">
        <v>35.15</v>
      </c>
      <c r="E36">
        <v>0.028145946501736</v>
      </c>
      <c r="F36">
        <v>0.08695652173913038</v>
      </c>
      <c r="G36">
        <v>0.03548578845590522</v>
      </c>
      <c r="H36">
        <v>0.9893300195360371</v>
      </c>
      <c r="I36">
        <v>2716.044331</v>
      </c>
      <c r="J36">
        <v>7.977595925941156</v>
      </c>
      <c r="K36">
        <v>0.2372494051645173</v>
      </c>
      <c r="L36">
        <v>1.017108414981083</v>
      </c>
      <c r="M36">
        <v>44.62</v>
      </c>
      <c r="N36">
        <v>30.75</v>
      </c>
    </row>
    <row r="37" spans="1:14">
      <c r="A37" s="1" t="s">
        <v>49</v>
      </c>
      <c r="B37">
        <f>HYPERLINK("https://www.suredividend.com/sure-analysis-BLK/","Blackrock Inc.")</f>
        <v>0</v>
      </c>
      <c r="C37" t="s">
        <v>287</v>
      </c>
      <c r="D37">
        <v>741.71</v>
      </c>
      <c r="E37">
        <v>0.0276388345849456</v>
      </c>
      <c r="F37">
        <v>0.1815980629539951</v>
      </c>
      <c r="G37">
        <v>0.1112338617639914</v>
      </c>
      <c r="H37">
        <v>19.38531306616028</v>
      </c>
      <c r="I37">
        <v>111401.561417</v>
      </c>
      <c r="J37">
        <v>20.02904736006293</v>
      </c>
      <c r="K37">
        <v>0.5337365932312851</v>
      </c>
      <c r="L37">
        <v>1.287822901195821</v>
      </c>
      <c r="M37">
        <v>814.34</v>
      </c>
      <c r="N37">
        <v>499.68</v>
      </c>
    </row>
    <row r="38" spans="1:14">
      <c r="A38" s="1" t="s">
        <v>50</v>
      </c>
      <c r="B38">
        <f>HYPERLINK("https://www.suredividend.com/sure-analysis-research-database/","Bryn Mawr Bank Corp.")</f>
        <v>0</v>
      </c>
      <c r="C38" t="s">
        <v>287</v>
      </c>
      <c r="D38">
        <v>45.01</v>
      </c>
      <c r="E38">
        <v>0</v>
      </c>
      <c r="F38" t="s">
        <v>289</v>
      </c>
      <c r="G38" t="s">
        <v>289</v>
      </c>
      <c r="H38">
        <v>1.100000023841858</v>
      </c>
      <c r="I38">
        <v>0</v>
      </c>
      <c r="J38">
        <v>0</v>
      </c>
      <c r="K38">
        <v>0.304709147878631</v>
      </c>
    </row>
    <row r="39" spans="1:14">
      <c r="A39" s="1" t="s">
        <v>51</v>
      </c>
      <c r="B39">
        <f>HYPERLINK("https://www.suredividend.com/sure-analysis-research-database/","Bank of Hawaii Corp.")</f>
        <v>0</v>
      </c>
      <c r="C39" t="s">
        <v>287</v>
      </c>
      <c r="D39">
        <v>78.52</v>
      </c>
      <c r="E39">
        <v>0.035191807448809</v>
      </c>
      <c r="F39">
        <v>0</v>
      </c>
      <c r="G39">
        <v>0.06125302037503699</v>
      </c>
      <c r="H39">
        <v>2.763260720880518</v>
      </c>
      <c r="I39">
        <v>3141.807647</v>
      </c>
      <c r="J39">
        <v>14.25127528672128</v>
      </c>
      <c r="K39">
        <v>0.4996854829802022</v>
      </c>
      <c r="L39">
        <v>0.7281469626429</v>
      </c>
      <c r="M39">
        <v>86.23</v>
      </c>
      <c r="N39">
        <v>69.54000000000001</v>
      </c>
    </row>
    <row r="40" spans="1:14">
      <c r="A40" s="1" t="s">
        <v>52</v>
      </c>
      <c r="B40">
        <f>HYPERLINK("https://www.suredividend.com/sure-analysis-BOKF/","BOK Financial Corp.")</f>
        <v>0</v>
      </c>
      <c r="C40" t="s">
        <v>287</v>
      </c>
      <c r="D40">
        <v>97.58</v>
      </c>
      <c r="E40">
        <v>0.02172576347612216</v>
      </c>
      <c r="F40">
        <v>0.01886792452830188</v>
      </c>
      <c r="G40">
        <v>0.03713728933664817</v>
      </c>
      <c r="H40">
        <v>2.112617792814062</v>
      </c>
      <c r="I40">
        <v>6562.682693</v>
      </c>
      <c r="J40">
        <v>14.09026686091549</v>
      </c>
      <c r="K40">
        <v>0.3066208697843341</v>
      </c>
      <c r="L40">
        <v>0.722313531423829</v>
      </c>
      <c r="M40">
        <v>110.28</v>
      </c>
      <c r="N40">
        <v>69.45999999999999</v>
      </c>
    </row>
    <row r="41" spans="1:14">
      <c r="A41" s="1" t="s">
        <v>53</v>
      </c>
      <c r="B41">
        <f>HYPERLINK("https://www.suredividend.com/sure-analysis-research-database/","Popular Inc.")</f>
        <v>0</v>
      </c>
      <c r="C41" t="s">
        <v>287</v>
      </c>
      <c r="D41">
        <v>68.83</v>
      </c>
      <c r="E41">
        <v>0.031713500950989</v>
      </c>
      <c r="F41">
        <v>3.14116088033551</v>
      </c>
      <c r="G41">
        <v>0.1708049129648923</v>
      </c>
      <c r="H41">
        <v>2.18284027045662</v>
      </c>
      <c r="I41">
        <v>5003.557755</v>
      </c>
      <c r="J41">
        <v>4.764594292418064</v>
      </c>
      <c r="K41">
        <v>0.1602672738954934</v>
      </c>
      <c r="L41">
        <v>0.9102670440883701</v>
      </c>
      <c r="M41">
        <v>93.23</v>
      </c>
      <c r="N41">
        <v>62.55</v>
      </c>
    </row>
    <row r="42" spans="1:14">
      <c r="A42" s="1" t="s">
        <v>54</v>
      </c>
      <c r="B42">
        <f>HYPERLINK("https://www.suredividend.com/sure-analysis-research-database/","Berkshire Hathaway Inc.")</f>
        <v>0</v>
      </c>
      <c r="C42" t="s">
        <v>287</v>
      </c>
      <c r="D42">
        <v>309.87</v>
      </c>
      <c r="E42">
        <v>0</v>
      </c>
      <c r="F42" t="s">
        <v>289</v>
      </c>
      <c r="G42" t="s">
        <v>289</v>
      </c>
      <c r="H42">
        <v>0</v>
      </c>
      <c r="I42">
        <v>683741.313892</v>
      </c>
      <c r="J42">
        <v>0</v>
      </c>
      <c r="K42" t="s">
        <v>289</v>
      </c>
      <c r="L42">
        <v>0.7652691987019621</v>
      </c>
      <c r="M42">
        <v>362.1</v>
      </c>
      <c r="N42">
        <v>259.85</v>
      </c>
    </row>
    <row r="43" spans="1:14">
      <c r="A43" s="1" t="s">
        <v>55</v>
      </c>
      <c r="B43">
        <f>HYPERLINK("https://www.suredividend.com/sure-analysis-research-database/","Brookline Bancorp, Inc.")</f>
        <v>0</v>
      </c>
      <c r="C43" t="s">
        <v>287</v>
      </c>
      <c r="D43">
        <v>13.39</v>
      </c>
      <c r="E43">
        <v>0.037896595189586</v>
      </c>
      <c r="F43">
        <v>0.08000000000000007</v>
      </c>
      <c r="G43">
        <v>0.06185875879493463</v>
      </c>
      <c r="H43">
        <v>0.507435409588568</v>
      </c>
      <c r="I43">
        <v>1028.944266</v>
      </c>
      <c r="J43">
        <v>9.475148410409416</v>
      </c>
      <c r="K43">
        <v>0.3624538639918343</v>
      </c>
      <c r="L43">
        <v>0.6152609335896571</v>
      </c>
      <c r="M43">
        <v>16.93</v>
      </c>
      <c r="N43">
        <v>11.35</v>
      </c>
    </row>
    <row r="44" spans="1:14">
      <c r="A44" s="1" t="s">
        <v>56</v>
      </c>
      <c r="B44">
        <f>HYPERLINK("https://www.suredividend.com/sure-analysis-BRO/","Brown &amp; Brown, Inc.")</f>
        <v>0</v>
      </c>
      <c r="C44" t="s">
        <v>287</v>
      </c>
      <c r="D44">
        <v>61.72</v>
      </c>
      <c r="E44">
        <v>0.00745301360985094</v>
      </c>
      <c r="F44" t="s">
        <v>289</v>
      </c>
      <c r="G44" t="s">
        <v>289</v>
      </c>
      <c r="H44">
        <v>0.421399650828604</v>
      </c>
      <c r="I44">
        <v>17480.484491</v>
      </c>
      <c r="J44">
        <v>28.35812084189488</v>
      </c>
      <c r="K44">
        <v>0.1906785750355674</v>
      </c>
      <c r="L44">
        <v>0.940205144129702</v>
      </c>
      <c r="M44">
        <v>73.61</v>
      </c>
      <c r="N44">
        <v>52.72</v>
      </c>
    </row>
    <row r="45" spans="1:14">
      <c r="A45" s="1" t="s">
        <v>57</v>
      </c>
      <c r="B45">
        <f>HYPERLINK("https://www.suredividend.com/sure-analysis-research-database/","BrightSphere Investment Group Inc")</f>
        <v>0</v>
      </c>
      <c r="C45" t="s">
        <v>287</v>
      </c>
      <c r="D45">
        <v>22.83</v>
      </c>
      <c r="E45">
        <v>0.001750673549975</v>
      </c>
      <c r="F45">
        <v>0</v>
      </c>
      <c r="G45">
        <v>-0.3556059850227458</v>
      </c>
      <c r="H45">
        <v>0.039967877145949</v>
      </c>
      <c r="I45">
        <v>945.9349099999999</v>
      </c>
      <c r="J45">
        <v>0</v>
      </c>
      <c r="K45" t="s">
        <v>289</v>
      </c>
      <c r="L45">
        <v>1.064833983793726</v>
      </c>
      <c r="M45">
        <v>26.44</v>
      </c>
      <c r="N45">
        <v>14.72</v>
      </c>
    </row>
    <row r="46" spans="1:14">
      <c r="A46" s="1" t="s">
        <v>58</v>
      </c>
      <c r="B46">
        <f>HYPERLINK("https://www.suredividend.com/sure-analysis-research-database/","First Busey Corp.")</f>
        <v>0</v>
      </c>
      <c r="C46" t="s">
        <v>287</v>
      </c>
      <c r="D46">
        <v>24.03</v>
      </c>
      <c r="E46">
        <v>0.038145472030928</v>
      </c>
      <c r="F46">
        <v>0.04347826086956519</v>
      </c>
      <c r="G46">
        <v>0.03713728933664817</v>
      </c>
      <c r="H46">
        <v>0.9166356929032191</v>
      </c>
      <c r="I46">
        <v>1327.235389</v>
      </c>
      <c r="J46">
        <v>10.71647467920872</v>
      </c>
      <c r="K46">
        <v>0.4166525876832814</v>
      </c>
      <c r="L46">
        <v>0.6326386945336501</v>
      </c>
      <c r="M46">
        <v>27.89</v>
      </c>
      <c r="N46">
        <v>21.04</v>
      </c>
    </row>
    <row r="47" spans="1:14">
      <c r="A47" s="1" t="s">
        <v>59</v>
      </c>
      <c r="B47">
        <f>HYPERLINK("https://www.suredividend.com/sure-analysis-C/","Citigroup Inc")</f>
        <v>0</v>
      </c>
      <c r="C47" t="s">
        <v>287</v>
      </c>
      <c r="D47">
        <v>51.09</v>
      </c>
      <c r="E47">
        <v>0.03992953611274222</v>
      </c>
      <c r="F47">
        <v>0</v>
      </c>
      <c r="G47">
        <v>0.09770094871374502</v>
      </c>
      <c r="H47">
        <v>2.007560445617585</v>
      </c>
      <c r="I47">
        <v>98953.81282200001</v>
      </c>
      <c r="J47">
        <v>6.884701372139428</v>
      </c>
      <c r="K47">
        <v>0.2761431149405206</v>
      </c>
      <c r="L47">
        <v>0.9729073643279571</v>
      </c>
      <c r="M47">
        <v>66.95999999999999</v>
      </c>
      <c r="N47">
        <v>39.55</v>
      </c>
    </row>
    <row r="48" spans="1:14">
      <c r="A48" s="1" t="s">
        <v>60</v>
      </c>
      <c r="B48">
        <f>HYPERLINK("https://www.suredividend.com/sure-analysis-research-database/","Camden National Corp.")</f>
        <v>0</v>
      </c>
      <c r="C48" t="s">
        <v>287</v>
      </c>
      <c r="D48">
        <v>42.18</v>
      </c>
      <c r="E48">
        <v>0.037859666546593</v>
      </c>
      <c r="F48">
        <v>0.04999999999999982</v>
      </c>
      <c r="G48">
        <v>0.1093328057258516</v>
      </c>
      <c r="H48">
        <v>1.59692073493531</v>
      </c>
      <c r="I48">
        <v>614.368952</v>
      </c>
      <c r="J48">
        <v>9.843920969380395</v>
      </c>
      <c r="K48">
        <v>0.3784172357666611</v>
      </c>
      <c r="L48">
        <v>0.449657076649463</v>
      </c>
      <c r="M48">
        <v>50.25</v>
      </c>
      <c r="N48">
        <v>39.67</v>
      </c>
    </row>
    <row r="49" spans="1:14">
      <c r="A49" s="1" t="s">
        <v>61</v>
      </c>
      <c r="B49">
        <f>HYPERLINK("https://www.suredividend.com/sure-analysis-research-database/","Cadence Bank")</f>
        <v>0</v>
      </c>
      <c r="C49" t="s">
        <v>287</v>
      </c>
      <c r="D49">
        <v>24.97</v>
      </c>
      <c r="E49">
        <v>0.034777996812832</v>
      </c>
      <c r="F49">
        <v>0.09999999999999987</v>
      </c>
      <c r="G49">
        <v>0.1197022052804315</v>
      </c>
      <c r="H49">
        <v>0.8684065804164151</v>
      </c>
      <c r="I49">
        <v>2563.073891</v>
      </c>
      <c r="J49">
        <v>7.98072565861663</v>
      </c>
      <c r="K49">
        <v>0.4878688654024804</v>
      </c>
      <c r="L49">
        <v>0.886937341494587</v>
      </c>
      <c r="M49">
        <v>32.11</v>
      </c>
      <c r="N49">
        <v>21.66</v>
      </c>
    </row>
    <row r="50" spans="1:14">
      <c r="A50" s="1" t="s">
        <v>62</v>
      </c>
      <c r="B50">
        <f>HYPERLINK("https://www.suredividend.com/sure-analysis-research-database/","Cathay General Bancorp")</f>
        <v>0</v>
      </c>
      <c r="C50" t="s">
        <v>287</v>
      </c>
      <c r="D50">
        <v>42.3</v>
      </c>
      <c r="E50">
        <v>0.031779812425371</v>
      </c>
      <c r="F50">
        <v>0</v>
      </c>
      <c r="G50">
        <v>0.07214502590085092</v>
      </c>
      <c r="H50">
        <v>1.344286065593212</v>
      </c>
      <c r="I50">
        <v>3147.703402</v>
      </c>
      <c r="J50">
        <v>9.302686157256217</v>
      </c>
      <c r="K50">
        <v>0.2993955602657488</v>
      </c>
      <c r="L50">
        <v>0.894024155469155</v>
      </c>
      <c r="M50">
        <v>47.38</v>
      </c>
      <c r="N50">
        <v>36.59</v>
      </c>
    </row>
    <row r="51" spans="1:14">
      <c r="A51" s="1" t="s">
        <v>63</v>
      </c>
      <c r="B51">
        <f>HYPERLINK("https://www.suredividend.com/sure-analysis-CB/","Chubb Limited")</f>
        <v>0</v>
      </c>
      <c r="C51" t="s">
        <v>287</v>
      </c>
      <c r="D51">
        <v>220.43</v>
      </c>
      <c r="E51">
        <v>0.01506147076169305</v>
      </c>
      <c r="F51">
        <v>0.03750000000000009</v>
      </c>
      <c r="G51">
        <v>0.03172498707259508</v>
      </c>
      <c r="H51">
        <v>3.270304337105089</v>
      </c>
      <c r="I51">
        <v>91489.531898</v>
      </c>
      <c r="J51">
        <v>14.89572320055682</v>
      </c>
      <c r="K51">
        <v>0.2272622888884704</v>
      </c>
      <c r="L51">
        <v>0.6161546153848411</v>
      </c>
      <c r="M51">
        <v>230.27</v>
      </c>
      <c r="N51">
        <v>173.11</v>
      </c>
    </row>
    <row r="52" spans="1:14">
      <c r="A52" s="1" t="s">
        <v>64</v>
      </c>
      <c r="B52">
        <f>HYPERLINK("https://www.suredividend.com/sure-analysis-CBOE/","Cboe Global Markets Inc.")</f>
        <v>0</v>
      </c>
      <c r="C52" t="s">
        <v>287</v>
      </c>
      <c r="D52">
        <v>122.3</v>
      </c>
      <c r="E52">
        <v>0.01635322976287817</v>
      </c>
      <c r="F52">
        <v>0.04166666666666674</v>
      </c>
      <c r="G52">
        <v>0.1311527300905295</v>
      </c>
      <c r="H52">
        <v>1.948082468773084</v>
      </c>
      <c r="I52">
        <v>12973.850003</v>
      </c>
      <c r="J52">
        <v>54.14795493530885</v>
      </c>
      <c r="K52">
        <v>0.8696796735594126</v>
      </c>
      <c r="L52">
        <v>0.518328877280812</v>
      </c>
      <c r="M52">
        <v>130.52</v>
      </c>
      <c r="N52">
        <v>102.52</v>
      </c>
    </row>
    <row r="53" spans="1:14">
      <c r="A53" s="1" t="s">
        <v>65</v>
      </c>
      <c r="B53">
        <f>HYPERLINK("https://www.suredividend.com/sure-analysis-CBSH/","Commerce Bancshares, Inc.")</f>
        <v>0</v>
      </c>
      <c r="C53" t="s">
        <v>287</v>
      </c>
      <c r="D53">
        <v>65.56999999999999</v>
      </c>
      <c r="E53">
        <v>0.01616592954094861</v>
      </c>
      <c r="F53">
        <v>-1</v>
      </c>
      <c r="G53">
        <v>-1</v>
      </c>
      <c r="H53">
        <v>1.021166613638765</v>
      </c>
      <c r="I53">
        <v>7825.948015</v>
      </c>
      <c r="J53">
        <v>16.74422210290512</v>
      </c>
      <c r="K53">
        <v>0.2625106975935128</v>
      </c>
      <c r="L53">
        <v>0.6515826553865081</v>
      </c>
      <c r="M53">
        <v>72.59999999999999</v>
      </c>
      <c r="N53">
        <v>59.81</v>
      </c>
    </row>
    <row r="54" spans="1:14">
      <c r="A54" s="1" t="s">
        <v>66</v>
      </c>
      <c r="B54">
        <f>HYPERLINK("https://www.suredividend.com/sure-analysis-CBU/","Community Bank System, Inc.")</f>
        <v>0</v>
      </c>
      <c r="C54" t="s">
        <v>287</v>
      </c>
      <c r="D54">
        <v>60.94</v>
      </c>
      <c r="E54">
        <v>0.02888086642599278</v>
      </c>
      <c r="F54">
        <v>0.02325581395348841</v>
      </c>
      <c r="G54">
        <v>0.05291848906511043</v>
      </c>
      <c r="H54">
        <v>1.72188143733727</v>
      </c>
      <c r="I54">
        <v>3274.574153</v>
      </c>
      <c r="J54">
        <v>18.32944765593252</v>
      </c>
      <c r="K54">
        <v>0.5233682180356444</v>
      </c>
      <c r="L54">
        <v>0.593481996328865</v>
      </c>
      <c r="M54">
        <v>73.02</v>
      </c>
      <c r="N54">
        <v>58.28</v>
      </c>
    </row>
    <row r="55" spans="1:14">
      <c r="A55" s="1" t="s">
        <v>67</v>
      </c>
      <c r="B55">
        <f>HYPERLINK("https://www.suredividend.com/sure-analysis-research-database/","Capitol Federal Financial")</f>
        <v>0</v>
      </c>
      <c r="C55" t="s">
        <v>287</v>
      </c>
      <c r="D55">
        <v>8.51</v>
      </c>
      <c r="E55">
        <v>0.037646405775384</v>
      </c>
      <c r="F55">
        <v>2.294117647058824</v>
      </c>
      <c r="G55">
        <v>0.269251896883383</v>
      </c>
      <c r="H55">
        <v>0.320370913148519</v>
      </c>
      <c r="I55">
        <v>1166.68799</v>
      </c>
      <c r="J55">
        <v>13.82200727075632</v>
      </c>
      <c r="K55">
        <v>0.5150657767661078</v>
      </c>
      <c r="L55">
        <v>0.497689140772377</v>
      </c>
      <c r="M55">
        <v>10.73</v>
      </c>
      <c r="N55">
        <v>6.87</v>
      </c>
    </row>
    <row r="56" spans="1:14">
      <c r="A56" s="1" t="s">
        <v>68</v>
      </c>
      <c r="B56">
        <f>HYPERLINK("https://www.suredividend.com/sure-analysis-CFG/","Citizens Financial Group Inc")</f>
        <v>0</v>
      </c>
      <c r="C56" t="s">
        <v>287</v>
      </c>
      <c r="D56">
        <v>41.26</v>
      </c>
      <c r="E56">
        <v>0.0407174018419777</v>
      </c>
      <c r="F56">
        <v>0.07692307692307687</v>
      </c>
      <c r="G56">
        <v>0.1380604263098537</v>
      </c>
      <c r="H56">
        <v>1.595359893046597</v>
      </c>
      <c r="I56">
        <v>20320.177257</v>
      </c>
      <c r="J56">
        <v>11.0616098297006</v>
      </c>
      <c r="K56">
        <v>0.3998395721921296</v>
      </c>
      <c r="L56">
        <v>1.020944150159263</v>
      </c>
      <c r="M56">
        <v>54.38</v>
      </c>
      <c r="N56">
        <v>32.32</v>
      </c>
    </row>
    <row r="57" spans="1:14">
      <c r="A57" s="1" t="s">
        <v>69</v>
      </c>
      <c r="B57">
        <f>HYPERLINK("https://www.suredividend.com/sure-analysis-CFR/","Cullen Frost Bankers Inc.")</f>
        <v>0</v>
      </c>
      <c r="C57" t="s">
        <v>287</v>
      </c>
      <c r="D57">
        <v>133.79</v>
      </c>
      <c r="E57">
        <v>0.0260109126242619</v>
      </c>
      <c r="F57">
        <v>0.1599999999999999</v>
      </c>
      <c r="G57">
        <v>0.08825051007784368</v>
      </c>
      <c r="H57">
        <v>3.211520668190036</v>
      </c>
      <c r="I57">
        <v>8602.525749</v>
      </c>
      <c r="J57">
        <v>17.98607899173719</v>
      </c>
      <c r="K57">
        <v>0.4328194970606518</v>
      </c>
      <c r="L57">
        <v>0.7681383558673961</v>
      </c>
      <c r="M57">
        <v>159.65</v>
      </c>
      <c r="N57">
        <v>111.26</v>
      </c>
    </row>
    <row r="58" spans="1:14">
      <c r="A58" s="1" t="s">
        <v>70</v>
      </c>
      <c r="B58">
        <f>HYPERLINK("https://www.suredividend.com/sure-analysis-research-database/","City Holding Co.")</f>
        <v>0</v>
      </c>
      <c r="C58" t="s">
        <v>287</v>
      </c>
      <c r="D58">
        <v>89.52</v>
      </c>
      <c r="E58">
        <v>0.027635937646572</v>
      </c>
      <c r="F58">
        <v>0.08333333333333326</v>
      </c>
      <c r="G58">
        <v>0.07159605222536181</v>
      </c>
      <c r="H58">
        <v>2.473969138121132</v>
      </c>
      <c r="I58">
        <v>1329.885308</v>
      </c>
      <c r="J58">
        <v>14.16444213571345</v>
      </c>
      <c r="K58">
        <v>0.3939441302740656</v>
      </c>
      <c r="L58">
        <v>0.4034752186297451</v>
      </c>
      <c r="M58">
        <v>102.27</v>
      </c>
      <c r="N58">
        <v>71.58</v>
      </c>
    </row>
    <row r="59" spans="1:14">
      <c r="A59" s="1" t="s">
        <v>71</v>
      </c>
      <c r="B59">
        <f>HYPERLINK("https://www.suredividend.com/sure-analysis-CINF/","Cincinnati Financial Corp.")</f>
        <v>0</v>
      </c>
      <c r="C59" t="s">
        <v>287</v>
      </c>
      <c r="D59">
        <v>102.73</v>
      </c>
      <c r="E59">
        <v>0.02686654336610532</v>
      </c>
      <c r="F59">
        <v>0.09523809523809534</v>
      </c>
      <c r="G59">
        <v>0.05417968868186729</v>
      </c>
      <c r="H59">
        <v>2.733139092982854</v>
      </c>
      <c r="I59">
        <v>16147.543961</v>
      </c>
      <c r="J59" t="s">
        <v>289</v>
      </c>
      <c r="K59" t="s">
        <v>289</v>
      </c>
      <c r="L59">
        <v>0.767609384683682</v>
      </c>
      <c r="M59">
        <v>140.48</v>
      </c>
      <c r="N59">
        <v>88.09</v>
      </c>
    </row>
    <row r="60" spans="1:14">
      <c r="A60" s="1" t="s">
        <v>72</v>
      </c>
      <c r="B60">
        <f>HYPERLINK("https://www.suredividend.com/sure-analysis-research-database/","CIT Group Inc")</f>
        <v>0</v>
      </c>
      <c r="C60" t="s">
        <v>287</v>
      </c>
      <c r="D60">
        <v>53.5</v>
      </c>
      <c r="E60">
        <v>0.025891808250519</v>
      </c>
      <c r="F60" t="s">
        <v>289</v>
      </c>
      <c r="G60" t="s">
        <v>289</v>
      </c>
      <c r="H60">
        <v>1.3852117414028</v>
      </c>
      <c r="I60">
        <v>5305.57895</v>
      </c>
      <c r="J60">
        <v>7.74876434935008</v>
      </c>
      <c r="K60">
        <v>0.2016319856481514</v>
      </c>
      <c r="L60">
        <v>1.250922609319329</v>
      </c>
      <c r="M60">
        <v>56.21</v>
      </c>
      <c r="N60">
        <v>34.51</v>
      </c>
    </row>
    <row r="61" spans="1:14">
      <c r="A61" s="1" t="s">
        <v>73</v>
      </c>
      <c r="B61">
        <f>HYPERLINK("https://www.suredividend.com/sure-analysis-CMA/","Comerica, Inc.")</f>
        <v>0</v>
      </c>
      <c r="C61" t="s">
        <v>287</v>
      </c>
      <c r="D61">
        <v>69.13</v>
      </c>
      <c r="E61">
        <v>0.03934615940980762</v>
      </c>
      <c r="F61">
        <v>0</v>
      </c>
      <c r="G61">
        <v>0.1778162221565904</v>
      </c>
      <c r="H61">
        <v>2.681853095877361</v>
      </c>
      <c r="I61">
        <v>9052.740725</v>
      </c>
      <c r="J61">
        <v>9.043697028441558</v>
      </c>
      <c r="K61">
        <v>0.3561557896251475</v>
      </c>
      <c r="L61">
        <v>1.034796773153181</v>
      </c>
      <c r="M61">
        <v>98.53</v>
      </c>
      <c r="N61">
        <v>62.83</v>
      </c>
    </row>
    <row r="62" spans="1:14">
      <c r="A62" s="1" t="s">
        <v>74</v>
      </c>
      <c r="B62">
        <f>HYPERLINK("https://www.suredividend.com/sure-analysis-CME/","CME Group Inc")</f>
        <v>0</v>
      </c>
      <c r="C62" t="s">
        <v>287</v>
      </c>
      <c r="D62">
        <v>175.06</v>
      </c>
      <c r="E62">
        <v>0.02284930880840854</v>
      </c>
      <c r="F62">
        <v>3.5</v>
      </c>
      <c r="G62">
        <v>0.4309690811052556</v>
      </c>
      <c r="H62">
        <v>8.365051555486657</v>
      </c>
      <c r="I62">
        <v>62973.454824</v>
      </c>
      <c r="J62">
        <v>23.91608933338651</v>
      </c>
      <c r="K62">
        <v>1.141207579193268</v>
      </c>
      <c r="L62">
        <v>0.519180901960502</v>
      </c>
      <c r="M62">
        <v>245.26</v>
      </c>
      <c r="N62">
        <v>161.33</v>
      </c>
    </row>
    <row r="63" spans="1:14">
      <c r="A63" s="1" t="s">
        <v>75</v>
      </c>
      <c r="B63">
        <f>HYPERLINK("https://www.suredividend.com/sure-analysis-CNA/","CNA Financial Corp.")</f>
        <v>0</v>
      </c>
      <c r="C63" t="s">
        <v>287</v>
      </c>
      <c r="D63">
        <v>41.93</v>
      </c>
      <c r="E63">
        <v>0.03815883615549726</v>
      </c>
      <c r="F63">
        <v>0</v>
      </c>
      <c r="G63">
        <v>-0.2752203363223045</v>
      </c>
      <c r="H63">
        <v>1.577359768417161</v>
      </c>
      <c r="I63">
        <v>11358.55934</v>
      </c>
      <c r="J63">
        <v>12.45456067932017</v>
      </c>
      <c r="K63">
        <v>0.4722634037177129</v>
      </c>
      <c r="L63">
        <v>0.62021711372205</v>
      </c>
      <c r="M63">
        <v>48.92</v>
      </c>
      <c r="N63">
        <v>35.56</v>
      </c>
    </row>
    <row r="64" spans="1:14">
      <c r="A64" s="1" t="s">
        <v>76</v>
      </c>
      <c r="B64">
        <f>HYPERLINK("https://www.suredividend.com/sure-analysis-research-database/","CNO Financial Group Inc")</f>
        <v>0</v>
      </c>
      <c r="C64" t="s">
        <v>287</v>
      </c>
      <c r="D64">
        <v>22.96</v>
      </c>
      <c r="E64">
        <v>0.023715396457223</v>
      </c>
      <c r="F64">
        <v>0.07692307692307709</v>
      </c>
      <c r="G64">
        <v>0.09238846414037316</v>
      </c>
      <c r="H64">
        <v>0.544505502657854</v>
      </c>
      <c r="I64">
        <v>2626.700227</v>
      </c>
      <c r="J64">
        <v>5.598252828644502</v>
      </c>
      <c r="K64">
        <v>0.1389044649637383</v>
      </c>
      <c r="L64">
        <v>0.899616706539452</v>
      </c>
      <c r="M64">
        <v>26.04</v>
      </c>
      <c r="N64">
        <v>16.33</v>
      </c>
    </row>
    <row r="65" spans="1:14">
      <c r="A65" s="1" t="s">
        <v>77</v>
      </c>
      <c r="B65">
        <f>HYPERLINK("https://www.suredividend.com/sure-analysis-research-database/","ConnectOne Bancorp Inc.")</f>
        <v>0</v>
      </c>
      <c r="C65" t="s">
        <v>287</v>
      </c>
      <c r="D65">
        <v>24.59</v>
      </c>
      <c r="E65">
        <v>0.023837373716684</v>
      </c>
      <c r="F65">
        <v>0.1923076923076923</v>
      </c>
      <c r="G65">
        <v>0.1562562331664044</v>
      </c>
      <c r="H65">
        <v>0.5861610196932711</v>
      </c>
      <c r="I65">
        <v>964.988395</v>
      </c>
      <c r="J65">
        <v>8.091399489942226</v>
      </c>
      <c r="K65">
        <v>0.1940930528785666</v>
      </c>
      <c r="L65">
        <v>0.7571810184572091</v>
      </c>
      <c r="M65">
        <v>34.91</v>
      </c>
      <c r="N65">
        <v>22.26</v>
      </c>
    </row>
    <row r="66" spans="1:14">
      <c r="A66" s="1" t="s">
        <v>78</v>
      </c>
      <c r="B66">
        <f>HYPERLINK("https://www.suredividend.com/sure-analysis-COF/","Capital One Financial Corp.")</f>
        <v>0</v>
      </c>
      <c r="C66" t="s">
        <v>287</v>
      </c>
      <c r="D66">
        <v>104.18</v>
      </c>
      <c r="E66">
        <v>0.02303705125743905</v>
      </c>
      <c r="F66">
        <v>0</v>
      </c>
      <c r="G66">
        <v>0.08447177119769855</v>
      </c>
      <c r="H66">
        <v>2.366954853257402</v>
      </c>
      <c r="I66">
        <v>39765.357231</v>
      </c>
      <c r="J66">
        <v>4.861884977498472</v>
      </c>
      <c r="K66">
        <v>0.1167137501606214</v>
      </c>
      <c r="L66">
        <v>1.333047866956739</v>
      </c>
      <c r="M66">
        <v>157.03</v>
      </c>
      <c r="N66">
        <v>86.98</v>
      </c>
    </row>
    <row r="67" spans="1:14">
      <c r="A67" s="1" t="s">
        <v>79</v>
      </c>
      <c r="B67">
        <f>HYPERLINK("https://www.suredividend.com/sure-analysis-research-database/","Columbia Banking System, Inc.")</f>
        <v>0</v>
      </c>
      <c r="C67" t="s">
        <v>287</v>
      </c>
      <c r="D67">
        <v>28.49</v>
      </c>
      <c r="E67">
        <v>0.041494723219357</v>
      </c>
      <c r="F67">
        <v>0</v>
      </c>
      <c r="G67">
        <v>0.02903366107118788</v>
      </c>
      <c r="H67">
        <v>1.182184664519491</v>
      </c>
      <c r="I67">
        <v>2240.627902</v>
      </c>
      <c r="J67">
        <v>9.997313536852531</v>
      </c>
      <c r="K67">
        <v>0.4119110329336205</v>
      </c>
      <c r="L67">
        <v>0.838201984115946</v>
      </c>
      <c r="M67">
        <v>36.47</v>
      </c>
      <c r="N67">
        <v>26.44</v>
      </c>
    </row>
    <row r="68" spans="1:14">
      <c r="A68" s="1" t="s">
        <v>80</v>
      </c>
      <c r="B68">
        <f>HYPERLINK("https://www.suredividend.com/sure-analysis-research-database/","Mr. Cooper Group Inc")</f>
        <v>0</v>
      </c>
      <c r="C68" t="s">
        <v>287</v>
      </c>
      <c r="D68">
        <v>44.86</v>
      </c>
      <c r="E68">
        <v>0</v>
      </c>
      <c r="F68" t="s">
        <v>289</v>
      </c>
      <c r="G68" t="s">
        <v>289</v>
      </c>
      <c r="H68">
        <v>0</v>
      </c>
      <c r="I68">
        <v>3165.533698</v>
      </c>
      <c r="J68">
        <v>0</v>
      </c>
      <c r="K68" t="s">
        <v>289</v>
      </c>
      <c r="L68">
        <v>0.8817549151013341</v>
      </c>
      <c r="M68">
        <v>52.34</v>
      </c>
      <c r="N68">
        <v>35.81</v>
      </c>
    </row>
    <row r="69" spans="1:14">
      <c r="A69" s="1" t="s">
        <v>81</v>
      </c>
      <c r="B69">
        <f>HYPERLINK("https://www.suredividend.com/sure-analysis-research-database/","Central Pacific Financial Corp.")</f>
        <v>0</v>
      </c>
      <c r="C69" t="s">
        <v>287</v>
      </c>
      <c r="D69">
        <v>20.86</v>
      </c>
      <c r="E69">
        <v>0.048973623092715</v>
      </c>
      <c r="F69">
        <v>0.04000000000000004</v>
      </c>
      <c r="G69">
        <v>0.06474093044470108</v>
      </c>
      <c r="H69">
        <v>1.021589777714038</v>
      </c>
      <c r="I69">
        <v>567.973556</v>
      </c>
      <c r="J69">
        <v>7.466066671135999</v>
      </c>
      <c r="K69">
        <v>0.3728429845671671</v>
      </c>
      <c r="L69">
        <v>0.7512271922889681</v>
      </c>
      <c r="M69">
        <v>29.51</v>
      </c>
      <c r="N69">
        <v>18.59</v>
      </c>
    </row>
    <row r="70" spans="1:14">
      <c r="A70" s="1" t="s">
        <v>82</v>
      </c>
      <c r="B70">
        <f>HYPERLINK("https://www.suredividend.com/sure-analysis-research-database/","Customers Bancorp Inc")</f>
        <v>0</v>
      </c>
      <c r="C70" t="s">
        <v>287</v>
      </c>
      <c r="D70">
        <v>31.12</v>
      </c>
      <c r="E70">
        <v>0</v>
      </c>
      <c r="F70" t="s">
        <v>289</v>
      </c>
      <c r="G70" t="s">
        <v>289</v>
      </c>
      <c r="H70">
        <v>0</v>
      </c>
      <c r="I70">
        <v>1011.87903</v>
      </c>
      <c r="J70">
        <v>3.472164563765759</v>
      </c>
      <c r="K70">
        <v>0</v>
      </c>
      <c r="L70">
        <v>1.5138825690343</v>
      </c>
      <c r="M70">
        <v>65.48</v>
      </c>
      <c r="N70">
        <v>26.43</v>
      </c>
    </row>
    <row r="71" spans="1:14">
      <c r="A71" s="1" t="s">
        <v>83</v>
      </c>
      <c r="B71">
        <f>HYPERLINK("https://www.suredividend.com/sure-analysis-research-database/","CVB Financial Corp.")</f>
        <v>0</v>
      </c>
      <c r="C71" t="s">
        <v>287</v>
      </c>
      <c r="D71">
        <v>24.73</v>
      </c>
      <c r="E71">
        <v>0.030791898672378</v>
      </c>
      <c r="F71">
        <v>0.1111111111111112</v>
      </c>
      <c r="G71">
        <v>0.07394092378577932</v>
      </c>
      <c r="H71">
        <v>0.7614836541679241</v>
      </c>
      <c r="I71">
        <v>3457.451865</v>
      </c>
      <c r="J71">
        <v>16.0309907347234</v>
      </c>
      <c r="K71">
        <v>0.4944699053038468</v>
      </c>
      <c r="L71">
        <v>0.42930171736169</v>
      </c>
      <c r="M71">
        <v>29.03</v>
      </c>
      <c r="N71">
        <v>20.79</v>
      </c>
    </row>
    <row r="72" spans="1:14">
      <c r="A72" s="1" t="s">
        <v>84</v>
      </c>
      <c r="B72">
        <f>HYPERLINK("https://www.suredividend.com/sure-analysis-research-database/","Dime Community Bancshares Inc")</f>
        <v>0</v>
      </c>
      <c r="C72" t="s">
        <v>287</v>
      </c>
      <c r="D72">
        <v>32.87</v>
      </c>
      <c r="E72">
        <v>0.028879514740382</v>
      </c>
      <c r="F72">
        <v>0</v>
      </c>
      <c r="G72">
        <v>0.008548252303932413</v>
      </c>
      <c r="H72">
        <v>0.94926964951638</v>
      </c>
      <c r="I72">
        <v>1267.916434</v>
      </c>
      <c r="J72">
        <v>9.126953889216816</v>
      </c>
      <c r="K72">
        <v>0.2666487779540394</v>
      </c>
      <c r="L72">
        <v>0.830920243949653</v>
      </c>
      <c r="M72">
        <v>36.25</v>
      </c>
      <c r="N72">
        <v>27.71</v>
      </c>
    </row>
    <row r="73" spans="1:14">
      <c r="A73" s="1" t="s">
        <v>85</v>
      </c>
      <c r="B73">
        <f>HYPERLINK("https://www.suredividend.com/sure-analysis-research-database/","Donnelley Financial Solutions Inc")</f>
        <v>0</v>
      </c>
      <c r="C73" t="s">
        <v>287</v>
      </c>
      <c r="D73">
        <v>42.28</v>
      </c>
      <c r="E73">
        <v>0</v>
      </c>
      <c r="F73" t="s">
        <v>289</v>
      </c>
      <c r="G73" t="s">
        <v>289</v>
      </c>
      <c r="H73">
        <v>0</v>
      </c>
      <c r="I73">
        <v>1256.403557</v>
      </c>
      <c r="J73">
        <v>10.72016687167236</v>
      </c>
      <c r="K73">
        <v>0</v>
      </c>
      <c r="L73">
        <v>1.323844356619214</v>
      </c>
      <c r="M73">
        <v>44.52</v>
      </c>
      <c r="N73">
        <v>24.6</v>
      </c>
    </row>
    <row r="74" spans="1:14">
      <c r="A74" s="1" t="s">
        <v>86</v>
      </c>
      <c r="B74">
        <f>HYPERLINK("https://www.suredividend.com/sure-analysis-DFS/","Discover Financial Services")</f>
        <v>0</v>
      </c>
      <c r="C74" t="s">
        <v>287</v>
      </c>
      <c r="D74">
        <v>106.14</v>
      </c>
      <c r="E74">
        <v>0.02261164499717354</v>
      </c>
      <c r="F74" t="s">
        <v>289</v>
      </c>
      <c r="G74" t="s">
        <v>289</v>
      </c>
      <c r="H74">
        <v>2.281455405247978</v>
      </c>
      <c r="I74">
        <v>29000.182697</v>
      </c>
      <c r="J74">
        <v>6.683609748121687</v>
      </c>
      <c r="K74">
        <v>0.1484356151755353</v>
      </c>
      <c r="L74">
        <v>1.21334805868821</v>
      </c>
      <c r="M74">
        <v>126.43</v>
      </c>
      <c r="N74">
        <v>87.03</v>
      </c>
    </row>
    <row r="75" spans="1:14">
      <c r="A75" s="1" t="s">
        <v>87</v>
      </c>
      <c r="B75">
        <f>HYPERLINK("https://www.suredividend.com/sure-analysis-research-database/","Eastern Bankshares Inc.")</f>
        <v>0</v>
      </c>
      <c r="C75" t="s">
        <v>289</v>
      </c>
      <c r="D75">
        <v>17.66</v>
      </c>
      <c r="E75">
        <v>0.022476174321524</v>
      </c>
      <c r="F75" t="s">
        <v>289</v>
      </c>
      <c r="G75" t="s">
        <v>289</v>
      </c>
      <c r="H75">
        <v>0.396929238518121</v>
      </c>
      <c r="I75">
        <v>3120.142381</v>
      </c>
      <c r="J75">
        <v>16.2041546212971</v>
      </c>
      <c r="K75">
        <v>0.3481835425597553</v>
      </c>
      <c r="L75">
        <v>0.6161630715156581</v>
      </c>
      <c r="M75">
        <v>22.01</v>
      </c>
      <c r="N75">
        <v>16.64</v>
      </c>
    </row>
    <row r="76" spans="1:14">
      <c r="A76" s="1" t="s">
        <v>88</v>
      </c>
      <c r="B76">
        <f>HYPERLINK("https://www.suredividend.com/sure-analysis-research-database/","Encore Capital Group, Inc.")</f>
        <v>0</v>
      </c>
      <c r="C76" t="s">
        <v>287</v>
      </c>
      <c r="D76">
        <v>54.13</v>
      </c>
      <c r="E76">
        <v>0</v>
      </c>
      <c r="F76" t="s">
        <v>289</v>
      </c>
      <c r="G76" t="s">
        <v>289</v>
      </c>
      <c r="H76">
        <v>0</v>
      </c>
      <c r="I76">
        <v>1265.870539</v>
      </c>
      <c r="J76">
        <v>3.682371792474511</v>
      </c>
      <c r="K76">
        <v>0</v>
      </c>
      <c r="L76">
        <v>0.420914434253667</v>
      </c>
      <c r="M76">
        <v>72.73</v>
      </c>
      <c r="N76">
        <v>44.06</v>
      </c>
    </row>
    <row r="77" spans="1:14">
      <c r="A77" s="1" t="s">
        <v>89</v>
      </c>
      <c r="B77">
        <f>HYPERLINK("https://www.suredividend.com/sure-analysis-EFC/","Ellington Financial Inc")</f>
        <v>0</v>
      </c>
      <c r="C77" t="s">
        <v>287</v>
      </c>
      <c r="D77">
        <v>13.7</v>
      </c>
      <c r="E77">
        <v>0.1313868613138686</v>
      </c>
      <c r="F77">
        <v>0</v>
      </c>
      <c r="G77">
        <v>0</v>
      </c>
      <c r="H77">
        <v>1.697278039441348</v>
      </c>
      <c r="I77">
        <v>828.011382</v>
      </c>
      <c r="J77">
        <v>0</v>
      </c>
      <c r="K77" t="s">
        <v>289</v>
      </c>
      <c r="L77">
        <v>0.7951383454746901</v>
      </c>
      <c r="M77">
        <v>16.36</v>
      </c>
      <c r="N77">
        <v>10.44</v>
      </c>
    </row>
    <row r="78" spans="1:14">
      <c r="A78" s="1" t="s">
        <v>90</v>
      </c>
      <c r="B78">
        <f>HYPERLINK("https://www.suredividend.com/sure-analysis-research-database/","Enterprise Financial Services Corp.")</f>
        <v>0</v>
      </c>
      <c r="C78" t="s">
        <v>287</v>
      </c>
      <c r="D78">
        <v>48.69</v>
      </c>
      <c r="E78">
        <v>0.018351065927296</v>
      </c>
      <c r="F78">
        <v>0.2</v>
      </c>
      <c r="G78">
        <v>0.168863268921301</v>
      </c>
      <c r="H78">
        <v>0.8935134000000841</v>
      </c>
      <c r="I78">
        <v>1812.403646</v>
      </c>
      <c r="J78">
        <v>9.501510600632244</v>
      </c>
      <c r="K78">
        <v>0.1765836758893447</v>
      </c>
      <c r="L78">
        <v>0.673662987453853</v>
      </c>
      <c r="M78">
        <v>54.04</v>
      </c>
      <c r="N78">
        <v>39.24</v>
      </c>
    </row>
    <row r="79" spans="1:14">
      <c r="A79" s="1" t="s">
        <v>91</v>
      </c>
      <c r="B79">
        <f>HYPERLINK("https://www.suredividend.com/sure-analysis-research-database/","Eagle Bancorp Inc (MD)")</f>
        <v>0</v>
      </c>
      <c r="C79" t="s">
        <v>287</v>
      </c>
      <c r="D79">
        <v>47.67</v>
      </c>
      <c r="E79">
        <v>0.036181791246088</v>
      </c>
      <c r="F79" t="s">
        <v>289</v>
      </c>
      <c r="G79" t="s">
        <v>289</v>
      </c>
      <c r="H79">
        <v>1.724785988701024</v>
      </c>
      <c r="I79">
        <v>1521.562999</v>
      </c>
      <c r="J79">
        <v>10.84066344321979</v>
      </c>
      <c r="K79">
        <v>0.3946878692679688</v>
      </c>
      <c r="L79">
        <v>0.5724796062980031</v>
      </c>
      <c r="M79">
        <v>59.8</v>
      </c>
      <c r="N79">
        <v>41.54</v>
      </c>
    </row>
    <row r="80" spans="1:14">
      <c r="A80" s="1" t="s">
        <v>92</v>
      </c>
      <c r="B80">
        <f>HYPERLINK("https://www.suredividend.com/sure-analysis-research-database/","eHealth Inc")</f>
        <v>0</v>
      </c>
      <c r="C80" t="s">
        <v>287</v>
      </c>
      <c r="D80">
        <v>5.39</v>
      </c>
      <c r="E80">
        <v>0</v>
      </c>
      <c r="F80" t="s">
        <v>289</v>
      </c>
      <c r="G80" t="s">
        <v>289</v>
      </c>
      <c r="H80">
        <v>0</v>
      </c>
      <c r="I80">
        <v>147.80631</v>
      </c>
      <c r="J80" t="s">
        <v>289</v>
      </c>
      <c r="K80">
        <v>-0</v>
      </c>
      <c r="L80">
        <v>1.50734923444331</v>
      </c>
      <c r="M80">
        <v>23.09</v>
      </c>
      <c r="N80">
        <v>2.67</v>
      </c>
    </row>
    <row r="81" spans="1:14">
      <c r="A81" s="1" t="s">
        <v>93</v>
      </c>
      <c r="B81">
        <f>HYPERLINK("https://www.suredividend.com/sure-analysis-research-database/","Employers Holdings Inc")</f>
        <v>0</v>
      </c>
      <c r="C81" t="s">
        <v>287</v>
      </c>
      <c r="D81">
        <v>43.41</v>
      </c>
      <c r="E81">
        <v>0.022867412097662</v>
      </c>
      <c r="F81">
        <v>3.807692307692307</v>
      </c>
      <c r="G81">
        <v>0.4426999059072136</v>
      </c>
      <c r="H81">
        <v>0.992674359159546</v>
      </c>
      <c r="I81">
        <v>1180.609919</v>
      </c>
      <c r="J81">
        <v>21.08231998339286</v>
      </c>
      <c r="K81">
        <v>0.4938678403778837</v>
      </c>
      <c r="L81">
        <v>0.386197217544113</v>
      </c>
      <c r="M81">
        <v>45.46</v>
      </c>
      <c r="N81">
        <v>31.5</v>
      </c>
    </row>
    <row r="82" spans="1:14">
      <c r="A82" s="1" t="s">
        <v>94</v>
      </c>
      <c r="B82">
        <f>HYPERLINK("https://www.suredividend.com/sure-analysis-research-database/","Enova International Inc.")</f>
        <v>0</v>
      </c>
      <c r="C82" t="s">
        <v>287</v>
      </c>
      <c r="D82">
        <v>40.96</v>
      </c>
      <c r="E82">
        <v>0</v>
      </c>
      <c r="F82" t="s">
        <v>289</v>
      </c>
      <c r="G82" t="s">
        <v>289</v>
      </c>
      <c r="H82">
        <v>0</v>
      </c>
      <c r="I82">
        <v>1288.598528</v>
      </c>
      <c r="J82">
        <v>0</v>
      </c>
      <c r="K82" t="s">
        <v>289</v>
      </c>
      <c r="L82">
        <v>1.265199763707436</v>
      </c>
      <c r="M82">
        <v>47.88</v>
      </c>
      <c r="N82">
        <v>25.8</v>
      </c>
    </row>
    <row r="83" spans="1:14">
      <c r="A83" s="1" t="s">
        <v>95</v>
      </c>
      <c r="B83">
        <f>HYPERLINK("https://www.suredividend.com/sure-analysis-ERIE/","Erie Indemnity Co.")</f>
        <v>0</v>
      </c>
      <c r="C83" t="s">
        <v>287</v>
      </c>
      <c r="D83">
        <v>243.56</v>
      </c>
      <c r="E83">
        <v>0.01822959435046806</v>
      </c>
      <c r="F83">
        <v>0.072072072072072</v>
      </c>
      <c r="G83">
        <v>0.07214502590085092</v>
      </c>
      <c r="H83">
        <v>4.493101621293572</v>
      </c>
      <c r="I83">
        <v>11249.809402</v>
      </c>
      <c r="J83">
        <v>39.04543369653722</v>
      </c>
      <c r="K83">
        <v>0.8214079746423351</v>
      </c>
      <c r="L83">
        <v>0.605507357223673</v>
      </c>
      <c r="M83">
        <v>285.1</v>
      </c>
      <c r="N83">
        <v>156.92</v>
      </c>
    </row>
    <row r="84" spans="1:14">
      <c r="A84" s="1" t="s">
        <v>96</v>
      </c>
      <c r="B84">
        <f>HYPERLINK("https://www.suredividend.com/sure-analysis-research-database/","East West Bancorp, Inc.")</f>
        <v>0</v>
      </c>
      <c r="C84" t="s">
        <v>287</v>
      </c>
      <c r="D84">
        <v>68.09</v>
      </c>
      <c r="E84">
        <v>0.023302330491097</v>
      </c>
      <c r="F84">
        <v>0.2121212121212122</v>
      </c>
      <c r="G84">
        <v>0.1486983549970351</v>
      </c>
      <c r="H84">
        <v>1.586655683138794</v>
      </c>
      <c r="I84">
        <v>9597.051883</v>
      </c>
      <c r="J84">
        <v>9.510355482630342</v>
      </c>
      <c r="K84">
        <v>0.2244208887042141</v>
      </c>
      <c r="L84">
        <v>1.270314207197278</v>
      </c>
      <c r="M84">
        <v>91.97</v>
      </c>
      <c r="N84">
        <v>60.96</v>
      </c>
    </row>
    <row r="85" spans="1:14">
      <c r="A85" s="1" t="s">
        <v>97</v>
      </c>
      <c r="B85">
        <f>HYPERLINK("https://www.suredividend.com/sure-analysis-research-database/","EZCorp, Inc.")</f>
        <v>0</v>
      </c>
      <c r="C85" t="s">
        <v>287</v>
      </c>
      <c r="D85">
        <v>8.630000000000001</v>
      </c>
      <c r="E85">
        <v>0</v>
      </c>
      <c r="F85" t="s">
        <v>289</v>
      </c>
      <c r="G85" t="s">
        <v>289</v>
      </c>
      <c r="H85">
        <v>0</v>
      </c>
      <c r="I85">
        <v>460.315423</v>
      </c>
      <c r="J85">
        <v>9.176942250598088</v>
      </c>
      <c r="K85">
        <v>0</v>
      </c>
      <c r="L85">
        <v>0.6473021854667601</v>
      </c>
      <c r="M85">
        <v>10.68</v>
      </c>
      <c r="N85">
        <v>5.51</v>
      </c>
    </row>
    <row r="86" spans="1:14">
      <c r="A86" s="1" t="s">
        <v>98</v>
      </c>
      <c r="B86">
        <f>HYPERLINK("https://www.suredividend.com/sure-analysis-FAF/","First American Financial Corp")</f>
        <v>0</v>
      </c>
      <c r="C86" t="s">
        <v>287</v>
      </c>
      <c r="D86">
        <v>60.63</v>
      </c>
      <c r="E86">
        <v>0.03430644895266369</v>
      </c>
      <c r="F86">
        <v>0.01960784313725483</v>
      </c>
      <c r="G86">
        <v>0.06474093044470108</v>
      </c>
      <c r="H86">
        <v>2.0301647074653</v>
      </c>
      <c r="I86">
        <v>6277.73412</v>
      </c>
      <c r="J86">
        <v>13.3900713893374</v>
      </c>
      <c r="K86">
        <v>0.4721313273175117</v>
      </c>
      <c r="L86">
        <v>0.9921455869041411</v>
      </c>
      <c r="M86">
        <v>74.25</v>
      </c>
      <c r="N86">
        <v>43.1</v>
      </c>
    </row>
    <row r="87" spans="1:14">
      <c r="A87" s="1" t="s">
        <v>99</v>
      </c>
      <c r="B87">
        <f>HYPERLINK("https://www.suredividend.com/sure-analysis-research-database/","Flagstar Bancorp, Inc.")</f>
        <v>0</v>
      </c>
      <c r="C87" t="s">
        <v>287</v>
      </c>
      <c r="D87">
        <v>37.54</v>
      </c>
      <c r="E87">
        <v>0.006377948474633001</v>
      </c>
      <c r="F87" t="s">
        <v>289</v>
      </c>
      <c r="G87" t="s">
        <v>289</v>
      </c>
      <c r="H87">
        <v>0.239428185737723</v>
      </c>
      <c r="I87">
        <v>2002.268577</v>
      </c>
      <c r="J87">
        <v>7.388444935202951</v>
      </c>
      <c r="K87">
        <v>0.04731782326832471</v>
      </c>
      <c r="M87">
        <v>52.97</v>
      </c>
      <c r="N87">
        <v>30.77</v>
      </c>
    </row>
    <row r="88" spans="1:14">
      <c r="A88" s="1" t="s">
        <v>100</v>
      </c>
      <c r="B88">
        <f>HYPERLINK("https://www.suredividend.com/sure-analysis-research-database/","FB Financial Corp")</f>
        <v>0</v>
      </c>
      <c r="C88" t="s">
        <v>287</v>
      </c>
      <c r="D88">
        <v>36.63</v>
      </c>
      <c r="E88">
        <v>0.014129918043944</v>
      </c>
      <c r="F88" t="s">
        <v>289</v>
      </c>
      <c r="G88" t="s">
        <v>289</v>
      </c>
      <c r="H88">
        <v>0.517578897949694</v>
      </c>
      <c r="I88">
        <v>1719.044362</v>
      </c>
      <c r="J88">
        <v>12.71115847898905</v>
      </c>
      <c r="K88">
        <v>0.1816066308595418</v>
      </c>
      <c r="L88">
        <v>0.777001256075146</v>
      </c>
      <c r="M88">
        <v>46.95</v>
      </c>
      <c r="N88">
        <v>34.02</v>
      </c>
    </row>
    <row r="89" spans="1:14">
      <c r="A89" s="1" t="s">
        <v>101</v>
      </c>
      <c r="B89">
        <f>HYPERLINK("https://www.suredividend.com/sure-analysis-research-database/","First Bancorp")</f>
        <v>0</v>
      </c>
      <c r="C89" t="s">
        <v>287</v>
      </c>
      <c r="D89">
        <v>39.43</v>
      </c>
      <c r="E89">
        <v>0.027712756599758</v>
      </c>
      <c r="F89">
        <v>0.09999999999999987</v>
      </c>
      <c r="G89">
        <v>0.1708049129648923</v>
      </c>
      <c r="H89">
        <v>1.092713992728481</v>
      </c>
      <c r="I89">
        <v>1408.11446</v>
      </c>
      <c r="J89">
        <v>11.89396363023592</v>
      </c>
      <c r="K89">
        <v>0.3261832814114868</v>
      </c>
      <c r="L89">
        <v>0.7076411970113401</v>
      </c>
      <c r="M89">
        <v>48.75</v>
      </c>
      <c r="N89">
        <v>32.54</v>
      </c>
    </row>
    <row r="90" spans="1:14">
      <c r="A90" s="1" t="s">
        <v>102</v>
      </c>
      <c r="B90">
        <f>HYPERLINK("https://www.suredividend.com/sure-analysis-research-database/","First Bancorp PR")</f>
        <v>0</v>
      </c>
      <c r="C90" t="s">
        <v>287</v>
      </c>
      <c r="D90">
        <v>13.36</v>
      </c>
      <c r="E90">
        <v>0.03403819724853401</v>
      </c>
      <c r="F90" t="s">
        <v>289</v>
      </c>
      <c r="G90" t="s">
        <v>289</v>
      </c>
      <c r="H90">
        <v>0.454750315240416</v>
      </c>
      <c r="I90">
        <v>2466.410001</v>
      </c>
      <c r="J90">
        <v>8.117008990149971</v>
      </c>
      <c r="K90">
        <v>0.2933873001551071</v>
      </c>
      <c r="L90">
        <v>1.034850445359809</v>
      </c>
      <c r="M90">
        <v>16.14</v>
      </c>
      <c r="N90">
        <v>11.65</v>
      </c>
    </row>
    <row r="91" spans="1:14">
      <c r="A91" s="1" t="s">
        <v>103</v>
      </c>
      <c r="B91">
        <f>HYPERLINK("https://www.suredividend.com/sure-analysis-research-database/","Franklin BSP Realty Trust Inc.")</f>
        <v>0</v>
      </c>
      <c r="C91" t="s">
        <v>289</v>
      </c>
      <c r="D91">
        <v>14.2</v>
      </c>
      <c r="E91">
        <v>0.095983772521366</v>
      </c>
      <c r="F91" t="s">
        <v>289</v>
      </c>
      <c r="G91" t="s">
        <v>289</v>
      </c>
      <c r="H91">
        <v>1.362969569803407</v>
      </c>
      <c r="I91">
        <v>1171.212351</v>
      </c>
      <c r="J91">
        <v>0</v>
      </c>
      <c r="K91" t="s">
        <v>289</v>
      </c>
      <c r="L91">
        <v>0.7673497271903491</v>
      </c>
      <c r="M91">
        <v>14.97</v>
      </c>
      <c r="N91">
        <v>10.06</v>
      </c>
    </row>
    <row r="92" spans="1:14">
      <c r="A92" s="1" t="s">
        <v>104</v>
      </c>
      <c r="B92">
        <f>HYPERLINK("https://www.suredividend.com/sure-analysis-research-database/","First Commonwealth Financial Corp.")</f>
        <v>0</v>
      </c>
      <c r="C92" t="s">
        <v>287</v>
      </c>
      <c r="D92">
        <v>13.89</v>
      </c>
      <c r="E92">
        <v>0.033774540946437</v>
      </c>
      <c r="F92">
        <v>0.04347826086956519</v>
      </c>
      <c r="G92">
        <v>0.08447177119769855</v>
      </c>
      <c r="H92">
        <v>0.469128373746018</v>
      </c>
      <c r="I92">
        <v>1296.997001</v>
      </c>
      <c r="J92">
        <v>10.19459379881154</v>
      </c>
      <c r="K92">
        <v>0.3475024990711244</v>
      </c>
      <c r="L92">
        <v>0.6589501356704021</v>
      </c>
      <c r="M92">
        <v>16.86</v>
      </c>
      <c r="N92">
        <v>12.65</v>
      </c>
    </row>
    <row r="93" spans="1:14">
      <c r="A93" s="1" t="s">
        <v>105</v>
      </c>
      <c r="B93">
        <f>HYPERLINK("https://www.suredividend.com/sure-analysis-research-database/","First Citizens Bancshares, Inc (NC)")</f>
        <v>0</v>
      </c>
      <c r="C93" t="s">
        <v>287</v>
      </c>
      <c r="D93">
        <v>797.22</v>
      </c>
      <c r="E93">
        <v>0.002706660397848</v>
      </c>
      <c r="F93">
        <v>0.5957446808510638</v>
      </c>
      <c r="G93">
        <v>0.1646586157796568</v>
      </c>
      <c r="H93">
        <v>2.157803802372489</v>
      </c>
      <c r="I93">
        <v>10761.302073</v>
      </c>
      <c r="J93">
        <v>11.65089446898487</v>
      </c>
      <c r="K93">
        <v>0.03350106819395263</v>
      </c>
      <c r="L93">
        <v>0.9598270265566451</v>
      </c>
      <c r="M93">
        <v>884.55</v>
      </c>
      <c r="N93">
        <v>597.1</v>
      </c>
    </row>
    <row r="94" spans="1:14">
      <c r="A94" s="1" t="s">
        <v>106</v>
      </c>
      <c r="B94">
        <f>HYPERLINK("https://www.suredividend.com/sure-analysis-research-database/","First Financial Bancorp")</f>
        <v>0</v>
      </c>
      <c r="C94" t="s">
        <v>287</v>
      </c>
      <c r="D94">
        <v>23.56</v>
      </c>
      <c r="E94">
        <v>0.03858799562198501</v>
      </c>
      <c r="F94">
        <v>0</v>
      </c>
      <c r="G94">
        <v>0.03895047748988278</v>
      </c>
      <c r="H94">
        <v>0.9091331768539701</v>
      </c>
      <c r="I94">
        <v>2234.421094</v>
      </c>
      <c r="J94">
        <v>11.43095954796364</v>
      </c>
      <c r="K94">
        <v>0.4391947714270387</v>
      </c>
      <c r="L94">
        <v>0.7695425426761151</v>
      </c>
      <c r="M94">
        <v>26.72</v>
      </c>
      <c r="N94">
        <v>18.39</v>
      </c>
    </row>
    <row r="95" spans="1:14">
      <c r="A95" s="1" t="s">
        <v>107</v>
      </c>
      <c r="B95">
        <f>HYPERLINK("https://www.suredividend.com/sure-analysis-research-database/","Flushing Financial Corp.")</f>
        <v>0</v>
      </c>
      <c r="C95" t="s">
        <v>287</v>
      </c>
      <c r="D95">
        <v>19.97</v>
      </c>
      <c r="E95">
        <v>0.04336723433051001</v>
      </c>
      <c r="F95">
        <v>0.04761904761904767</v>
      </c>
      <c r="G95">
        <v>0.01924487649145656</v>
      </c>
      <c r="H95">
        <v>0.8660436695802911</v>
      </c>
      <c r="I95">
        <v>595.60525</v>
      </c>
      <c r="J95">
        <v>7.025386593378077</v>
      </c>
      <c r="K95">
        <v>0.317232113399374</v>
      </c>
      <c r="L95">
        <v>0.463036093389863</v>
      </c>
      <c r="M95">
        <v>24.64</v>
      </c>
      <c r="N95">
        <v>19.09</v>
      </c>
    </row>
    <row r="96" spans="1:14">
      <c r="A96" s="1" t="s">
        <v>108</v>
      </c>
      <c r="B96">
        <f>HYPERLINK("https://www.suredividend.com/sure-analysis-research-database/","First Financial Bankshares, Inc.")</f>
        <v>0</v>
      </c>
      <c r="C96" t="s">
        <v>287</v>
      </c>
      <c r="D96">
        <v>34.38</v>
      </c>
      <c r="E96">
        <v>0.019073383490094</v>
      </c>
      <c r="F96">
        <v>0.1333333333333335</v>
      </c>
      <c r="G96">
        <v>-0.02199952867696764</v>
      </c>
      <c r="H96">
        <v>0.65574292438944</v>
      </c>
      <c r="I96">
        <v>4904.020477</v>
      </c>
      <c r="J96">
        <v>21.21630012927007</v>
      </c>
      <c r="K96">
        <v>0.4072937418567951</v>
      </c>
      <c r="L96">
        <v>0.693282508314447</v>
      </c>
      <c r="M96">
        <v>49.61</v>
      </c>
      <c r="N96">
        <v>32.53</v>
      </c>
    </row>
    <row r="97" spans="1:14">
      <c r="A97" s="1" t="s">
        <v>109</v>
      </c>
      <c r="B97">
        <f>HYPERLINK("https://www.suredividend.com/sure-analysis-research-database/","First Foundation Inc")</f>
        <v>0</v>
      </c>
      <c r="C97" t="s">
        <v>287</v>
      </c>
      <c r="D97">
        <v>15.37</v>
      </c>
      <c r="E97">
        <v>0.028350890814473</v>
      </c>
      <c r="F97" t="s">
        <v>289</v>
      </c>
      <c r="G97" t="s">
        <v>289</v>
      </c>
      <c r="H97">
        <v>0.4357531918184621</v>
      </c>
      <c r="I97">
        <v>866.678503</v>
      </c>
      <c r="J97">
        <v>0</v>
      </c>
      <c r="K97" t="s">
        <v>289</v>
      </c>
      <c r="L97">
        <v>0.752523114826359</v>
      </c>
      <c r="M97">
        <v>26.83</v>
      </c>
      <c r="N97">
        <v>13.17</v>
      </c>
    </row>
    <row r="98" spans="1:14">
      <c r="A98" s="1" t="s">
        <v>110</v>
      </c>
      <c r="B98">
        <f>HYPERLINK("https://www.suredividend.com/sure-analysis-research-database/","First Hawaiian INC")</f>
        <v>0</v>
      </c>
      <c r="C98" t="s">
        <v>287</v>
      </c>
      <c r="D98">
        <v>25.9</v>
      </c>
      <c r="E98">
        <v>0.039558427451531</v>
      </c>
      <c r="F98">
        <v>0</v>
      </c>
      <c r="G98">
        <v>0.01613736474159566</v>
      </c>
      <c r="H98">
        <v>1.024563270994662</v>
      </c>
      <c r="I98">
        <v>3306.927126</v>
      </c>
      <c r="J98">
        <v>13.60209249626726</v>
      </c>
      <c r="K98">
        <v>0.5392438268392957</v>
      </c>
      <c r="L98">
        <v>0.8196902821240101</v>
      </c>
      <c r="M98">
        <v>28.91</v>
      </c>
      <c r="N98">
        <v>20.8</v>
      </c>
    </row>
    <row r="99" spans="1:14">
      <c r="A99" s="1" t="s">
        <v>111</v>
      </c>
      <c r="B99">
        <f>HYPERLINK("https://www.suredividend.com/sure-analysis-research-database/","First Horizon Corporation")</f>
        <v>0</v>
      </c>
      <c r="C99" t="s">
        <v>287</v>
      </c>
      <c r="D99">
        <v>24.66</v>
      </c>
      <c r="E99">
        <v>0.024100500887394</v>
      </c>
      <c r="F99">
        <v>0</v>
      </c>
      <c r="G99">
        <v>0.04563955259127317</v>
      </c>
      <c r="H99">
        <v>0.5943183518831471</v>
      </c>
      <c r="I99">
        <v>13237.581757</v>
      </c>
      <c r="J99">
        <v>15.98741758130435</v>
      </c>
      <c r="K99">
        <v>0.3988713771027833</v>
      </c>
      <c r="L99">
        <v>0.285145124875096</v>
      </c>
      <c r="M99">
        <v>24.79</v>
      </c>
      <c r="N99">
        <v>16.09</v>
      </c>
    </row>
    <row r="100" spans="1:14">
      <c r="A100" s="1" t="s">
        <v>112</v>
      </c>
      <c r="B100">
        <f>HYPERLINK("https://www.suredividend.com/sure-analysis-research-database/","First Interstate BancSystem Inc.")</f>
        <v>0</v>
      </c>
      <c r="C100" t="s">
        <v>287</v>
      </c>
      <c r="D100">
        <v>37.91</v>
      </c>
      <c r="E100">
        <v>0.04404556994545401</v>
      </c>
      <c r="F100">
        <v>0.1463414634146341</v>
      </c>
      <c r="G100">
        <v>0.1091440794805394</v>
      </c>
      <c r="H100">
        <v>1.669767556632163</v>
      </c>
      <c r="I100">
        <v>3959.612724</v>
      </c>
      <c r="J100">
        <v>23.63947894931343</v>
      </c>
      <c r="K100">
        <v>0.9225235119514713</v>
      </c>
      <c r="L100">
        <v>0.567405625389204</v>
      </c>
      <c r="M100">
        <v>46.32</v>
      </c>
      <c r="N100">
        <v>31</v>
      </c>
    </row>
    <row r="101" spans="1:14">
      <c r="A101" s="1" t="s">
        <v>113</v>
      </c>
      <c r="B101">
        <f>HYPERLINK("https://www.suredividend.com/sure-analysis-FITB/","Fifth Third Bancorp")</f>
        <v>0</v>
      </c>
      <c r="C101" t="s">
        <v>287</v>
      </c>
      <c r="D101">
        <v>34.61</v>
      </c>
      <c r="E101">
        <v>0.03813926610806126</v>
      </c>
      <c r="F101">
        <v>0.09999999999999987</v>
      </c>
      <c r="G101">
        <v>0.1557896243650145</v>
      </c>
      <c r="H101">
        <v>1.242066112586541</v>
      </c>
      <c r="I101">
        <v>23756.171305</v>
      </c>
      <c r="J101">
        <v>10.54423937206392</v>
      </c>
      <c r="K101">
        <v>0.3833537384526361</v>
      </c>
      <c r="L101">
        <v>1.08265929603722</v>
      </c>
      <c r="M101">
        <v>48.38</v>
      </c>
      <c r="N101">
        <v>30.61</v>
      </c>
    </row>
    <row r="102" spans="1:14">
      <c r="A102" s="1" t="s">
        <v>114</v>
      </c>
      <c r="B102">
        <f>HYPERLINK("https://www.suredividend.com/sure-analysis-research-database/","First Midwest Bancorp, Inc.")</f>
        <v>0</v>
      </c>
      <c r="C102" t="s">
        <v>287</v>
      </c>
      <c r="D102">
        <v>21.51</v>
      </c>
      <c r="E102">
        <v>0</v>
      </c>
      <c r="F102" t="s">
        <v>289</v>
      </c>
      <c r="G102" t="s">
        <v>289</v>
      </c>
      <c r="H102">
        <v>0.560000002384185</v>
      </c>
      <c r="I102">
        <v>0</v>
      </c>
      <c r="J102">
        <v>0</v>
      </c>
      <c r="K102">
        <v>0.3660130734537157</v>
      </c>
    </row>
    <row r="103" spans="1:14">
      <c r="A103" s="1" t="s">
        <v>115</v>
      </c>
      <c r="B103">
        <f>HYPERLINK("https://www.suredividend.com/sure-analysis-research-database/","F.N.B. Corp.")</f>
        <v>0</v>
      </c>
      <c r="C103" t="s">
        <v>287</v>
      </c>
      <c r="D103">
        <v>12.93</v>
      </c>
      <c r="E103">
        <v>0.03660857890280701</v>
      </c>
      <c r="F103">
        <v>0</v>
      </c>
      <c r="G103">
        <v>0</v>
      </c>
      <c r="H103">
        <v>0.473348925213297</v>
      </c>
      <c r="I103">
        <v>4535.642434</v>
      </c>
      <c r="J103">
        <v>11.60010852744246</v>
      </c>
      <c r="K103">
        <v>0.4188928541710594</v>
      </c>
      <c r="L103">
        <v>0.795920591062358</v>
      </c>
      <c r="M103">
        <v>14.58</v>
      </c>
      <c r="N103">
        <v>10.29</v>
      </c>
    </row>
    <row r="104" spans="1:14">
      <c r="A104" s="1" t="s">
        <v>116</v>
      </c>
      <c r="B104">
        <f>HYPERLINK("https://www.suredividend.com/sure-analysis-research-database/","First Republic Bank")</f>
        <v>0</v>
      </c>
      <c r="C104" t="s">
        <v>287</v>
      </c>
      <c r="D104">
        <v>136.18</v>
      </c>
      <c r="E104">
        <v>0.007541576106111001</v>
      </c>
      <c r="F104">
        <v>0.2272727272727273</v>
      </c>
      <c r="G104">
        <v>0.09694024046466465</v>
      </c>
      <c r="H104">
        <v>1.027011834130247</v>
      </c>
      <c r="I104">
        <v>24464.302722</v>
      </c>
      <c r="J104">
        <v>16.00039681459744</v>
      </c>
      <c r="K104">
        <v>0.1225551114713898</v>
      </c>
      <c r="L104">
        <v>1.301592619708027</v>
      </c>
      <c r="M104">
        <v>180.69</v>
      </c>
      <c r="N104">
        <v>106.86</v>
      </c>
    </row>
    <row r="105" spans="1:14">
      <c r="A105" s="1" t="s">
        <v>117</v>
      </c>
      <c r="B105">
        <f>HYPERLINK("https://www.suredividend.com/sure-analysis-research-database/","First Merchants Corp.")</f>
        <v>0</v>
      </c>
      <c r="C105" t="s">
        <v>287</v>
      </c>
      <c r="D105">
        <v>40.2</v>
      </c>
      <c r="E105">
        <v>0.030750020988222</v>
      </c>
      <c r="F105">
        <v>0.1034482758620692</v>
      </c>
      <c r="G105">
        <v>0.1219551454461996</v>
      </c>
      <c r="H105">
        <v>1.236150843726556</v>
      </c>
      <c r="I105">
        <v>2394.417726</v>
      </c>
      <c r="J105">
        <v>12.08545015242979</v>
      </c>
      <c r="K105">
        <v>0.3521797275574234</v>
      </c>
      <c r="L105">
        <v>0.625679556957436</v>
      </c>
      <c r="M105">
        <v>44.71</v>
      </c>
      <c r="N105">
        <v>33.55</v>
      </c>
    </row>
    <row r="106" spans="1:14">
      <c r="A106" s="1" t="s">
        <v>118</v>
      </c>
      <c r="B106">
        <f>HYPERLINK("https://www.suredividend.com/sure-analysis-research-database/","Fulton Financial Corp.")</f>
        <v>0</v>
      </c>
      <c r="C106" t="s">
        <v>287</v>
      </c>
      <c r="D106">
        <v>15.64</v>
      </c>
      <c r="E106">
        <v>0.037742833351151</v>
      </c>
      <c r="F106">
        <v>0</v>
      </c>
      <c r="G106">
        <v>0.02903366107118788</v>
      </c>
      <c r="H106">
        <v>0.590297913612013</v>
      </c>
      <c r="I106">
        <v>2619.611806</v>
      </c>
      <c r="J106">
        <v>10.20149698403735</v>
      </c>
      <c r="K106">
        <v>0.3759859322369509</v>
      </c>
      <c r="L106">
        <v>0.7321083077934151</v>
      </c>
      <c r="M106">
        <v>18.68</v>
      </c>
      <c r="N106">
        <v>13.42</v>
      </c>
    </row>
    <row r="107" spans="1:14">
      <c r="A107" s="1" t="s">
        <v>119</v>
      </c>
      <c r="B107">
        <f>HYPERLINK("https://www.suredividend.com/sure-analysis-research-database/","Glacier Bancorp, Inc.")</f>
        <v>0</v>
      </c>
      <c r="C107" t="s">
        <v>287</v>
      </c>
      <c r="D107">
        <v>46.8</v>
      </c>
      <c r="E107">
        <v>0.027697149310415</v>
      </c>
      <c r="F107">
        <v>2.3</v>
      </c>
      <c r="G107">
        <v>0.01924487649145656</v>
      </c>
      <c r="H107">
        <v>1.296226587727424</v>
      </c>
      <c r="I107">
        <v>5183.893447</v>
      </c>
      <c r="J107">
        <v>18.90317556247584</v>
      </c>
      <c r="K107">
        <v>0.5247880921973376</v>
      </c>
      <c r="M107">
        <v>59.03</v>
      </c>
      <c r="N107">
        <v>42.78</v>
      </c>
    </row>
    <row r="108" spans="1:14">
      <c r="A108" s="1" t="s">
        <v>120</v>
      </c>
      <c r="B108">
        <f>HYPERLINK("https://www.suredividend.com/sure-analysis-research-database/","Green Dot Corp.")</f>
        <v>0</v>
      </c>
      <c r="C108" t="s">
        <v>287</v>
      </c>
      <c r="D108">
        <v>16.99</v>
      </c>
      <c r="E108">
        <v>0</v>
      </c>
      <c r="F108" t="s">
        <v>289</v>
      </c>
      <c r="G108" t="s">
        <v>289</v>
      </c>
      <c r="H108">
        <v>0</v>
      </c>
      <c r="I108">
        <v>893.144999</v>
      </c>
      <c r="J108">
        <v>18.71832755653358</v>
      </c>
      <c r="K108">
        <v>0</v>
      </c>
      <c r="L108">
        <v>1.200430407306711</v>
      </c>
      <c r="M108">
        <v>34.33</v>
      </c>
      <c r="N108">
        <v>15.03</v>
      </c>
    </row>
    <row r="109" spans="1:14">
      <c r="A109" s="1" t="s">
        <v>121</v>
      </c>
      <c r="B109">
        <f>HYPERLINK("https://www.suredividend.com/sure-analysis-research-database/","Greenhill &amp; Co Inc")</f>
        <v>0</v>
      </c>
      <c r="C109" t="s">
        <v>287</v>
      </c>
      <c r="D109">
        <v>12.85</v>
      </c>
      <c r="E109">
        <v>0.030695633897662</v>
      </c>
      <c r="F109">
        <v>1</v>
      </c>
      <c r="G109">
        <v>0.1486983549970351</v>
      </c>
      <c r="H109">
        <v>0.394438895584968</v>
      </c>
      <c r="I109">
        <v>228.542544</v>
      </c>
      <c r="J109">
        <v>18.60792576127666</v>
      </c>
      <c r="K109">
        <v>0.7136582152794789</v>
      </c>
      <c r="L109">
        <v>1.079942731906356</v>
      </c>
      <c r="M109">
        <v>19.52</v>
      </c>
      <c r="N109">
        <v>5.59</v>
      </c>
    </row>
    <row r="110" spans="1:14">
      <c r="A110" s="1" t="s">
        <v>122</v>
      </c>
      <c r="B110">
        <f>HYPERLINK("https://www.suredividend.com/sure-analysis-GL/","Globe Life Inc")</f>
        <v>0</v>
      </c>
      <c r="C110" t="s">
        <v>287</v>
      </c>
      <c r="D110">
        <v>117.42</v>
      </c>
      <c r="E110">
        <v>0.006983478112757621</v>
      </c>
      <c r="F110">
        <v>0.05063291139240511</v>
      </c>
      <c r="G110">
        <v>0.05336679400581579</v>
      </c>
      <c r="H110">
        <v>0.8276765243109501</v>
      </c>
      <c r="I110">
        <v>11421.470289</v>
      </c>
      <c r="J110">
        <v>16.17549754379356</v>
      </c>
      <c r="K110">
        <v>0.116738578887299</v>
      </c>
      <c r="L110">
        <v>0.6796039531694601</v>
      </c>
      <c r="M110">
        <v>123.85</v>
      </c>
      <c r="N110">
        <v>87.36</v>
      </c>
    </row>
    <row r="111" spans="1:14">
      <c r="A111" s="1" t="s">
        <v>123</v>
      </c>
      <c r="B111">
        <f>HYPERLINK("https://www.suredividend.com/sure-analysis-research-database/","Genworth Financial Inc")</f>
        <v>0</v>
      </c>
      <c r="C111" t="s">
        <v>287</v>
      </c>
      <c r="D111">
        <v>5.41</v>
      </c>
      <c r="E111">
        <v>0</v>
      </c>
      <c r="F111" t="s">
        <v>289</v>
      </c>
      <c r="G111" t="s">
        <v>289</v>
      </c>
      <c r="H111">
        <v>0</v>
      </c>
      <c r="I111">
        <v>2685.338112</v>
      </c>
      <c r="J111">
        <v>4.49805378961474</v>
      </c>
      <c r="K111">
        <v>0</v>
      </c>
      <c r="L111">
        <v>0.8666447070465001</v>
      </c>
      <c r="M111">
        <v>5.41</v>
      </c>
      <c r="N111">
        <v>3.43</v>
      </c>
    </row>
    <row r="112" spans="1:14">
      <c r="A112" s="1" t="s">
        <v>124</v>
      </c>
      <c r="B112">
        <f>HYPERLINK("https://www.suredividend.com/sure-analysis-research-database/","Granite Point Mortgage Trust Inc")</f>
        <v>0</v>
      </c>
      <c r="C112" t="s">
        <v>288</v>
      </c>
      <c r="D112">
        <v>6.4</v>
      </c>
      <c r="E112">
        <v>0.140507457074667</v>
      </c>
      <c r="F112" t="s">
        <v>289</v>
      </c>
      <c r="G112" t="s">
        <v>289</v>
      </c>
      <c r="H112">
        <v>0.8992477252778701</v>
      </c>
      <c r="I112">
        <v>335.04633</v>
      </c>
      <c r="J112" t="s">
        <v>289</v>
      </c>
      <c r="K112" t="s">
        <v>289</v>
      </c>
      <c r="L112">
        <v>0.9290165529090161</v>
      </c>
      <c r="M112">
        <v>10.71</v>
      </c>
      <c r="N112">
        <v>5.1</v>
      </c>
    </row>
    <row r="113" spans="1:14">
      <c r="A113" s="1" t="s">
        <v>125</v>
      </c>
      <c r="B113">
        <f>HYPERLINK("https://www.suredividend.com/sure-analysis-GS/","Goldman Sachs Group, Inc.")</f>
        <v>0</v>
      </c>
      <c r="C113" t="s">
        <v>287</v>
      </c>
      <c r="D113">
        <v>341.84</v>
      </c>
      <c r="E113">
        <v>0.02925345190732507</v>
      </c>
      <c r="F113">
        <v>0.25</v>
      </c>
      <c r="G113">
        <v>0.2722596365393921</v>
      </c>
      <c r="H113">
        <v>8.927871933409001</v>
      </c>
      <c r="I113">
        <v>114487.652623</v>
      </c>
      <c r="J113">
        <v>8.551512744499552</v>
      </c>
      <c r="K113">
        <v>0.2380765848909067</v>
      </c>
      <c r="L113">
        <v>0.9291480059173721</v>
      </c>
      <c r="M113">
        <v>387.04</v>
      </c>
      <c r="N113">
        <v>273.96</v>
      </c>
    </row>
    <row r="114" spans="1:14">
      <c r="A114" s="1" t="s">
        <v>126</v>
      </c>
      <c r="B114">
        <f>HYPERLINK("https://www.suredividend.com/sure-analysis-research-database/","Great Western Bancorp Inc")</f>
        <v>0</v>
      </c>
      <c r="C114" t="s">
        <v>287</v>
      </c>
      <c r="D114">
        <v>30.88</v>
      </c>
      <c r="E114">
        <v>0.003881755025846</v>
      </c>
      <c r="F114" t="s">
        <v>289</v>
      </c>
      <c r="G114" t="s">
        <v>289</v>
      </c>
      <c r="H114">
        <v>0.119868595198139</v>
      </c>
      <c r="I114">
        <v>1704.55108</v>
      </c>
      <c r="J114">
        <v>4.193072547796397</v>
      </c>
      <c r="K114">
        <v>0.01635315077737231</v>
      </c>
      <c r="L114">
        <v>0.997626022818289</v>
      </c>
      <c r="M114">
        <v>37.9</v>
      </c>
      <c r="N114">
        <v>23.81</v>
      </c>
    </row>
    <row r="115" spans="1:14">
      <c r="A115" s="1" t="s">
        <v>127</v>
      </c>
      <c r="B115">
        <f>HYPERLINK("https://www.suredividend.com/sure-analysis-research-database/","Hanmi Financial Corp.")</f>
        <v>0</v>
      </c>
      <c r="C115" t="s">
        <v>287</v>
      </c>
      <c r="D115">
        <v>24.55</v>
      </c>
      <c r="E115">
        <v>0.037759435330761</v>
      </c>
      <c r="F115">
        <v>0.25</v>
      </c>
      <c r="G115">
        <v>0.008197818497166498</v>
      </c>
      <c r="H115">
        <v>0.9269941373701891</v>
      </c>
      <c r="I115">
        <v>748.434123</v>
      </c>
      <c r="J115">
        <v>7.090801736144008</v>
      </c>
      <c r="K115">
        <v>0.2671452845447231</v>
      </c>
      <c r="L115">
        <v>0.819459558329193</v>
      </c>
      <c r="M115">
        <v>27.78</v>
      </c>
      <c r="N115">
        <v>20.94</v>
      </c>
    </row>
    <row r="116" spans="1:14">
      <c r="A116" s="1" t="s">
        <v>128</v>
      </c>
      <c r="B116">
        <f>HYPERLINK("https://www.suredividend.com/sure-analysis-HBAN/","Huntington Bancshares, Inc.")</f>
        <v>0</v>
      </c>
      <c r="C116" t="s">
        <v>287</v>
      </c>
      <c r="D116">
        <v>14.11</v>
      </c>
      <c r="E116">
        <v>0.04394046775336641</v>
      </c>
      <c r="F116">
        <v>0</v>
      </c>
      <c r="G116">
        <v>0.07099588603959828</v>
      </c>
      <c r="H116">
        <v>0.6095490815492071</v>
      </c>
      <c r="I116">
        <v>20356.980338</v>
      </c>
      <c r="J116">
        <v>10.79945906527851</v>
      </c>
      <c r="K116">
        <v>0.476210219960318</v>
      </c>
      <c r="L116">
        <v>0.9229832072748381</v>
      </c>
      <c r="M116">
        <v>15.79</v>
      </c>
      <c r="N116">
        <v>11.41</v>
      </c>
    </row>
    <row r="117" spans="1:14">
      <c r="A117" s="1" t="s">
        <v>129</v>
      </c>
      <c r="B117">
        <f>HYPERLINK("https://www.suredividend.com/sure-analysis-research-database/","HCI Group Inc")</f>
        <v>0</v>
      </c>
      <c r="C117" t="s">
        <v>287</v>
      </c>
      <c r="D117">
        <v>47</v>
      </c>
      <c r="E117">
        <v>0.033619053050343</v>
      </c>
      <c r="F117">
        <v>0</v>
      </c>
      <c r="G117">
        <v>0.02706608708935176</v>
      </c>
      <c r="H117">
        <v>1.580095493366162</v>
      </c>
      <c r="I117">
        <v>411.57759</v>
      </c>
      <c r="J117" t="s">
        <v>289</v>
      </c>
      <c r="K117" t="s">
        <v>289</v>
      </c>
      <c r="L117">
        <v>0.6928491241005561</v>
      </c>
      <c r="M117">
        <v>72.23</v>
      </c>
      <c r="N117">
        <v>27.37</v>
      </c>
    </row>
    <row r="118" spans="1:14">
      <c r="A118" s="1" t="s">
        <v>130</v>
      </c>
      <c r="B118">
        <f>HYPERLINK("https://www.suredividend.com/sure-analysis-research-database/","Heritage Financial Corp.")</f>
        <v>0</v>
      </c>
      <c r="C118" t="s">
        <v>287</v>
      </c>
      <c r="D118">
        <v>28.69</v>
      </c>
      <c r="E118">
        <v>0.028964917550745</v>
      </c>
      <c r="F118">
        <v>0</v>
      </c>
      <c r="G118">
        <v>0.06961037572506878</v>
      </c>
      <c r="H118">
        <v>0.831003484530891</v>
      </c>
      <c r="I118">
        <v>1007.140875</v>
      </c>
      <c r="J118">
        <v>12.79266430139214</v>
      </c>
      <c r="K118">
        <v>0.3743258939328338</v>
      </c>
      <c r="L118">
        <v>0.513286071126291</v>
      </c>
      <c r="M118">
        <v>34.34</v>
      </c>
      <c r="N118">
        <v>22.6</v>
      </c>
    </row>
    <row r="119" spans="1:14">
      <c r="A119" s="1" t="s">
        <v>131</v>
      </c>
      <c r="B119">
        <f>HYPERLINK("https://www.suredividend.com/sure-analysis-HIG/","Hartford Financial Services Group Inc.")</f>
        <v>0</v>
      </c>
      <c r="C119" t="s">
        <v>287</v>
      </c>
      <c r="D119">
        <v>75.05</v>
      </c>
      <c r="E119">
        <v>0.02265156562291806</v>
      </c>
      <c r="F119">
        <v>0.1038961038961039</v>
      </c>
      <c r="G119">
        <v>0.1119615859385787</v>
      </c>
      <c r="H119">
        <v>1.568995454604532</v>
      </c>
      <c r="I119">
        <v>23873.324621</v>
      </c>
      <c r="J119">
        <v>12.34401479909514</v>
      </c>
      <c r="K119">
        <v>0.2719229557373539</v>
      </c>
      <c r="L119">
        <v>0.7434595589289711</v>
      </c>
      <c r="M119">
        <v>79.44</v>
      </c>
      <c r="N119">
        <v>59.83</v>
      </c>
    </row>
    <row r="120" spans="1:14">
      <c r="A120" s="1" t="s">
        <v>132</v>
      </c>
      <c r="B120">
        <f>HYPERLINK("https://www.suredividend.com/sure-analysis-research-database/","Horace Mann Educators Corp.")</f>
        <v>0</v>
      </c>
      <c r="C120" t="s">
        <v>287</v>
      </c>
      <c r="D120">
        <v>36.92</v>
      </c>
      <c r="E120">
        <v>0.03421712215243401</v>
      </c>
      <c r="F120">
        <v>0.032258064516129</v>
      </c>
      <c r="G120">
        <v>0.0234367875071011</v>
      </c>
      <c r="H120">
        <v>1.263296149867886</v>
      </c>
      <c r="I120">
        <v>1509.965051</v>
      </c>
      <c r="J120">
        <v>26.7724299893617</v>
      </c>
      <c r="K120">
        <v>0.9427583207969299</v>
      </c>
      <c r="L120">
        <v>0.427671180258911</v>
      </c>
      <c r="M120">
        <v>41.51</v>
      </c>
      <c r="N120">
        <v>32.03</v>
      </c>
    </row>
    <row r="121" spans="1:14">
      <c r="A121" s="1" t="s">
        <v>133</v>
      </c>
      <c r="B121">
        <f>HYPERLINK("https://www.suredividend.com/sure-analysis-research-database/","HomeStreet Inc")</f>
        <v>0</v>
      </c>
      <c r="C121" t="s">
        <v>287</v>
      </c>
      <c r="D121">
        <v>28.92</v>
      </c>
      <c r="E121">
        <v>0.04757083703181501</v>
      </c>
      <c r="F121" t="s">
        <v>289</v>
      </c>
      <c r="G121" t="s">
        <v>289</v>
      </c>
      <c r="H121">
        <v>1.375748606960118</v>
      </c>
      <c r="I121">
        <v>541.458749</v>
      </c>
      <c r="J121">
        <v>6.190151579380594</v>
      </c>
      <c r="K121">
        <v>0.3064028077862178</v>
      </c>
      <c r="L121">
        <v>0.8463073529778291</v>
      </c>
      <c r="M121">
        <v>51.25</v>
      </c>
      <c r="N121">
        <v>22.13</v>
      </c>
    </row>
    <row r="122" spans="1:14">
      <c r="A122" s="1" t="s">
        <v>134</v>
      </c>
      <c r="B122">
        <f>HYPERLINK("https://www.suredividend.com/sure-analysis-research-database/","Home Bancshares Inc")</f>
        <v>0</v>
      </c>
      <c r="C122" t="s">
        <v>287</v>
      </c>
      <c r="D122">
        <v>22.43</v>
      </c>
      <c r="E122">
        <v>0.029129269254245</v>
      </c>
      <c r="F122">
        <v>0.1785714285714286</v>
      </c>
      <c r="G122">
        <v>0.08447177119769855</v>
      </c>
      <c r="H122">
        <v>0.6533695093727251</v>
      </c>
      <c r="I122">
        <v>4575.074913</v>
      </c>
      <c r="J122">
        <v>17.40022101988347</v>
      </c>
      <c r="K122">
        <v>0.4601193727976938</v>
      </c>
      <c r="L122">
        <v>0.8401570444674451</v>
      </c>
      <c r="M122">
        <v>26.07</v>
      </c>
      <c r="N122">
        <v>19.42</v>
      </c>
    </row>
    <row r="123" spans="1:14">
      <c r="A123" s="1" t="s">
        <v>135</v>
      </c>
      <c r="B123">
        <f>HYPERLINK("https://www.suredividend.com/sure-analysis-research-database/","HarborOne Bancorp Inc.")</f>
        <v>0</v>
      </c>
      <c r="C123" t="s">
        <v>287</v>
      </c>
      <c r="D123">
        <v>14.15</v>
      </c>
      <c r="E123">
        <v>0.019639599049515</v>
      </c>
      <c r="F123" t="s">
        <v>289</v>
      </c>
      <c r="G123" t="s">
        <v>289</v>
      </c>
      <c r="H123">
        <v>0.277900326550637</v>
      </c>
      <c r="I123">
        <v>696.017204</v>
      </c>
      <c r="J123">
        <v>14.32075231986338</v>
      </c>
      <c r="K123">
        <v>0.2751488381689475</v>
      </c>
      <c r="L123">
        <v>0.5080478604479221</v>
      </c>
      <c r="M123">
        <v>15.49</v>
      </c>
      <c r="N123">
        <v>12.76</v>
      </c>
    </row>
    <row r="124" spans="1:14">
      <c r="A124" s="1" t="s">
        <v>136</v>
      </c>
      <c r="B124">
        <f>HYPERLINK("https://www.suredividend.com/sure-analysis-research-database/","Hope Bancorp Inc")</f>
        <v>0</v>
      </c>
      <c r="C124" t="s">
        <v>287</v>
      </c>
      <c r="D124">
        <v>12.97</v>
      </c>
      <c r="E124">
        <v>0.042539026210665</v>
      </c>
      <c r="F124" t="s">
        <v>289</v>
      </c>
      <c r="G124" t="s">
        <v>289</v>
      </c>
      <c r="H124">
        <v>0.5517311699523311</v>
      </c>
      <c r="I124">
        <v>1549.678531</v>
      </c>
      <c r="J124">
        <v>7.102199072214559</v>
      </c>
      <c r="K124">
        <v>0.3048238508023928</v>
      </c>
      <c r="L124">
        <v>0.6870174101746731</v>
      </c>
      <c r="M124">
        <v>17.03</v>
      </c>
      <c r="N124">
        <v>12.27</v>
      </c>
    </row>
    <row r="125" spans="1:14">
      <c r="A125" s="1" t="s">
        <v>137</v>
      </c>
      <c r="B125">
        <f>HYPERLINK("https://www.suredividend.com/sure-analysis-research-database/","Heritage Commerce Corp.")</f>
        <v>0</v>
      </c>
      <c r="C125" t="s">
        <v>287</v>
      </c>
      <c r="D125">
        <v>12.43</v>
      </c>
      <c r="E125">
        <v>0.04120351122105401</v>
      </c>
      <c r="F125">
        <v>0</v>
      </c>
      <c r="G125">
        <v>0.03397522653195018</v>
      </c>
      <c r="H125">
        <v>0.512159644477705</v>
      </c>
      <c r="I125">
        <v>754.737095</v>
      </c>
      <c r="J125">
        <v>12.63771697426366</v>
      </c>
      <c r="K125">
        <v>0.5228786569450791</v>
      </c>
      <c r="L125">
        <v>0.642600361559167</v>
      </c>
      <c r="M125">
        <v>14.87</v>
      </c>
      <c r="N125">
        <v>10.21</v>
      </c>
    </row>
    <row r="126" spans="1:14">
      <c r="A126" s="1" t="s">
        <v>138</v>
      </c>
      <c r="B126">
        <f>HYPERLINK("https://www.suredividend.com/sure-analysis-research-database/","Hilltop Holdings Inc")</f>
        <v>0</v>
      </c>
      <c r="C126" t="s">
        <v>287</v>
      </c>
      <c r="D126">
        <v>30.61</v>
      </c>
      <c r="E126">
        <v>0.019347482190732</v>
      </c>
      <c r="F126">
        <v>0</v>
      </c>
      <c r="G126">
        <v>0.1646586157796568</v>
      </c>
      <c r="H126">
        <v>0.5922264298583361</v>
      </c>
      <c r="I126">
        <v>1977.14554</v>
      </c>
      <c r="J126">
        <v>13.20191730552476</v>
      </c>
      <c r="K126">
        <v>0.2931814009199684</v>
      </c>
      <c r="L126">
        <v>0.90919192751093</v>
      </c>
      <c r="M126">
        <v>35.42</v>
      </c>
      <c r="N126">
        <v>23.93</v>
      </c>
    </row>
    <row r="127" spans="1:14">
      <c r="A127" s="1" t="s">
        <v>139</v>
      </c>
      <c r="B127">
        <f>HYPERLINK("https://www.suredividend.com/sure-analysis-research-database/","Heartland Financial USA, Inc.")</f>
        <v>0</v>
      </c>
      <c r="C127" t="s">
        <v>287</v>
      </c>
      <c r="D127">
        <v>46.36</v>
      </c>
      <c r="E127">
        <v>0.023180672670726</v>
      </c>
      <c r="F127">
        <v>0.03703703703703698</v>
      </c>
      <c r="G127">
        <v>0.1658506946484593</v>
      </c>
      <c r="H127">
        <v>1.074655985014895</v>
      </c>
      <c r="I127">
        <v>1967.741855</v>
      </c>
      <c r="J127">
        <v>10.1925962166418</v>
      </c>
      <c r="K127">
        <v>0.2372309017692925</v>
      </c>
      <c r="L127">
        <v>0.663025328532723</v>
      </c>
      <c r="M127">
        <v>52.06</v>
      </c>
      <c r="N127">
        <v>38.61</v>
      </c>
    </row>
    <row r="128" spans="1:14">
      <c r="A128" s="1" t="s">
        <v>140</v>
      </c>
      <c r="B128">
        <f>HYPERLINK("https://www.suredividend.com/sure-analysis-research-database/","Hancock Whitney Corp.")</f>
        <v>0</v>
      </c>
      <c r="C128" t="s">
        <v>287</v>
      </c>
      <c r="D128">
        <v>48.18</v>
      </c>
      <c r="E128">
        <v>0.022240914360459</v>
      </c>
      <c r="F128">
        <v>0</v>
      </c>
      <c r="G128">
        <v>0.02383625553960966</v>
      </c>
      <c r="H128">
        <v>1.071567253886958</v>
      </c>
      <c r="I128">
        <v>4128.703339</v>
      </c>
      <c r="J128">
        <v>8.098910989024784</v>
      </c>
      <c r="K128">
        <v>0.1822393288923398</v>
      </c>
      <c r="L128">
        <v>0.898289386987958</v>
      </c>
      <c r="M128">
        <v>56.72</v>
      </c>
      <c r="N128">
        <v>41.18</v>
      </c>
    </row>
    <row r="129" spans="1:14">
      <c r="A129" s="1" t="s">
        <v>141</v>
      </c>
      <c r="B129">
        <f>HYPERLINK("https://www.suredividend.com/sure-analysis-research-database/","Independent Bank Corporation (Ionia, MI)")</f>
        <v>0</v>
      </c>
      <c r="C129" t="s">
        <v>287</v>
      </c>
      <c r="D129">
        <v>23.33</v>
      </c>
      <c r="E129">
        <v>0.037147490355718</v>
      </c>
      <c r="F129" t="s">
        <v>289</v>
      </c>
      <c r="G129" t="s">
        <v>289</v>
      </c>
      <c r="H129">
        <v>0.866650949998911</v>
      </c>
      <c r="I129">
        <v>491.44981</v>
      </c>
      <c r="J129">
        <v>0</v>
      </c>
      <c r="K129" t="s">
        <v>289</v>
      </c>
      <c r="L129">
        <v>0.6445922578576621</v>
      </c>
      <c r="M129">
        <v>24.97</v>
      </c>
      <c r="N129">
        <v>17.51</v>
      </c>
    </row>
    <row r="130" spans="1:14">
      <c r="A130" s="1" t="s">
        <v>142</v>
      </c>
      <c r="B130">
        <f>HYPERLINK("https://www.suredividend.com/sure-analysis-research-database/","International Bancshares Corp.")</f>
        <v>0</v>
      </c>
      <c r="C130" t="s">
        <v>287</v>
      </c>
      <c r="D130">
        <v>44.04</v>
      </c>
      <c r="E130">
        <v>0.027068822591777</v>
      </c>
      <c r="F130" t="s">
        <v>289</v>
      </c>
      <c r="G130" t="s">
        <v>289</v>
      </c>
      <c r="H130">
        <v>1.192110946941863</v>
      </c>
      <c r="I130">
        <v>2735.492016</v>
      </c>
      <c r="J130">
        <v>10.88337199016495</v>
      </c>
      <c r="K130">
        <v>0.2995253635532319</v>
      </c>
      <c r="L130">
        <v>0.714332059007812</v>
      </c>
      <c r="M130">
        <v>53.71</v>
      </c>
      <c r="N130">
        <v>37.5</v>
      </c>
    </row>
    <row r="131" spans="1:14">
      <c r="A131" s="1" t="s">
        <v>143</v>
      </c>
      <c r="B131">
        <f>HYPERLINK("https://www.suredividend.com/sure-analysis-research-database/","Independent Bank Group Inc")</f>
        <v>0</v>
      </c>
      <c r="C131" t="s">
        <v>287</v>
      </c>
      <c r="D131">
        <v>60.75</v>
      </c>
      <c r="E131">
        <v>0.02480830014293</v>
      </c>
      <c r="F131">
        <v>0.05555555555555558</v>
      </c>
      <c r="G131">
        <v>0.2592746769380385</v>
      </c>
      <c r="H131">
        <v>1.50710423368302</v>
      </c>
      <c r="I131">
        <v>2502.66994</v>
      </c>
      <c r="J131">
        <v>12.02888630290068</v>
      </c>
      <c r="K131">
        <v>0.3032402884674085</v>
      </c>
      <c r="L131">
        <v>0.769933798972514</v>
      </c>
      <c r="M131">
        <v>77.62</v>
      </c>
      <c r="N131">
        <v>56.22</v>
      </c>
    </row>
    <row r="132" spans="1:14">
      <c r="A132" s="1" t="s">
        <v>144</v>
      </c>
      <c r="B132">
        <f>HYPERLINK("https://www.suredividend.com/sure-analysis-ICE/","Intercontinental Exchange Inc")</f>
        <v>0</v>
      </c>
      <c r="C132" t="s">
        <v>287</v>
      </c>
      <c r="D132">
        <v>108.48</v>
      </c>
      <c r="E132">
        <v>0.0140117994100295</v>
      </c>
      <c r="F132">
        <v>0.1515151515151514</v>
      </c>
      <c r="G132">
        <v>0.09626227935295417</v>
      </c>
      <c r="H132">
        <v>1.511565359480196</v>
      </c>
      <c r="I132">
        <v>60591.68028</v>
      </c>
      <c r="J132">
        <v>23.78009430141288</v>
      </c>
      <c r="K132">
        <v>0.3336788873024715</v>
      </c>
      <c r="L132">
        <v>0.80855642879429</v>
      </c>
      <c r="M132">
        <v>135.85</v>
      </c>
      <c r="N132">
        <v>88.28</v>
      </c>
    </row>
    <row r="133" spans="1:14">
      <c r="A133" s="1" t="s">
        <v>145</v>
      </c>
      <c r="B133">
        <f>HYPERLINK("https://www.suredividend.com/sure-analysis-research-database/","Independent Bank Corp.")</f>
        <v>0</v>
      </c>
      <c r="C133" t="s">
        <v>287</v>
      </c>
      <c r="D133">
        <v>76.91</v>
      </c>
      <c r="E133">
        <v>0.026787048072248</v>
      </c>
      <c r="F133">
        <v>0.1458333333333335</v>
      </c>
      <c r="G133">
        <v>0.07675232594309245</v>
      </c>
      <c r="H133">
        <v>2.060191867236661</v>
      </c>
      <c r="I133">
        <v>3510.345063</v>
      </c>
      <c r="J133">
        <v>18.62528684870962</v>
      </c>
      <c r="K133">
        <v>0.4928688677599667</v>
      </c>
      <c r="L133">
        <v>0.5833142663291281</v>
      </c>
      <c r="M133">
        <v>91.05</v>
      </c>
      <c r="N133">
        <v>73.8</v>
      </c>
    </row>
    <row r="134" spans="1:14">
      <c r="A134" s="1" t="s">
        <v>146</v>
      </c>
      <c r="B134">
        <f>HYPERLINK("https://www.suredividend.com/sure-analysis-research-database/","Investors Bancorp Inc")</f>
        <v>0</v>
      </c>
      <c r="C134" t="s">
        <v>287</v>
      </c>
      <c r="D134">
        <v>13.87</v>
      </c>
      <c r="E134">
        <v>0</v>
      </c>
      <c r="F134" t="s">
        <v>289</v>
      </c>
      <c r="G134" t="s">
        <v>289</v>
      </c>
      <c r="H134">
        <v>0.57999999821186</v>
      </c>
      <c r="I134">
        <v>0</v>
      </c>
      <c r="J134">
        <v>0</v>
      </c>
      <c r="K134">
        <v>0.4360902242194436</v>
      </c>
    </row>
    <row r="135" spans="1:14">
      <c r="A135" s="1" t="s">
        <v>147</v>
      </c>
      <c r="B135">
        <f>HYPERLINK("https://www.suredividend.com/sure-analysis-research-database/","Invesco Mortgage Capital Inc")</f>
        <v>0</v>
      </c>
      <c r="C135" t="s">
        <v>288</v>
      </c>
      <c r="D135">
        <v>14.25</v>
      </c>
      <c r="E135">
        <v>0.199092460606462</v>
      </c>
      <c r="F135">
        <v>6.222222222222222</v>
      </c>
      <c r="G135">
        <v>0.09127150018383667</v>
      </c>
      <c r="H135">
        <v>2.837067563642083</v>
      </c>
      <c r="I135">
        <v>503.767753</v>
      </c>
      <c r="J135" t="s">
        <v>289</v>
      </c>
      <c r="K135" t="s">
        <v>289</v>
      </c>
      <c r="L135">
        <v>1.220296259167601</v>
      </c>
      <c r="M135">
        <v>22.29</v>
      </c>
      <c r="N135">
        <v>8.15</v>
      </c>
    </row>
    <row r="136" spans="1:14">
      <c r="A136" s="1" t="s">
        <v>148</v>
      </c>
      <c r="B136">
        <f>HYPERLINK("https://www.suredividend.com/sure-analysis-IVZ/","Invesco Ltd")</f>
        <v>0</v>
      </c>
      <c r="C136" t="s">
        <v>287</v>
      </c>
      <c r="D136">
        <v>18.97</v>
      </c>
      <c r="E136">
        <v>0.03953610964681076</v>
      </c>
      <c r="F136">
        <v>0.1029411764705881</v>
      </c>
      <c r="G136">
        <v>-0.08971789848695988</v>
      </c>
      <c r="H136">
        <v>0.7125184443415441</v>
      </c>
      <c r="I136">
        <v>8627.264014</v>
      </c>
      <c r="J136">
        <v>9.347994380496262</v>
      </c>
      <c r="K136">
        <v>0.356259222170772</v>
      </c>
      <c r="L136">
        <v>1.443189827915139</v>
      </c>
      <c r="M136">
        <v>23.1</v>
      </c>
      <c r="N136">
        <v>12.9</v>
      </c>
    </row>
    <row r="137" spans="1:14">
      <c r="A137" s="1" t="s">
        <v>149</v>
      </c>
      <c r="B137">
        <f>HYPERLINK("https://www.suredividend.com/sure-analysis-JPM/","JPMorgan Chase &amp; Co.")</f>
        <v>0</v>
      </c>
      <c r="C137" t="s">
        <v>287</v>
      </c>
      <c r="D137">
        <v>135.08</v>
      </c>
      <c r="E137">
        <v>0.02961208172934557</v>
      </c>
      <c r="F137">
        <v>0</v>
      </c>
      <c r="G137">
        <v>0.1229551070568209</v>
      </c>
      <c r="H137">
        <v>3.960398331290456</v>
      </c>
      <c r="I137">
        <v>396217.316271</v>
      </c>
      <c r="J137">
        <v>11.24914304329794</v>
      </c>
      <c r="K137">
        <v>0.3342108296447642</v>
      </c>
      <c r="L137">
        <v>0.8745344767306531</v>
      </c>
      <c r="M137">
        <v>155.31</v>
      </c>
      <c r="N137">
        <v>100.54</v>
      </c>
    </row>
    <row r="138" spans="1:14">
      <c r="A138" s="1" t="s">
        <v>150</v>
      </c>
      <c r="B138">
        <f>HYPERLINK("https://www.suredividend.com/sure-analysis-research-database/","James River Group Holdings Ltd")</f>
        <v>0</v>
      </c>
      <c r="C138" t="s">
        <v>287</v>
      </c>
      <c r="D138">
        <v>21.06</v>
      </c>
      <c r="E138">
        <v>0.009466549228825</v>
      </c>
      <c r="F138">
        <v>-0.8333333333333334</v>
      </c>
      <c r="G138">
        <v>-0.3011728812284208</v>
      </c>
      <c r="H138">
        <v>0.199365526759058</v>
      </c>
      <c r="I138">
        <v>788.908463</v>
      </c>
      <c r="J138" t="s">
        <v>289</v>
      </c>
      <c r="K138" t="s">
        <v>289</v>
      </c>
      <c r="L138">
        <v>0.672983481084626</v>
      </c>
      <c r="M138">
        <v>29.27</v>
      </c>
      <c r="N138">
        <v>19.59</v>
      </c>
    </row>
    <row r="139" spans="1:14">
      <c r="A139" s="1" t="s">
        <v>151</v>
      </c>
      <c r="B139">
        <f>HYPERLINK("https://www.suredividend.com/sure-analysis-KEY/","Keycorp")</f>
        <v>0</v>
      </c>
      <c r="C139" t="s">
        <v>287</v>
      </c>
      <c r="D139">
        <v>17.44</v>
      </c>
      <c r="E139">
        <v>0.04701834862385321</v>
      </c>
      <c r="F139">
        <v>0.05128205128205132</v>
      </c>
      <c r="G139">
        <v>0.1431755108178514</v>
      </c>
      <c r="H139">
        <v>0.7777472178747381</v>
      </c>
      <c r="I139">
        <v>16270.989702</v>
      </c>
      <c r="J139">
        <v>7.849006127313072</v>
      </c>
      <c r="K139">
        <v>0.3503365846282604</v>
      </c>
      <c r="L139">
        <v>1.074368126453081</v>
      </c>
      <c r="M139">
        <v>26.06</v>
      </c>
      <c r="N139">
        <v>15.09</v>
      </c>
    </row>
    <row r="140" spans="1:14">
      <c r="A140" s="1" t="s">
        <v>152</v>
      </c>
      <c r="B140">
        <f>HYPERLINK("https://www.suredividend.com/sure-analysis-research-database/","Kemper Corporation")</f>
        <v>0</v>
      </c>
      <c r="C140" t="s">
        <v>287</v>
      </c>
      <c r="D140">
        <v>53.64</v>
      </c>
      <c r="E140">
        <v>0.022905615266914</v>
      </c>
      <c r="F140">
        <v>0</v>
      </c>
      <c r="G140">
        <v>0.05251935381426631</v>
      </c>
      <c r="H140">
        <v>1.228657202917294</v>
      </c>
      <c r="I140">
        <v>3426.799017</v>
      </c>
      <c r="J140" t="s">
        <v>289</v>
      </c>
      <c r="K140" t="s">
        <v>289</v>
      </c>
      <c r="L140">
        <v>0.7657450512222831</v>
      </c>
      <c r="M140">
        <v>59.7</v>
      </c>
      <c r="N140">
        <v>40.42</v>
      </c>
    </row>
    <row r="141" spans="1:14">
      <c r="A141" s="1" t="s">
        <v>153</v>
      </c>
      <c r="B141">
        <f>HYPERLINK("https://www.suredividend.com/sure-analysis-research-database/","Kinsale Capital Group Inc")</f>
        <v>0</v>
      </c>
      <c r="C141" t="s">
        <v>287</v>
      </c>
      <c r="D141">
        <v>264.47</v>
      </c>
      <c r="E141">
        <v>0.001964800007765</v>
      </c>
      <c r="F141">
        <v>0.1818181818181819</v>
      </c>
      <c r="G141">
        <v>0.1317983656310018</v>
      </c>
      <c r="H141">
        <v>0.519630658053809</v>
      </c>
      <c r="I141">
        <v>6063.0369</v>
      </c>
      <c r="J141">
        <v>43.2502543100189</v>
      </c>
      <c r="K141">
        <v>0.08560636870738204</v>
      </c>
      <c r="L141">
        <v>0.800868446057537</v>
      </c>
      <c r="M141">
        <v>334.85</v>
      </c>
      <c r="N141">
        <v>179.67</v>
      </c>
    </row>
    <row r="142" spans="1:14">
      <c r="A142" s="1" t="s">
        <v>154</v>
      </c>
      <c r="B142">
        <f>HYPERLINK("https://www.suredividend.com/sure-analysis-KREF/","KKR Real Estate Finance Trust Inc")</f>
        <v>0</v>
      </c>
      <c r="C142" t="s">
        <v>288</v>
      </c>
      <c r="D142">
        <v>15.38</v>
      </c>
      <c r="E142">
        <v>0.1118335500650195</v>
      </c>
      <c r="F142">
        <v>0</v>
      </c>
      <c r="G142">
        <v>0.01456924404965632</v>
      </c>
      <c r="H142">
        <v>1.650512032022583</v>
      </c>
      <c r="I142">
        <v>1062.681269</v>
      </c>
      <c r="J142">
        <v>29.54600798454139</v>
      </c>
      <c r="K142">
        <v>3.061038635056719</v>
      </c>
      <c r="L142">
        <v>0.713161447510933</v>
      </c>
      <c r="M142">
        <v>19.7</v>
      </c>
      <c r="N142">
        <v>13.55</v>
      </c>
    </row>
    <row r="143" spans="1:14">
      <c r="A143" s="1" t="s">
        <v>155</v>
      </c>
      <c r="B143">
        <f>HYPERLINK("https://www.suredividend.com/sure-analysis-research-database/","Loews Corp.")</f>
        <v>0</v>
      </c>
      <c r="C143" t="s">
        <v>287</v>
      </c>
      <c r="D143">
        <v>58.96</v>
      </c>
      <c r="E143">
        <v>0.004233369227911001</v>
      </c>
      <c r="F143">
        <v>0</v>
      </c>
      <c r="G143">
        <v>0</v>
      </c>
      <c r="H143">
        <v>0.249599449677652</v>
      </c>
      <c r="I143">
        <v>13998.698986</v>
      </c>
      <c r="J143">
        <v>14.12583146914228</v>
      </c>
      <c r="K143">
        <v>0.06224425178993816</v>
      </c>
      <c r="L143">
        <v>0.6915503184127511</v>
      </c>
      <c r="M143">
        <v>67.98999999999999</v>
      </c>
      <c r="N143">
        <v>49.31</v>
      </c>
    </row>
    <row r="144" spans="1:14">
      <c r="A144" s="1" t="s">
        <v>156</v>
      </c>
      <c r="B144">
        <f>HYPERLINK("https://www.suredividend.com/sure-analysis-research-database/","Lakeland Bancorp, Inc.")</f>
        <v>0</v>
      </c>
      <c r="C144" t="s">
        <v>287</v>
      </c>
      <c r="D144">
        <v>18.4</v>
      </c>
      <c r="E144">
        <v>0.030585085965609</v>
      </c>
      <c r="F144" t="s">
        <v>289</v>
      </c>
      <c r="G144" t="s">
        <v>289</v>
      </c>
      <c r="H144">
        <v>0.562765581767214</v>
      </c>
      <c r="I144">
        <v>1192.496254</v>
      </c>
      <c r="J144">
        <v>12.57960519009241</v>
      </c>
      <c r="K144">
        <v>0.3630745688820736</v>
      </c>
      <c r="L144">
        <v>0.6414197432952421</v>
      </c>
      <c r="M144">
        <v>19.28</v>
      </c>
      <c r="N144">
        <v>13.67</v>
      </c>
    </row>
    <row r="145" spans="1:14">
      <c r="A145" s="1" t="s">
        <v>157</v>
      </c>
      <c r="B145">
        <f>HYPERLINK("https://www.suredividend.com/sure-analysis-research-database/","Lakeland Financial Corp.")</f>
        <v>0</v>
      </c>
      <c r="C145" t="s">
        <v>287</v>
      </c>
      <c r="D145">
        <v>74.11</v>
      </c>
      <c r="E145">
        <v>0.021415364364833</v>
      </c>
      <c r="F145">
        <v>0.1764705882352942</v>
      </c>
      <c r="G145">
        <v>0.08997698704834534</v>
      </c>
      <c r="H145">
        <v>1.587092653077787</v>
      </c>
      <c r="I145">
        <v>1878.698431</v>
      </c>
      <c r="J145">
        <v>18.39642813802963</v>
      </c>
      <c r="K145">
        <v>0.3997714491379817</v>
      </c>
      <c r="L145">
        <v>0.43947412721988</v>
      </c>
      <c r="M145">
        <v>83.56999999999999</v>
      </c>
      <c r="N145">
        <v>63.35</v>
      </c>
    </row>
    <row r="146" spans="1:14">
      <c r="A146" s="1" t="s">
        <v>158</v>
      </c>
      <c r="B146">
        <f>HYPERLINK("https://www.suredividend.com/sure-analysis-research-database/","Lemonade Inc")</f>
        <v>0</v>
      </c>
      <c r="C146" t="s">
        <v>289</v>
      </c>
      <c r="D146">
        <v>14.82</v>
      </c>
      <c r="E146">
        <v>0</v>
      </c>
      <c r="F146" t="s">
        <v>289</v>
      </c>
      <c r="G146" t="s">
        <v>289</v>
      </c>
      <c r="H146">
        <v>0</v>
      </c>
      <c r="I146">
        <v>1025.007709</v>
      </c>
      <c r="J146" t="s">
        <v>289</v>
      </c>
      <c r="K146">
        <v>-0</v>
      </c>
      <c r="L146">
        <v>2.237168627041129</v>
      </c>
      <c r="M146">
        <v>34.5</v>
      </c>
      <c r="N146">
        <v>12.82</v>
      </c>
    </row>
    <row r="147" spans="1:14">
      <c r="A147" s="1" t="s">
        <v>159</v>
      </c>
      <c r="B147">
        <f>HYPERLINK("https://www.suredividend.com/sure-analysis-LNC/","Lincoln National Corp.")</f>
        <v>0</v>
      </c>
      <c r="C147" t="s">
        <v>287</v>
      </c>
      <c r="D147">
        <v>31.75</v>
      </c>
      <c r="E147">
        <v>0.05669291338582677</v>
      </c>
      <c r="F147">
        <v>0</v>
      </c>
      <c r="G147">
        <v>0.06399531281508364</v>
      </c>
      <c r="H147">
        <v>1.7686195628374</v>
      </c>
      <c r="I147">
        <v>5372.590982</v>
      </c>
      <c r="J147" t="s">
        <v>289</v>
      </c>
      <c r="K147" t="s">
        <v>289</v>
      </c>
      <c r="L147">
        <v>1.427548641376577</v>
      </c>
      <c r="M147">
        <v>73.40000000000001</v>
      </c>
      <c r="N147">
        <v>28.21</v>
      </c>
    </row>
    <row r="148" spans="1:14">
      <c r="A148" s="1" t="s">
        <v>160</v>
      </c>
      <c r="B148">
        <f>HYPERLINK("https://www.suredividend.com/sure-analysis-research-database/","Live Oak Bancshares Inc")</f>
        <v>0</v>
      </c>
      <c r="C148" t="s">
        <v>287</v>
      </c>
      <c r="D148">
        <v>30.84</v>
      </c>
      <c r="E148">
        <v>0.003885942645866</v>
      </c>
      <c r="F148">
        <v>0</v>
      </c>
      <c r="G148">
        <v>0</v>
      </c>
      <c r="H148">
        <v>0.119842471198529</v>
      </c>
      <c r="I148">
        <v>1356.478896</v>
      </c>
      <c r="J148">
        <v>6.631105801146835</v>
      </c>
      <c r="K148">
        <v>0.02639702008778172</v>
      </c>
      <c r="L148">
        <v>1.498087654535718</v>
      </c>
      <c r="M148">
        <v>67.04000000000001</v>
      </c>
      <c r="N148">
        <v>27.5</v>
      </c>
    </row>
    <row r="149" spans="1:14">
      <c r="A149" s="1" t="s">
        <v>161</v>
      </c>
      <c r="B149">
        <f>HYPERLINK("https://www.suredividend.com/sure-analysis-research-database/","MBIA Inc.")</f>
        <v>0</v>
      </c>
      <c r="C149" t="s">
        <v>287</v>
      </c>
      <c r="D149">
        <v>12.9</v>
      </c>
      <c r="E149">
        <v>0</v>
      </c>
      <c r="F149" t="s">
        <v>289</v>
      </c>
      <c r="G149" t="s">
        <v>289</v>
      </c>
      <c r="H149">
        <v>0</v>
      </c>
      <c r="I149">
        <v>708.114772</v>
      </c>
      <c r="J149" t="s">
        <v>289</v>
      </c>
      <c r="K149">
        <v>-0</v>
      </c>
      <c r="L149">
        <v>1.230150507390528</v>
      </c>
      <c r="M149">
        <v>16.68</v>
      </c>
      <c r="N149">
        <v>8.91</v>
      </c>
    </row>
    <row r="150" spans="1:14">
      <c r="A150" s="1" t="s">
        <v>162</v>
      </c>
      <c r="B150">
        <f>HYPERLINK("https://www.suredividend.com/sure-analysis-MCO/","Moody`s Corp.")</f>
        <v>0</v>
      </c>
      <c r="C150" t="s">
        <v>287</v>
      </c>
      <c r="D150">
        <v>320.47</v>
      </c>
      <c r="E150">
        <v>0.008737167285549349</v>
      </c>
      <c r="F150">
        <v>0</v>
      </c>
      <c r="G150">
        <v>0.09730933214999538</v>
      </c>
      <c r="H150">
        <v>2.784506769015756</v>
      </c>
      <c r="I150">
        <v>58710.104</v>
      </c>
      <c r="J150">
        <v>37.75569389067524</v>
      </c>
      <c r="K150">
        <v>0.3326770333352159</v>
      </c>
      <c r="L150">
        <v>1.164940299949728</v>
      </c>
      <c r="M150">
        <v>350.58</v>
      </c>
      <c r="N150">
        <v>228.98</v>
      </c>
    </row>
    <row r="151" spans="1:14">
      <c r="A151" s="1" t="s">
        <v>163</v>
      </c>
      <c r="B151">
        <f>HYPERLINK("https://www.suredividend.com/sure-analysis-MCY/","Mercury General Corp.")</f>
        <v>0</v>
      </c>
      <c r="C151" t="s">
        <v>287</v>
      </c>
      <c r="D151">
        <v>34.82</v>
      </c>
      <c r="E151">
        <v>0.03647329121194716</v>
      </c>
      <c r="F151">
        <v>-0.5</v>
      </c>
      <c r="G151">
        <v>-0.1266813345136043</v>
      </c>
      <c r="H151">
        <v>1.870115824214888</v>
      </c>
      <c r="I151">
        <v>1928.022642</v>
      </c>
      <c r="J151" t="s">
        <v>289</v>
      </c>
      <c r="K151" t="s">
        <v>289</v>
      </c>
      <c r="L151">
        <v>0.421624077639516</v>
      </c>
      <c r="M151">
        <v>54.41</v>
      </c>
      <c r="N151">
        <v>27.64</v>
      </c>
    </row>
    <row r="152" spans="1:14">
      <c r="A152" s="1" t="s">
        <v>164</v>
      </c>
      <c r="B152">
        <f>HYPERLINK("https://www.suredividend.com/sure-analysis-MET/","Metlife Inc")</f>
        <v>0</v>
      </c>
      <c r="C152" t="s">
        <v>287</v>
      </c>
      <c r="D152">
        <v>70.19</v>
      </c>
      <c r="E152">
        <v>0.02849408747684855</v>
      </c>
      <c r="F152">
        <v>0.04166666666666674</v>
      </c>
      <c r="G152">
        <v>0.04563955259127317</v>
      </c>
      <c r="H152">
        <v>1.958825024732784</v>
      </c>
      <c r="I152">
        <v>55071.509529</v>
      </c>
      <c r="J152">
        <v>24.85176422786552</v>
      </c>
      <c r="K152">
        <v>0.728187741536351</v>
      </c>
      <c r="L152">
        <v>0.7973382400567781</v>
      </c>
      <c r="M152">
        <v>77.36</v>
      </c>
      <c r="N152">
        <v>56.57</v>
      </c>
    </row>
    <row r="153" spans="1:14">
      <c r="A153" s="1" t="s">
        <v>165</v>
      </c>
      <c r="B153">
        <f>HYPERLINK("https://www.suredividend.com/sure-analysis-research-database/","Metromile Inc")</f>
        <v>0</v>
      </c>
      <c r="C153" t="s">
        <v>289</v>
      </c>
      <c r="D153">
        <v>1.05</v>
      </c>
      <c r="E153">
        <v>0</v>
      </c>
      <c r="F153" t="s">
        <v>289</v>
      </c>
      <c r="G153" t="s">
        <v>289</v>
      </c>
      <c r="H153">
        <v>0</v>
      </c>
      <c r="I153">
        <v>0</v>
      </c>
      <c r="J153">
        <v>0</v>
      </c>
      <c r="K153" t="s">
        <v>289</v>
      </c>
    </row>
    <row r="154" spans="1:14">
      <c r="A154" s="1" t="s">
        <v>166</v>
      </c>
      <c r="B154">
        <f>HYPERLINK("https://www.suredividend.com/sure-analysis-research-database/","Markel Corp")</f>
        <v>0</v>
      </c>
      <c r="C154" t="s">
        <v>287</v>
      </c>
      <c r="D154">
        <v>1380.56</v>
      </c>
      <c r="E154">
        <v>0</v>
      </c>
      <c r="F154" t="s">
        <v>289</v>
      </c>
      <c r="G154" t="s">
        <v>289</v>
      </c>
      <c r="H154">
        <v>0</v>
      </c>
      <c r="I154">
        <v>18569.085605</v>
      </c>
      <c r="J154" t="s">
        <v>289</v>
      </c>
      <c r="K154">
        <v>-0</v>
      </c>
      <c r="L154">
        <v>0.6622591024096931</v>
      </c>
      <c r="M154">
        <v>1519.25</v>
      </c>
      <c r="N154">
        <v>1064.09</v>
      </c>
    </row>
    <row r="155" spans="1:14">
      <c r="A155" s="1" t="s">
        <v>167</v>
      </c>
      <c r="B155">
        <f>HYPERLINK("https://www.suredividend.com/sure-analysis-MKTX/","MarketAxess Holdings Inc.")</f>
        <v>0</v>
      </c>
      <c r="C155" t="s">
        <v>287</v>
      </c>
      <c r="D155">
        <v>335.98</v>
      </c>
      <c r="E155">
        <v>0.00833382939460682</v>
      </c>
      <c r="F155">
        <v>0.06060606060606055</v>
      </c>
      <c r="G155">
        <v>0.1075663432482901</v>
      </c>
      <c r="H155">
        <v>2.788485091343881</v>
      </c>
      <c r="I155">
        <v>12645.219792</v>
      </c>
      <c r="J155">
        <v>51.99878195243911</v>
      </c>
      <c r="K155">
        <v>0.4329945794012237</v>
      </c>
      <c r="L155">
        <v>0.9128086504751871</v>
      </c>
      <c r="M155">
        <v>386.96</v>
      </c>
      <c r="N155">
        <v>216.82</v>
      </c>
    </row>
    <row r="156" spans="1:14">
      <c r="A156" s="1" t="s">
        <v>168</v>
      </c>
      <c r="B156">
        <f>HYPERLINK("https://www.suredividend.com/sure-analysis-MMC/","Marsh &amp; McLennan Cos., Inc.")</f>
        <v>0</v>
      </c>
      <c r="C156" t="s">
        <v>287</v>
      </c>
      <c r="D156">
        <v>173.12</v>
      </c>
      <c r="E156">
        <v>0.01363216266173752</v>
      </c>
      <c r="F156">
        <v>0.1028037383177569</v>
      </c>
      <c r="G156">
        <v>0.09487401536266371</v>
      </c>
      <c r="H156">
        <v>2.238152047635877</v>
      </c>
      <c r="I156">
        <v>85869.165679</v>
      </c>
      <c r="J156">
        <v>25.35257327390612</v>
      </c>
      <c r="K156">
        <v>0.3355550296305663</v>
      </c>
      <c r="L156">
        <v>0.869916563173971</v>
      </c>
      <c r="M156">
        <v>181.77</v>
      </c>
      <c r="N156">
        <v>141.29</v>
      </c>
    </row>
    <row r="157" spans="1:14">
      <c r="A157" s="1" t="s">
        <v>169</v>
      </c>
      <c r="B157">
        <f>HYPERLINK("https://www.suredividend.com/sure-analysis-MS/","Morgan Stanley")</f>
        <v>0</v>
      </c>
      <c r="C157" t="s">
        <v>287</v>
      </c>
      <c r="D157">
        <v>96.23999999999999</v>
      </c>
      <c r="E157">
        <v>0.03221113881961762</v>
      </c>
      <c r="F157">
        <v>0.107142857142857</v>
      </c>
      <c r="G157">
        <v>0.2539272451403496</v>
      </c>
      <c r="H157">
        <v>2.910238099557549</v>
      </c>
      <c r="I157">
        <v>162656.130485</v>
      </c>
      <c r="J157">
        <v>13.53324989471337</v>
      </c>
      <c r="K157">
        <v>0.421163256086476</v>
      </c>
      <c r="L157">
        <v>1.050967777501471</v>
      </c>
      <c r="M157">
        <v>106.74</v>
      </c>
      <c r="N157">
        <v>70.69</v>
      </c>
    </row>
    <row r="158" spans="1:14">
      <c r="A158" s="1" t="s">
        <v>170</v>
      </c>
      <c r="B158">
        <f>HYPERLINK("https://www.suredividend.com/sure-analysis-research-database/","Midland States Bancorp Inc")</f>
        <v>0</v>
      </c>
      <c r="C158" t="s">
        <v>287</v>
      </c>
      <c r="D158">
        <v>26.55</v>
      </c>
      <c r="E158">
        <v>0.042555063732327</v>
      </c>
      <c r="F158">
        <v>0</v>
      </c>
      <c r="G158">
        <v>0.05680549653640732</v>
      </c>
      <c r="H158">
        <v>1.129836942093306</v>
      </c>
      <c r="I158">
        <v>588.068429</v>
      </c>
      <c r="J158">
        <v>6.588263819179924</v>
      </c>
      <c r="K158">
        <v>0.2831671534068436</v>
      </c>
      <c r="L158">
        <v>0.625488237665874</v>
      </c>
      <c r="M158">
        <v>29.21</v>
      </c>
      <c r="N158">
        <v>22.92</v>
      </c>
    </row>
    <row r="159" spans="1:14">
      <c r="A159" s="1" t="s">
        <v>171</v>
      </c>
      <c r="B159">
        <f>HYPERLINK("https://www.suredividend.com/sure-analysis-research-database/","MSCI Inc")</f>
        <v>0</v>
      </c>
      <c r="C159" t="s">
        <v>287</v>
      </c>
      <c r="D159">
        <v>511.76</v>
      </c>
      <c r="E159">
        <v>0.008916802091356001</v>
      </c>
      <c r="F159">
        <v>0.2019230769230769</v>
      </c>
      <c r="G159">
        <v>0.2688938231296834</v>
      </c>
      <c r="H159">
        <v>4.563262638272732</v>
      </c>
      <c r="I159">
        <v>40919.391032</v>
      </c>
      <c r="J159">
        <v>48.17066587890995</v>
      </c>
      <c r="K159">
        <v>0.4404693666286422</v>
      </c>
      <c r="L159">
        <v>1.355533401579774</v>
      </c>
      <c r="M159">
        <v>558.8099999999999</v>
      </c>
      <c r="N159">
        <v>373.48</v>
      </c>
    </row>
    <row r="160" spans="1:14">
      <c r="A160" s="1" t="s">
        <v>172</v>
      </c>
      <c r="B160">
        <f>HYPERLINK("https://www.suredividend.com/sure-analysis-MTB/","M &amp; T Bank Corp")</f>
        <v>0</v>
      </c>
      <c r="C160" t="s">
        <v>287</v>
      </c>
      <c r="D160">
        <v>153.69</v>
      </c>
      <c r="E160">
        <v>0.03123170017567831</v>
      </c>
      <c r="F160">
        <v>0</v>
      </c>
      <c r="G160">
        <v>0.09856054330611763</v>
      </c>
      <c r="H160">
        <v>4.759079630358993</v>
      </c>
      <c r="I160">
        <v>26528.944686</v>
      </c>
      <c r="J160">
        <v>16.72119477510895</v>
      </c>
      <c r="K160">
        <v>0.4589276403432009</v>
      </c>
      <c r="L160">
        <v>0.788675136852328</v>
      </c>
      <c r="M160">
        <v>191.21</v>
      </c>
      <c r="N160">
        <v>138.43</v>
      </c>
    </row>
    <row r="161" spans="1:14">
      <c r="A161" s="1" t="s">
        <v>173</v>
      </c>
      <c r="B161">
        <f>HYPERLINK("https://www.suredividend.com/sure-analysis-research-database/","National Bank Holdings Corp")</f>
        <v>0</v>
      </c>
      <c r="C161" t="s">
        <v>287</v>
      </c>
      <c r="D161">
        <v>42.3</v>
      </c>
      <c r="E161">
        <v>0.02204719190712</v>
      </c>
      <c r="F161">
        <v>0.1363636363636365</v>
      </c>
      <c r="G161">
        <v>0.2267032046963888</v>
      </c>
      <c r="H161">
        <v>0.9325962176711891</v>
      </c>
      <c r="I161">
        <v>1590.237198</v>
      </c>
      <c r="J161">
        <v>20.61307890131826</v>
      </c>
      <c r="K161">
        <v>0.3730384870684756</v>
      </c>
      <c r="L161">
        <v>0.7091166071559361</v>
      </c>
      <c r="M161">
        <v>49.74</v>
      </c>
      <c r="N161">
        <v>35.45</v>
      </c>
    </row>
    <row r="162" spans="1:14">
      <c r="A162" s="1" t="s">
        <v>174</v>
      </c>
      <c r="B162">
        <f>HYPERLINK("https://www.suredividend.com/sure-analysis-research-database/","NBT Bancorp. Inc.")</f>
        <v>0</v>
      </c>
      <c r="C162" t="s">
        <v>287</v>
      </c>
      <c r="D162">
        <v>42.47</v>
      </c>
      <c r="E162">
        <v>0.027034283384318</v>
      </c>
      <c r="F162">
        <v>0.0714285714285714</v>
      </c>
      <c r="G162">
        <v>0.05457794330579446</v>
      </c>
      <c r="H162">
        <v>1.148146015331989</v>
      </c>
      <c r="I162">
        <v>1819.41068</v>
      </c>
      <c r="J162">
        <v>11.87728927570765</v>
      </c>
      <c r="K162">
        <v>0.324335032579658</v>
      </c>
      <c r="L162">
        <v>0.505482545997442</v>
      </c>
      <c r="M162">
        <v>48.37</v>
      </c>
      <c r="N162">
        <v>33.84</v>
      </c>
    </row>
    <row r="163" spans="1:14">
      <c r="A163" s="1" t="s">
        <v>175</v>
      </c>
      <c r="B163">
        <f>HYPERLINK("https://www.suredividend.com/sure-analysis-research-database/","Nicolet Bankshares Inc.")</f>
        <v>0</v>
      </c>
      <c r="C163" t="s">
        <v>287</v>
      </c>
      <c r="D163">
        <v>78.01000000000001</v>
      </c>
      <c r="E163">
        <v>0</v>
      </c>
      <c r="F163" t="s">
        <v>289</v>
      </c>
      <c r="G163" t="s">
        <v>289</v>
      </c>
      <c r="H163">
        <v>0</v>
      </c>
      <c r="I163">
        <v>994.903566</v>
      </c>
      <c r="J163">
        <v>0</v>
      </c>
      <c r="K163" t="s">
        <v>289</v>
      </c>
    </row>
    <row r="164" spans="1:14">
      <c r="A164" s="1" t="s">
        <v>176</v>
      </c>
      <c r="B164">
        <f>HYPERLINK("https://www.suredividend.com/sure-analysis-NDAQ/","Nasdaq Inc")</f>
        <v>0</v>
      </c>
      <c r="C164" t="s">
        <v>287</v>
      </c>
      <c r="D164">
        <v>62.06</v>
      </c>
      <c r="E164">
        <v>0.01289075088623912</v>
      </c>
      <c r="F164">
        <v>-0.6296296296296297</v>
      </c>
      <c r="G164">
        <v>-0.1204727899862416</v>
      </c>
      <c r="H164">
        <v>0.776386517336194</v>
      </c>
      <c r="I164">
        <v>30488.807384</v>
      </c>
      <c r="J164">
        <v>26.62777937428821</v>
      </c>
      <c r="K164">
        <v>0.3390334136839275</v>
      </c>
      <c r="M164">
        <v>69.22</v>
      </c>
      <c r="N164">
        <v>46.3</v>
      </c>
    </row>
    <row r="165" spans="1:14">
      <c r="A165" s="1" t="s">
        <v>177</v>
      </c>
      <c r="B165">
        <f>HYPERLINK("https://www.suredividend.com/sure-analysis-research-database/","Northfield Bancorp Inc")</f>
        <v>0</v>
      </c>
      <c r="C165" t="s">
        <v>287</v>
      </c>
      <c r="D165">
        <v>15.81</v>
      </c>
      <c r="E165">
        <v>0.03246338775245301</v>
      </c>
      <c r="F165">
        <v>0</v>
      </c>
      <c r="G165">
        <v>0.05387395206178347</v>
      </c>
      <c r="H165">
        <v>0.513246160366293</v>
      </c>
      <c r="I165">
        <v>755.252791</v>
      </c>
      <c r="J165">
        <v>11.97236641805241</v>
      </c>
      <c r="K165">
        <v>0.3801823410120689</v>
      </c>
      <c r="L165">
        <v>0.485670764305521</v>
      </c>
      <c r="M165">
        <v>16.43</v>
      </c>
      <c r="N165">
        <v>11.67</v>
      </c>
    </row>
    <row r="166" spans="1:14">
      <c r="A166" s="1" t="s">
        <v>178</v>
      </c>
      <c r="B166">
        <f>HYPERLINK("https://www.suredividend.com/sure-analysis-research-database/","NMI Holdings Inc")</f>
        <v>0</v>
      </c>
      <c r="C166" t="s">
        <v>287</v>
      </c>
      <c r="D166">
        <v>22.33</v>
      </c>
      <c r="E166">
        <v>0</v>
      </c>
      <c r="F166" t="s">
        <v>289</v>
      </c>
      <c r="G166" t="s">
        <v>289</v>
      </c>
      <c r="H166">
        <v>0</v>
      </c>
      <c r="I166">
        <v>1866.364422</v>
      </c>
      <c r="J166">
        <v>0</v>
      </c>
      <c r="K166" t="s">
        <v>289</v>
      </c>
      <c r="L166">
        <v>0.9654159547909541</v>
      </c>
      <c r="M166">
        <v>27.25</v>
      </c>
      <c r="N166">
        <v>15.33</v>
      </c>
    </row>
    <row r="167" spans="1:14">
      <c r="A167" s="1" t="s">
        <v>179</v>
      </c>
      <c r="B167">
        <f>HYPERLINK("https://www.suredividend.com/sure-analysis-NTRS/","Northern Trust Corp.")</f>
        <v>0</v>
      </c>
      <c r="C167" t="s">
        <v>287</v>
      </c>
      <c r="D167">
        <v>93.36</v>
      </c>
      <c r="E167">
        <v>0.03213367609254499</v>
      </c>
      <c r="F167" t="s">
        <v>289</v>
      </c>
      <c r="G167" t="s">
        <v>289</v>
      </c>
      <c r="H167">
        <v>2.866421095904616</v>
      </c>
      <c r="I167">
        <v>19457.687231</v>
      </c>
      <c r="J167">
        <v>12.75495721486726</v>
      </c>
      <c r="K167">
        <v>0.3921232689336001</v>
      </c>
      <c r="L167">
        <v>1.024403884565142</v>
      </c>
      <c r="M167">
        <v>124.2</v>
      </c>
      <c r="N167">
        <v>75.5</v>
      </c>
    </row>
    <row r="168" spans="1:14">
      <c r="A168" s="1" t="s">
        <v>180</v>
      </c>
      <c r="B168">
        <f>HYPERLINK("https://www.suredividend.com/sure-analysis-NWBI/","Northwest Bancshares Inc")</f>
        <v>0</v>
      </c>
      <c r="C168" t="s">
        <v>287</v>
      </c>
      <c r="D168">
        <v>13.81</v>
      </c>
      <c r="E168">
        <v>0.05792903692976104</v>
      </c>
      <c r="F168">
        <v>0</v>
      </c>
      <c r="G168">
        <v>0.03303780411393231</v>
      </c>
      <c r="H168">
        <v>0.7834063256140751</v>
      </c>
      <c r="I168">
        <v>1753.709348</v>
      </c>
      <c r="J168">
        <v>13.69411421152089</v>
      </c>
      <c r="K168">
        <v>0.7756498273406683</v>
      </c>
      <c r="L168">
        <v>0.511226492606928</v>
      </c>
      <c r="M168">
        <v>15.35</v>
      </c>
      <c r="N168">
        <v>11.71</v>
      </c>
    </row>
    <row r="169" spans="1:14">
      <c r="A169" s="1" t="s">
        <v>181</v>
      </c>
      <c r="B169">
        <f>HYPERLINK("https://www.suredividend.com/sure-analysis-research-database/","National Western Life Group Inc")</f>
        <v>0</v>
      </c>
      <c r="C169" t="s">
        <v>287</v>
      </c>
      <c r="D169">
        <v>266.05</v>
      </c>
      <c r="E169">
        <v>0.001353129164837</v>
      </c>
      <c r="F169" t="s">
        <v>289</v>
      </c>
      <c r="G169" t="s">
        <v>289</v>
      </c>
      <c r="H169">
        <v>0.360000014305114</v>
      </c>
      <c r="I169">
        <v>914.1531210000001</v>
      </c>
      <c r="J169">
        <v>7.863682761290323</v>
      </c>
      <c r="K169">
        <v>0.01102603412879369</v>
      </c>
      <c r="L169">
        <v>0.7480709438414881</v>
      </c>
      <c r="M169">
        <v>309.25</v>
      </c>
      <c r="N169">
        <v>166.64</v>
      </c>
    </row>
    <row r="170" spans="1:14">
      <c r="A170" s="1" t="s">
        <v>182</v>
      </c>
      <c r="B170">
        <f>HYPERLINK("https://www.suredividend.com/sure-analysis-NYCB/","New York Community Bancorp Inc.")</f>
        <v>0</v>
      </c>
      <c r="C170" t="s">
        <v>287</v>
      </c>
      <c r="D170">
        <v>9.68</v>
      </c>
      <c r="E170">
        <v>0.07024793388429752</v>
      </c>
      <c r="F170">
        <v>0</v>
      </c>
      <c r="G170">
        <v>0</v>
      </c>
      <c r="H170">
        <v>0.6618128633419811</v>
      </c>
      <c r="I170">
        <v>4512.194738</v>
      </c>
      <c r="J170">
        <v>7.655495087596665</v>
      </c>
      <c r="K170">
        <v>0.5211124908204575</v>
      </c>
      <c r="L170">
        <v>0.9360436967452921</v>
      </c>
      <c r="M170">
        <v>11.77</v>
      </c>
      <c r="N170">
        <v>8.01</v>
      </c>
    </row>
    <row r="171" spans="1:14">
      <c r="A171" s="1" t="s">
        <v>183</v>
      </c>
      <c r="B171">
        <f>HYPERLINK("https://www.suredividend.com/sure-analysis-NYMT/","New York Mortgage Trust Inc")</f>
        <v>0</v>
      </c>
      <c r="C171" t="s">
        <v>288</v>
      </c>
      <c r="D171">
        <v>2.97</v>
      </c>
      <c r="E171">
        <v>0.1346801346801347</v>
      </c>
      <c r="F171" t="s">
        <v>289</v>
      </c>
      <c r="G171" t="s">
        <v>289</v>
      </c>
      <c r="H171">
        <v>0.378513575754181</v>
      </c>
      <c r="I171">
        <v>1102.058007</v>
      </c>
      <c r="J171" t="s">
        <v>289</v>
      </c>
      <c r="K171" t="s">
        <v>289</v>
      </c>
      <c r="L171">
        <v>1.053074782361958</v>
      </c>
      <c r="M171">
        <v>3.32</v>
      </c>
      <c r="N171">
        <v>2</v>
      </c>
    </row>
    <row r="172" spans="1:14">
      <c r="A172" s="1" t="s">
        <v>184</v>
      </c>
      <c r="B172">
        <f>HYPERLINK("https://www.suredividend.com/sure-analysis-research-database/","OceanFirst Financial Corp.")</f>
        <v>0</v>
      </c>
      <c r="C172" t="s">
        <v>287</v>
      </c>
      <c r="D172">
        <v>22.42</v>
      </c>
      <c r="E172">
        <v>0.032579868279566</v>
      </c>
      <c r="F172">
        <v>0.1764705882352942</v>
      </c>
      <c r="G172">
        <v>0.05922384104881218</v>
      </c>
      <c r="H172">
        <v>0.730440646827876</v>
      </c>
      <c r="I172">
        <v>1325.953058</v>
      </c>
      <c r="J172">
        <v>11.84182704390383</v>
      </c>
      <c r="K172">
        <v>0.3844424456988821</v>
      </c>
      <c r="L172">
        <v>0.6041175483832441</v>
      </c>
      <c r="M172">
        <v>24.02</v>
      </c>
      <c r="N172">
        <v>17.84</v>
      </c>
    </row>
    <row r="173" spans="1:14">
      <c r="A173" s="1" t="s">
        <v>185</v>
      </c>
      <c r="B173">
        <f>HYPERLINK("https://www.suredividend.com/sure-analysis-research-database/","OFG Bancorp")</f>
        <v>0</v>
      </c>
      <c r="C173" t="s">
        <v>287</v>
      </c>
      <c r="D173">
        <v>27.59</v>
      </c>
      <c r="E173">
        <v>0.025123550691159</v>
      </c>
      <c r="F173">
        <v>0.6666666666666667</v>
      </c>
      <c r="G173">
        <v>0.2722596365393921</v>
      </c>
      <c r="H173">
        <v>0.693158763569077</v>
      </c>
      <c r="I173">
        <v>1312.270674</v>
      </c>
      <c r="J173">
        <v>8.568420095591309</v>
      </c>
      <c r="K173">
        <v>0.2221662703747042</v>
      </c>
      <c r="L173">
        <v>0.7500877910189121</v>
      </c>
      <c r="M173">
        <v>29.4</v>
      </c>
      <c r="N173">
        <v>24.02</v>
      </c>
    </row>
    <row r="174" spans="1:14">
      <c r="A174" s="1" t="s">
        <v>186</v>
      </c>
      <c r="B174">
        <f>HYPERLINK("https://www.suredividend.com/sure-analysis-research-database/","Old National Bancorp")</f>
        <v>0</v>
      </c>
      <c r="C174" t="s">
        <v>287</v>
      </c>
      <c r="D174">
        <v>18.02</v>
      </c>
      <c r="E174">
        <v>0.030775312280645</v>
      </c>
      <c r="F174">
        <v>0</v>
      </c>
      <c r="G174">
        <v>0.01493197894539389</v>
      </c>
      <c r="H174">
        <v>0.55457112729723</v>
      </c>
      <c r="I174">
        <v>5277.8778</v>
      </c>
      <c r="J174">
        <v>19.28654149735434</v>
      </c>
      <c r="K174">
        <v>0.4951527922296696</v>
      </c>
      <c r="L174">
        <v>0.6731116548745281</v>
      </c>
      <c r="M174">
        <v>20.04</v>
      </c>
      <c r="N174">
        <v>14</v>
      </c>
    </row>
    <row r="175" spans="1:14">
      <c r="A175" s="1" t="s">
        <v>187</v>
      </c>
      <c r="B175">
        <f>HYPERLINK("https://www.suredividend.com/sure-analysis-ORI/","Old Republic International Corp.")</f>
        <v>0</v>
      </c>
      <c r="C175" t="s">
        <v>287</v>
      </c>
      <c r="D175">
        <v>23.94</v>
      </c>
      <c r="E175">
        <v>0.03842940685045948</v>
      </c>
      <c r="F175">
        <v>0</v>
      </c>
      <c r="G175">
        <v>0.02834672210021361</v>
      </c>
      <c r="H175">
        <v>0.906793510843751</v>
      </c>
      <c r="I175">
        <v>7285.02962</v>
      </c>
      <c r="J175">
        <v>9.08584387677725</v>
      </c>
      <c r="K175">
        <v>0.3461043934518134</v>
      </c>
      <c r="L175">
        <v>0.6447253613573051</v>
      </c>
      <c r="M175">
        <v>26.18</v>
      </c>
      <c r="N175">
        <v>20.08</v>
      </c>
    </row>
    <row r="176" spans="1:14">
      <c r="A176" s="1" t="s">
        <v>188</v>
      </c>
      <c r="B176">
        <f>HYPERLINK("https://www.suredividend.com/sure-analysis-research-database/","Oscar Health Inc")</f>
        <v>0</v>
      </c>
      <c r="C176" t="s">
        <v>289</v>
      </c>
      <c r="D176">
        <v>3.1</v>
      </c>
      <c r="E176">
        <v>0</v>
      </c>
      <c r="F176" t="s">
        <v>289</v>
      </c>
      <c r="G176" t="s">
        <v>289</v>
      </c>
      <c r="H176">
        <v>0</v>
      </c>
      <c r="I176">
        <v>556.882974</v>
      </c>
      <c r="J176">
        <v>0</v>
      </c>
      <c r="K176" t="s">
        <v>289</v>
      </c>
      <c r="L176">
        <v>1.773235987103107</v>
      </c>
      <c r="M176">
        <v>10.53</v>
      </c>
      <c r="N176">
        <v>2.05</v>
      </c>
    </row>
    <row r="177" spans="1:14">
      <c r="A177" s="1" t="s">
        <v>189</v>
      </c>
      <c r="B177">
        <f>HYPERLINK("https://www.suredividend.com/sure-analysis-OZK/","Bank OZK")</f>
        <v>0</v>
      </c>
      <c r="C177" t="s">
        <v>287</v>
      </c>
      <c r="D177">
        <v>43.13</v>
      </c>
      <c r="E177">
        <v>0.03153257593322514</v>
      </c>
      <c r="F177" t="s">
        <v>289</v>
      </c>
      <c r="G177" t="s">
        <v>289</v>
      </c>
      <c r="H177">
        <v>1.284605940276776</v>
      </c>
      <c r="I177">
        <v>5243.623644</v>
      </c>
      <c r="J177">
        <v>9.73840304729519</v>
      </c>
      <c r="K177">
        <v>0.2939601693997199</v>
      </c>
      <c r="L177">
        <v>0.9679284889250671</v>
      </c>
      <c r="M177">
        <v>48.11</v>
      </c>
      <c r="N177">
        <v>33.94</v>
      </c>
    </row>
    <row r="178" spans="1:14">
      <c r="A178" s="1" t="s">
        <v>190</v>
      </c>
      <c r="B178">
        <f>HYPERLINK("https://www.suredividend.com/sure-analysis-PACW/","Pacwest Bancorp")</f>
        <v>0</v>
      </c>
      <c r="C178" t="s">
        <v>287</v>
      </c>
      <c r="D178">
        <v>24.69</v>
      </c>
      <c r="E178">
        <v>0.04050222762251924</v>
      </c>
      <c r="F178">
        <v>0</v>
      </c>
      <c r="G178">
        <v>-0.1294494367038759</v>
      </c>
      <c r="H178">
        <v>0.987127206610076</v>
      </c>
      <c r="I178">
        <v>2908.683693</v>
      </c>
      <c r="J178">
        <v>5.915156756722131</v>
      </c>
      <c r="K178">
        <v>0.2355912187613546</v>
      </c>
      <c r="L178">
        <v>1.33415071871336</v>
      </c>
      <c r="M178">
        <v>50.24</v>
      </c>
      <c r="N178">
        <v>21.1</v>
      </c>
    </row>
    <row r="179" spans="1:14">
      <c r="A179" s="1" t="s">
        <v>191</v>
      </c>
      <c r="B179">
        <f>HYPERLINK("https://www.suredividend.com/sure-analysis-PB/","Prosperity Bancshares Inc.")</f>
        <v>0</v>
      </c>
      <c r="C179" t="s">
        <v>287</v>
      </c>
      <c r="D179">
        <v>73.67</v>
      </c>
      <c r="E179">
        <v>0.02986290213112529</v>
      </c>
      <c r="F179">
        <v>0.05769230769230771</v>
      </c>
      <c r="G179">
        <v>0.08845890735664219</v>
      </c>
      <c r="H179">
        <v>2.086113506982922</v>
      </c>
      <c r="I179">
        <v>6726.700584</v>
      </c>
      <c r="J179">
        <v>13.10167363717636</v>
      </c>
      <c r="K179">
        <v>0.3731866738788769</v>
      </c>
      <c r="L179">
        <v>0.672932033920682</v>
      </c>
      <c r="M179">
        <v>76.73999999999999</v>
      </c>
      <c r="N179">
        <v>63.21</v>
      </c>
    </row>
    <row r="180" spans="1:14">
      <c r="A180" s="1" t="s">
        <v>192</v>
      </c>
      <c r="B180">
        <f>HYPERLINK("https://www.suredividend.com/sure-analysis-PBCT/","People`s United Financial Inc")</f>
        <v>0</v>
      </c>
      <c r="C180" t="s">
        <v>287</v>
      </c>
      <c r="D180">
        <v>19.41</v>
      </c>
      <c r="E180">
        <v>0</v>
      </c>
      <c r="F180" t="s">
        <v>289</v>
      </c>
      <c r="G180" t="s">
        <v>289</v>
      </c>
      <c r="H180">
        <v>0.7300000190734861</v>
      </c>
      <c r="I180">
        <v>0</v>
      </c>
      <c r="J180">
        <v>0</v>
      </c>
      <c r="K180">
        <v>0.5251798698370403</v>
      </c>
    </row>
    <row r="181" spans="1:14">
      <c r="A181" s="1" t="s">
        <v>193</v>
      </c>
      <c r="B181">
        <f>HYPERLINK("https://www.suredividend.com/sure-analysis-research-database/","Peoples Bancorp, Inc. (Marietta, OH)")</f>
        <v>0</v>
      </c>
      <c r="C181" t="s">
        <v>287</v>
      </c>
      <c r="D181">
        <v>28.31</v>
      </c>
      <c r="E181">
        <v>0.051982042989873</v>
      </c>
      <c r="F181" t="s">
        <v>289</v>
      </c>
      <c r="G181" t="s">
        <v>289</v>
      </c>
      <c r="H181">
        <v>1.471611637043316</v>
      </c>
      <c r="I181">
        <v>800.828665</v>
      </c>
      <c r="J181">
        <v>7.871093495080742</v>
      </c>
      <c r="K181">
        <v>0.4065225516694243</v>
      </c>
      <c r="L181">
        <v>0.5127003483956131</v>
      </c>
      <c r="M181">
        <v>32.93</v>
      </c>
      <c r="N181">
        <v>24.98</v>
      </c>
    </row>
    <row r="182" spans="1:14">
      <c r="A182" s="1" t="s">
        <v>194</v>
      </c>
      <c r="B182">
        <f>HYPERLINK("https://www.suredividend.com/sure-analysis-research-database/","Preferred Bank (Los Angeles, CA)")</f>
        <v>0</v>
      </c>
      <c r="C182" t="s">
        <v>287</v>
      </c>
      <c r="D182">
        <v>69.15000000000001</v>
      </c>
      <c r="E182">
        <v>0.0343061519669</v>
      </c>
      <c r="F182">
        <v>0.2790697674418605</v>
      </c>
      <c r="G182">
        <v>0.2011244339814313</v>
      </c>
      <c r="H182">
        <v>2.3722704085112</v>
      </c>
      <c r="I182">
        <v>912.01935</v>
      </c>
      <c r="J182">
        <v>0</v>
      </c>
      <c r="K182" t="s">
        <v>289</v>
      </c>
      <c r="L182">
        <v>0.636195559419083</v>
      </c>
      <c r="M182">
        <v>79.86</v>
      </c>
      <c r="N182">
        <v>62.82</v>
      </c>
    </row>
    <row r="183" spans="1:14">
      <c r="A183" s="1" t="s">
        <v>195</v>
      </c>
      <c r="B183">
        <f>HYPERLINK("https://www.suredividend.com/sure-analysis-PFG/","Principal Financial Group Inc")</f>
        <v>0</v>
      </c>
      <c r="C183" t="s">
        <v>287</v>
      </c>
      <c r="D183">
        <v>87.95999999999999</v>
      </c>
      <c r="E183">
        <v>0.02910413824465666</v>
      </c>
      <c r="F183">
        <v>0</v>
      </c>
      <c r="G183">
        <v>0.04645837861673296</v>
      </c>
      <c r="H183">
        <v>2.529866161715626</v>
      </c>
      <c r="I183">
        <v>21522.298208</v>
      </c>
      <c r="J183">
        <v>4.067718429106029</v>
      </c>
      <c r="K183">
        <v>0.1243788673409846</v>
      </c>
      <c r="L183">
        <v>0.988548454795186</v>
      </c>
      <c r="M183">
        <v>95.48</v>
      </c>
      <c r="N183">
        <v>60.09</v>
      </c>
    </row>
    <row r="184" spans="1:14">
      <c r="A184" s="1" t="s">
        <v>196</v>
      </c>
      <c r="B184">
        <f>HYPERLINK("https://www.suredividend.com/sure-analysis-research-database/","Provident Financial Services Inc")</f>
        <v>0</v>
      </c>
      <c r="C184" t="s">
        <v>287</v>
      </c>
      <c r="D184">
        <v>22.51</v>
      </c>
      <c r="E184">
        <v>0.041976653489594</v>
      </c>
      <c r="F184">
        <v>0</v>
      </c>
      <c r="G184">
        <v>0.03713728933664817</v>
      </c>
      <c r="H184">
        <v>0.9448944700507761</v>
      </c>
      <c r="I184">
        <v>1694.441105</v>
      </c>
      <c r="J184">
        <v>10.33725265001586</v>
      </c>
      <c r="K184">
        <v>0.4334378302985211</v>
      </c>
      <c r="L184">
        <v>0.5990558671626061</v>
      </c>
      <c r="M184">
        <v>25.33</v>
      </c>
      <c r="N184">
        <v>18.97</v>
      </c>
    </row>
    <row r="185" spans="1:14">
      <c r="A185" s="1" t="s">
        <v>197</v>
      </c>
      <c r="B185">
        <f>HYPERLINK("https://www.suredividend.com/sure-analysis-PGR/","Progressive Corp.")</f>
        <v>0</v>
      </c>
      <c r="C185" t="s">
        <v>287</v>
      </c>
      <c r="D185">
        <v>127.63</v>
      </c>
      <c r="E185">
        <v>0.01488678210452088</v>
      </c>
      <c r="F185">
        <v>0</v>
      </c>
      <c r="G185">
        <v>-0.4752808125995285</v>
      </c>
      <c r="H185">
        <v>0.399522853787972</v>
      </c>
      <c r="I185">
        <v>74672.44734300001</v>
      </c>
      <c r="J185">
        <v>89.91263978634557</v>
      </c>
      <c r="K185">
        <v>0.2813541223858958</v>
      </c>
      <c r="L185">
        <v>0.565112653050585</v>
      </c>
      <c r="M185">
        <v>135.45</v>
      </c>
      <c r="N185">
        <v>100.48</v>
      </c>
    </row>
    <row r="186" spans="1:14">
      <c r="A186" s="1" t="s">
        <v>198</v>
      </c>
      <c r="B186">
        <f>HYPERLINK("https://www.suredividend.com/sure-analysis-research-database/","Piper Sandler Co`s")</f>
        <v>0</v>
      </c>
      <c r="C186" t="s">
        <v>287</v>
      </c>
      <c r="D186">
        <v>139.21</v>
      </c>
      <c r="E186">
        <v>0.017123445134662</v>
      </c>
      <c r="F186">
        <v>-0.8666666666666667</v>
      </c>
      <c r="G186">
        <v>0.09856054330611785</v>
      </c>
      <c r="H186">
        <v>2.383754797196421</v>
      </c>
      <c r="I186">
        <v>2482.525666</v>
      </c>
      <c r="J186">
        <v>0</v>
      </c>
      <c r="K186" t="s">
        <v>289</v>
      </c>
      <c r="L186">
        <v>1.11827377584638</v>
      </c>
      <c r="M186">
        <v>161.27</v>
      </c>
      <c r="N186">
        <v>101.67</v>
      </c>
    </row>
    <row r="187" spans="1:14">
      <c r="A187" s="1" t="s">
        <v>199</v>
      </c>
      <c r="B187">
        <f>HYPERLINK("https://www.suredividend.com/sure-analysis-research-database/","Palomar Holdings Inc")</f>
        <v>0</v>
      </c>
      <c r="C187" t="s">
        <v>287</v>
      </c>
      <c r="D187">
        <v>49.22</v>
      </c>
      <c r="E187">
        <v>0</v>
      </c>
      <c r="F187" t="s">
        <v>289</v>
      </c>
      <c r="G187" t="s">
        <v>289</v>
      </c>
      <c r="H187">
        <v>0</v>
      </c>
      <c r="I187">
        <v>1241.955266</v>
      </c>
      <c r="J187">
        <v>0</v>
      </c>
      <c r="K187" t="s">
        <v>289</v>
      </c>
      <c r="L187">
        <v>1.022308154843638</v>
      </c>
      <c r="M187">
        <v>95.2</v>
      </c>
      <c r="N187">
        <v>43.64</v>
      </c>
    </row>
    <row r="188" spans="1:14">
      <c r="A188" s="1" t="s">
        <v>200</v>
      </c>
      <c r="B188">
        <f>HYPERLINK("https://www.suredividend.com/sure-analysis-PMT/","Pennymac Mortgage Investment Trust")</f>
        <v>0</v>
      </c>
      <c r="C188" t="s">
        <v>288</v>
      </c>
      <c r="D188">
        <v>14.83</v>
      </c>
      <c r="E188">
        <v>0.1078894133513149</v>
      </c>
      <c r="F188">
        <v>-0.148936170212766</v>
      </c>
      <c r="G188">
        <v>-0.03173902863120104</v>
      </c>
      <c r="H188">
        <v>1.714302995893906</v>
      </c>
      <c r="I188">
        <v>1318.809225</v>
      </c>
      <c r="J188" t="s">
        <v>289</v>
      </c>
      <c r="K188" t="s">
        <v>289</v>
      </c>
      <c r="L188">
        <v>0.9615086804490561</v>
      </c>
      <c r="M188">
        <v>16.29</v>
      </c>
      <c r="N188">
        <v>10.26</v>
      </c>
    </row>
    <row r="189" spans="1:14">
      <c r="A189" s="1" t="s">
        <v>201</v>
      </c>
      <c r="B189">
        <f>HYPERLINK("https://www.suredividend.com/sure-analysis-PNC/","PNC Financial Services Group Inc")</f>
        <v>0</v>
      </c>
      <c r="C189" t="s">
        <v>287</v>
      </c>
      <c r="D189">
        <v>154.87</v>
      </c>
      <c r="E189">
        <v>0.03874217085297346</v>
      </c>
      <c r="F189">
        <v>0.2</v>
      </c>
      <c r="G189">
        <v>0.1486983549970351</v>
      </c>
      <c r="H189">
        <v>5.917078467363313</v>
      </c>
      <c r="I189">
        <v>62462.018641</v>
      </c>
      <c r="J189">
        <v>11.31353353390871</v>
      </c>
      <c r="K189">
        <v>0.4472470496873253</v>
      </c>
      <c r="L189">
        <v>0.9561098266172861</v>
      </c>
      <c r="M189">
        <v>206.84</v>
      </c>
      <c r="N189">
        <v>140.85</v>
      </c>
    </row>
    <row r="190" spans="1:14">
      <c r="A190" s="1" t="s">
        <v>202</v>
      </c>
      <c r="B190">
        <f>HYPERLINK("https://www.suredividend.com/sure-analysis-research-database/","Pinnacle Financial Partners Inc.")</f>
        <v>0</v>
      </c>
      <c r="C190" t="s">
        <v>287</v>
      </c>
      <c r="D190">
        <v>72.53</v>
      </c>
      <c r="E190">
        <v>0.012083344016544</v>
      </c>
      <c r="F190" t="s">
        <v>289</v>
      </c>
      <c r="G190" t="s">
        <v>289</v>
      </c>
      <c r="H190">
        <v>0.8764049415199541</v>
      </c>
      <c r="I190">
        <v>5545.267587</v>
      </c>
      <c r="J190">
        <v>10.24565774482615</v>
      </c>
      <c r="K190">
        <v>0.1230905816741509</v>
      </c>
      <c r="L190">
        <v>1.038553013107747</v>
      </c>
      <c r="M190">
        <v>105.04</v>
      </c>
      <c r="N190">
        <v>67.48999999999999</v>
      </c>
    </row>
    <row r="191" spans="1:14">
      <c r="A191" s="1" t="s">
        <v>203</v>
      </c>
      <c r="B191">
        <f>HYPERLINK("https://www.suredividend.com/sure-analysis-research-database/","Pacific Premier Bancorp, Inc.")</f>
        <v>0</v>
      </c>
      <c r="C191" t="s">
        <v>287</v>
      </c>
      <c r="D191">
        <v>30.54</v>
      </c>
      <c r="E191">
        <v>0.042602823107395</v>
      </c>
      <c r="F191" t="s">
        <v>289</v>
      </c>
      <c r="G191" t="s">
        <v>289</v>
      </c>
      <c r="H191">
        <v>1.301090217699851</v>
      </c>
      <c r="I191">
        <v>2901.668832</v>
      </c>
      <c r="J191">
        <v>9.952525738481432</v>
      </c>
      <c r="K191">
        <v>0.4197065218386616</v>
      </c>
      <c r="L191">
        <v>0.9718786799005491</v>
      </c>
      <c r="M191">
        <v>39.38</v>
      </c>
      <c r="N191">
        <v>27.39</v>
      </c>
    </row>
    <row r="192" spans="1:14">
      <c r="A192" s="1" t="s">
        <v>204</v>
      </c>
      <c r="B192">
        <f>HYPERLINK("https://www.suredividend.com/sure-analysis-research-database/","Proassurance Corporation")</f>
        <v>0</v>
      </c>
      <c r="C192" t="s">
        <v>287</v>
      </c>
      <c r="D192">
        <v>19.04</v>
      </c>
      <c r="E192">
        <v>0.010462604907694</v>
      </c>
      <c r="F192">
        <v>0</v>
      </c>
      <c r="G192">
        <v>-0.3057407703118492</v>
      </c>
      <c r="H192">
        <v>0.199207997442507</v>
      </c>
      <c r="I192">
        <v>1027.466106</v>
      </c>
      <c r="J192">
        <v>57.73903378701882</v>
      </c>
      <c r="K192">
        <v>0.6060480603666171</v>
      </c>
      <c r="L192">
        <v>0.474236288760936</v>
      </c>
      <c r="M192">
        <v>27.34</v>
      </c>
      <c r="N192">
        <v>16.85</v>
      </c>
    </row>
    <row r="193" spans="1:14">
      <c r="A193" s="1" t="s">
        <v>205</v>
      </c>
      <c r="B193">
        <f>HYPERLINK("https://www.suredividend.com/sure-analysis-research-database/","PRA Group Inc")</f>
        <v>0</v>
      </c>
      <c r="C193" t="s">
        <v>287</v>
      </c>
      <c r="D193">
        <v>36.54</v>
      </c>
      <c r="E193">
        <v>0</v>
      </c>
      <c r="F193" t="s">
        <v>289</v>
      </c>
      <c r="G193" t="s">
        <v>289</v>
      </c>
      <c r="H193">
        <v>0</v>
      </c>
      <c r="I193">
        <v>1424.216291</v>
      </c>
      <c r="J193">
        <v>10.51361462381149</v>
      </c>
      <c r="K193">
        <v>0</v>
      </c>
      <c r="L193">
        <v>0.419550184261067</v>
      </c>
      <c r="M193">
        <v>47.74</v>
      </c>
      <c r="N193">
        <v>29.69</v>
      </c>
    </row>
    <row r="194" spans="1:14">
      <c r="A194" s="1" t="s">
        <v>206</v>
      </c>
      <c r="B194">
        <f>HYPERLINK("https://www.suredividend.com/sure-analysis-PRI/","Primerica Inc")</f>
        <v>0</v>
      </c>
      <c r="C194" t="s">
        <v>287</v>
      </c>
      <c r="D194">
        <v>152.21</v>
      </c>
      <c r="E194">
        <v>0.01445371526180934</v>
      </c>
      <c r="F194">
        <v>0.1702127659574468</v>
      </c>
      <c r="G194">
        <v>0.1708049129648923</v>
      </c>
      <c r="H194">
        <v>2.186832661899342</v>
      </c>
      <c r="I194">
        <v>5616.270456</v>
      </c>
      <c r="J194">
        <v>20.43402179269345</v>
      </c>
      <c r="K194">
        <v>0.3084390214244488</v>
      </c>
      <c r="L194">
        <v>0.851287548756362</v>
      </c>
      <c r="M194">
        <v>156.88</v>
      </c>
      <c r="N194">
        <v>109.36</v>
      </c>
    </row>
    <row r="195" spans="1:14">
      <c r="A195" s="1" t="s">
        <v>207</v>
      </c>
      <c r="B195">
        <f>HYPERLINK("https://www.suredividend.com/sure-analysis-research-database/","Park National Corp.")</f>
        <v>0</v>
      </c>
      <c r="C195" t="s">
        <v>287</v>
      </c>
      <c r="D195">
        <v>136.49</v>
      </c>
      <c r="E195">
        <v>0.030137177020994</v>
      </c>
      <c r="F195">
        <v>-0.5192307692307693</v>
      </c>
      <c r="G195">
        <v>-0.1311801672243944</v>
      </c>
      <c r="H195">
        <v>4.113423291595471</v>
      </c>
      <c r="I195">
        <v>2219.816444</v>
      </c>
      <c r="J195">
        <v>14.62185188334486</v>
      </c>
      <c r="K195">
        <v>0.4432568202150293</v>
      </c>
      <c r="L195">
        <v>0.6429475722164461</v>
      </c>
      <c r="M195">
        <v>151.59</v>
      </c>
      <c r="N195">
        <v>111.15</v>
      </c>
    </row>
    <row r="196" spans="1:14">
      <c r="A196" s="1" t="s">
        <v>208</v>
      </c>
      <c r="B196">
        <f>HYPERLINK("https://www.suredividend.com/sure-analysis-PRU/","Prudential Financial Inc.")</f>
        <v>0</v>
      </c>
      <c r="C196" t="s">
        <v>287</v>
      </c>
      <c r="D196">
        <v>98.63</v>
      </c>
      <c r="E196">
        <v>0.04866673425935314</v>
      </c>
      <c r="F196">
        <v>0.04347826086956519</v>
      </c>
      <c r="G196">
        <v>0.05922384104881218</v>
      </c>
      <c r="H196">
        <v>4.717949965292103</v>
      </c>
      <c r="I196">
        <v>36690.36</v>
      </c>
      <c r="J196">
        <v>125.223071672355</v>
      </c>
      <c r="K196">
        <v>6.047103262358502</v>
      </c>
      <c r="L196">
        <v>0.924400213940731</v>
      </c>
      <c r="M196">
        <v>118.73</v>
      </c>
      <c r="N196">
        <v>84.5</v>
      </c>
    </row>
    <row r="197" spans="1:14">
      <c r="A197" s="1" t="s">
        <v>209</v>
      </c>
      <c r="B197">
        <f>HYPERLINK("https://www.suredividend.com/sure-analysis-research-database/","QCR Holding, Inc.")</f>
        <v>0</v>
      </c>
      <c r="C197" t="s">
        <v>287</v>
      </c>
      <c r="D197">
        <v>49.84</v>
      </c>
      <c r="E197">
        <v>0.004806798817831</v>
      </c>
      <c r="F197">
        <v>0</v>
      </c>
      <c r="G197">
        <v>0</v>
      </c>
      <c r="H197">
        <v>0.239570853080706</v>
      </c>
      <c r="I197">
        <v>841.519443</v>
      </c>
      <c r="J197">
        <v>0</v>
      </c>
      <c r="K197" t="s">
        <v>289</v>
      </c>
      <c r="L197">
        <v>0.6431630530244951</v>
      </c>
      <c r="M197">
        <v>62.7</v>
      </c>
      <c r="N197">
        <v>46.83</v>
      </c>
    </row>
    <row r="198" spans="1:14">
      <c r="A198" s="1" t="s">
        <v>210</v>
      </c>
      <c r="B198">
        <f>HYPERLINK("https://www.suredividend.com/sure-analysis-research-database/","Ready Capital Corp")</f>
        <v>0</v>
      </c>
      <c r="C198" t="s">
        <v>288</v>
      </c>
      <c r="D198">
        <v>12.54</v>
      </c>
      <c r="E198">
        <v>0.157177598843845</v>
      </c>
      <c r="F198">
        <v>-0.04761904761904756</v>
      </c>
      <c r="G198">
        <v>0</v>
      </c>
      <c r="H198">
        <v>1.971007089501824</v>
      </c>
      <c r="I198">
        <v>1385.83139</v>
      </c>
      <c r="J198">
        <v>6.175168834328491</v>
      </c>
      <c r="K198">
        <v>0.9253554410806687</v>
      </c>
      <c r="L198">
        <v>0.8852641480155141</v>
      </c>
      <c r="M198">
        <v>13.89</v>
      </c>
      <c r="N198">
        <v>9.35</v>
      </c>
    </row>
    <row r="199" spans="1:14">
      <c r="A199" s="1" t="s">
        <v>211</v>
      </c>
      <c r="B199">
        <f>HYPERLINK("https://www.suredividend.com/sure-analysis-RE/","Everest Re Group Ltd")</f>
        <v>0</v>
      </c>
      <c r="C199" t="s">
        <v>287</v>
      </c>
      <c r="D199">
        <v>338.32</v>
      </c>
      <c r="E199">
        <v>0.01950815795696382</v>
      </c>
      <c r="F199">
        <v>0.06451612903225801</v>
      </c>
      <c r="G199">
        <v>0.0488372867840543</v>
      </c>
      <c r="H199">
        <v>6.446962615926482</v>
      </c>
      <c r="I199">
        <v>13250.314303</v>
      </c>
      <c r="J199">
        <v>25.78423930102045</v>
      </c>
      <c r="K199">
        <v>0.4872987615968619</v>
      </c>
      <c r="L199">
        <v>0.608696867510471</v>
      </c>
      <c r="M199">
        <v>361.67</v>
      </c>
      <c r="N199">
        <v>243.33</v>
      </c>
    </row>
    <row r="200" spans="1:14">
      <c r="A200" s="1" t="s">
        <v>212</v>
      </c>
      <c r="B200">
        <f>HYPERLINK("https://www.suredividend.com/sure-analysis-RF/","Regions Financial Corp.")</f>
        <v>0</v>
      </c>
      <c r="C200" t="s">
        <v>287</v>
      </c>
      <c r="D200">
        <v>22.69</v>
      </c>
      <c r="E200">
        <v>0.03525782282944028</v>
      </c>
      <c r="F200">
        <v>0.1764705882352942</v>
      </c>
      <c r="G200">
        <v>0.173160676311841</v>
      </c>
      <c r="H200">
        <v>0.7305779883632221</v>
      </c>
      <c r="I200">
        <v>21202.5708</v>
      </c>
      <c r="J200">
        <v>11.15924778954737</v>
      </c>
      <c r="K200">
        <v>0.363471636001603</v>
      </c>
      <c r="L200">
        <v>0.9744783606814741</v>
      </c>
      <c r="M200">
        <v>24.71</v>
      </c>
      <c r="N200">
        <v>17.68</v>
      </c>
    </row>
    <row r="201" spans="1:14">
      <c r="A201" s="1" t="s">
        <v>213</v>
      </c>
      <c r="B201">
        <f>HYPERLINK("https://www.suredividend.com/sure-analysis-research-database/","B. Riley Financial Inc")</f>
        <v>0</v>
      </c>
      <c r="C201" t="s">
        <v>287</v>
      </c>
      <c r="D201">
        <v>41.1</v>
      </c>
      <c r="E201">
        <v>0.094387620072303</v>
      </c>
      <c r="F201">
        <v>-0.6666666666666667</v>
      </c>
      <c r="G201">
        <v>0.160543111353167</v>
      </c>
      <c r="H201">
        <v>3.879331184971668</v>
      </c>
      <c r="I201">
        <v>1174.720364</v>
      </c>
      <c r="J201">
        <v>0</v>
      </c>
      <c r="K201" t="s">
        <v>289</v>
      </c>
      <c r="L201">
        <v>1.508855952858452</v>
      </c>
      <c r="M201">
        <v>68.78</v>
      </c>
      <c r="N201">
        <v>30.75</v>
      </c>
    </row>
    <row r="202" spans="1:14">
      <c r="A202" s="1" t="s">
        <v>214</v>
      </c>
      <c r="B202">
        <f>HYPERLINK("https://www.suredividend.com/sure-analysis-RJF/","Raymond James Financial, Inc.")</f>
        <v>0</v>
      </c>
      <c r="C202" t="s">
        <v>287</v>
      </c>
      <c r="D202">
        <v>113.68</v>
      </c>
      <c r="E202">
        <v>0.01477832512315271</v>
      </c>
      <c r="F202">
        <v>0.2352941176470587</v>
      </c>
      <c r="G202">
        <v>0.1093328057258516</v>
      </c>
      <c r="H202">
        <v>1.432418180976265</v>
      </c>
      <c r="I202">
        <v>24570.935595</v>
      </c>
      <c r="J202">
        <v>16.35881198055926</v>
      </c>
      <c r="K202">
        <v>0.2052175044378603</v>
      </c>
      <c r="L202">
        <v>1.053832514222689</v>
      </c>
      <c r="M202">
        <v>125.51</v>
      </c>
      <c r="N202">
        <v>83.92</v>
      </c>
    </row>
    <row r="203" spans="1:14">
      <c r="A203" s="1" t="s">
        <v>215</v>
      </c>
      <c r="B203">
        <f>HYPERLINK("https://www.suredividend.com/sure-analysis-RLI/","RLI Corp.")</f>
        <v>0</v>
      </c>
      <c r="C203" t="s">
        <v>287</v>
      </c>
      <c r="D203">
        <v>133.06</v>
      </c>
      <c r="E203">
        <v>0.007816022846836013</v>
      </c>
      <c r="F203">
        <v>0.04000000000000004</v>
      </c>
      <c r="G203">
        <v>0.03397522653195018</v>
      </c>
      <c r="H203">
        <v>1.026761494298704</v>
      </c>
      <c r="I203">
        <v>6038.019433</v>
      </c>
      <c r="J203">
        <v>10.39494721329199</v>
      </c>
      <c r="K203">
        <v>0.08072024326247673</v>
      </c>
      <c r="L203">
        <v>0.44840256383724</v>
      </c>
      <c r="M203">
        <v>140.69</v>
      </c>
      <c r="N203">
        <v>95.36</v>
      </c>
    </row>
    <row r="204" spans="1:14">
      <c r="A204" s="1" t="s">
        <v>216</v>
      </c>
      <c r="B204">
        <f>HYPERLINK("https://www.suredividend.com/sure-analysis-research-database/","Renasant Corp.")</f>
        <v>0</v>
      </c>
      <c r="C204" t="s">
        <v>287</v>
      </c>
      <c r="D204">
        <v>36.03</v>
      </c>
      <c r="E204">
        <v>0.024190059521331</v>
      </c>
      <c r="F204">
        <v>0</v>
      </c>
      <c r="G204">
        <v>0.02975477857041309</v>
      </c>
      <c r="H204">
        <v>0.8715678445535571</v>
      </c>
      <c r="I204">
        <v>2015.990337</v>
      </c>
      <c r="J204">
        <v>12.85331049003481</v>
      </c>
      <c r="K204">
        <v>0.3123899084421352</v>
      </c>
      <c r="L204">
        <v>0.686373643847175</v>
      </c>
      <c r="M204">
        <v>41.53</v>
      </c>
      <c r="N204">
        <v>27.27</v>
      </c>
    </row>
    <row r="205" spans="1:14">
      <c r="A205" s="1" t="s">
        <v>217</v>
      </c>
      <c r="B205">
        <f>HYPERLINK("https://www.suredividend.com/sure-analysis-research-database/","Root Inc")</f>
        <v>0</v>
      </c>
      <c r="C205" t="s">
        <v>289</v>
      </c>
      <c r="D205">
        <v>5.1</v>
      </c>
      <c r="E205">
        <v>0</v>
      </c>
      <c r="F205" t="s">
        <v>289</v>
      </c>
      <c r="G205" t="s">
        <v>289</v>
      </c>
      <c r="H205">
        <v>0</v>
      </c>
      <c r="I205">
        <v>46.41</v>
      </c>
      <c r="J205">
        <v>0</v>
      </c>
      <c r="K205" t="s">
        <v>289</v>
      </c>
      <c r="L205">
        <v>2.099580530705246</v>
      </c>
      <c r="M205">
        <v>42.66</v>
      </c>
      <c r="N205">
        <v>4.06</v>
      </c>
    </row>
    <row r="206" spans="1:14">
      <c r="A206" s="1" t="s">
        <v>218</v>
      </c>
      <c r="B206">
        <f>HYPERLINK("https://www.suredividend.com/sure-analysis-research-database/","Redwood Trust Inc.")</f>
        <v>0</v>
      </c>
      <c r="C206" t="s">
        <v>288</v>
      </c>
      <c r="D206">
        <v>7.77</v>
      </c>
      <c r="E206">
        <v>0.11280961877689</v>
      </c>
      <c r="F206">
        <v>0</v>
      </c>
      <c r="G206">
        <v>-0.03857820993638306</v>
      </c>
      <c r="H206">
        <v>0.8765307378964391</v>
      </c>
      <c r="I206">
        <v>880.7267880000001</v>
      </c>
      <c r="J206" t="s">
        <v>289</v>
      </c>
      <c r="K206" t="s">
        <v>289</v>
      </c>
      <c r="L206">
        <v>1.038330912727627</v>
      </c>
      <c r="M206">
        <v>11.02</v>
      </c>
      <c r="N206">
        <v>5.34</v>
      </c>
    </row>
    <row r="207" spans="1:14">
      <c r="A207" s="1" t="s">
        <v>219</v>
      </c>
      <c r="B207">
        <f>HYPERLINK("https://www.suredividend.com/sure-analysis-research-database/","Safety Insurance Group, Inc.")</f>
        <v>0</v>
      </c>
      <c r="C207" t="s">
        <v>287</v>
      </c>
      <c r="D207">
        <v>85.06</v>
      </c>
      <c r="E207">
        <v>0.04180423560532601</v>
      </c>
      <c r="F207">
        <v>0</v>
      </c>
      <c r="G207">
        <v>0.02383625553960966</v>
      </c>
      <c r="H207">
        <v>3.555868280589036</v>
      </c>
      <c r="I207">
        <v>1253.581787</v>
      </c>
      <c r="J207">
        <v>22.83682413203869</v>
      </c>
      <c r="K207">
        <v>0.9533158929193125</v>
      </c>
      <c r="L207">
        <v>0.377364728162593</v>
      </c>
      <c r="M207">
        <v>97.8</v>
      </c>
      <c r="N207">
        <v>75.25</v>
      </c>
    </row>
    <row r="208" spans="1:14">
      <c r="A208" s="1" t="s">
        <v>220</v>
      </c>
      <c r="B208">
        <f>HYPERLINK("https://www.suredividend.com/sure-analysis-research-database/","Sandy Spring Bancorp")</f>
        <v>0</v>
      </c>
      <c r="C208" t="s">
        <v>287</v>
      </c>
      <c r="D208">
        <v>34.59</v>
      </c>
      <c r="E208">
        <v>0.038782807771555</v>
      </c>
      <c r="F208">
        <v>0.0625</v>
      </c>
      <c r="G208">
        <v>0.05511819868320456</v>
      </c>
      <c r="H208">
        <v>1.341497320818097</v>
      </c>
      <c r="I208">
        <v>1544.245265</v>
      </c>
      <c r="J208">
        <v>8.718933933568211</v>
      </c>
      <c r="K208">
        <v>0.3422187042903309</v>
      </c>
      <c r="L208">
        <v>0.7193975129069851</v>
      </c>
      <c r="M208">
        <v>47.45</v>
      </c>
      <c r="N208">
        <v>32.01</v>
      </c>
    </row>
    <row r="209" spans="1:14">
      <c r="A209" s="1" t="s">
        <v>221</v>
      </c>
      <c r="B209">
        <f>HYPERLINK("https://www.suredividend.com/sure-analysis-research-database/","Seacoast Banking Corp. Of Florida")</f>
        <v>0</v>
      </c>
      <c r="C209" t="s">
        <v>287</v>
      </c>
      <c r="D209">
        <v>31.92</v>
      </c>
      <c r="E209">
        <v>0.019899818593424</v>
      </c>
      <c r="F209" t="s">
        <v>289</v>
      </c>
      <c r="G209" t="s">
        <v>289</v>
      </c>
      <c r="H209">
        <v>0.635202209502104</v>
      </c>
      <c r="I209">
        <v>1960.341679</v>
      </c>
      <c r="J209">
        <v>16.48592783584223</v>
      </c>
      <c r="K209">
        <v>0.3257447228215918</v>
      </c>
      <c r="L209">
        <v>0.7592263701353671</v>
      </c>
      <c r="M209">
        <v>37.98</v>
      </c>
      <c r="N209">
        <v>28.9</v>
      </c>
    </row>
    <row r="210" spans="1:14">
      <c r="A210" s="1" t="s">
        <v>222</v>
      </c>
      <c r="B210">
        <f>HYPERLINK("https://www.suredividend.com/sure-analysis-research-database/","Signature Bank")</f>
        <v>0</v>
      </c>
      <c r="C210" t="s">
        <v>287</v>
      </c>
      <c r="D210">
        <v>127.79</v>
      </c>
      <c r="E210">
        <v>0.017444568454955</v>
      </c>
      <c r="F210" t="s">
        <v>289</v>
      </c>
      <c r="G210" t="s">
        <v>289</v>
      </c>
      <c r="H210">
        <v>2.229241402858786</v>
      </c>
      <c r="I210">
        <v>7748.238293</v>
      </c>
      <c r="J210">
        <v>6.092843246792666</v>
      </c>
      <c r="K210">
        <v>0.1090093595529969</v>
      </c>
      <c r="L210">
        <v>1.717242674260948</v>
      </c>
      <c r="M210">
        <v>352.33</v>
      </c>
      <c r="N210">
        <v>106.81</v>
      </c>
    </row>
    <row r="211" spans="1:14">
      <c r="A211" s="1" t="s">
        <v>223</v>
      </c>
      <c r="B211">
        <f>HYPERLINK("https://www.suredividend.com/sure-analysis-SBSI/","Southside Bancshares Inc")</f>
        <v>0</v>
      </c>
      <c r="C211" t="s">
        <v>287</v>
      </c>
      <c r="D211">
        <v>36.22</v>
      </c>
      <c r="E211">
        <v>0.03754831584759802</v>
      </c>
      <c r="F211">
        <v>0</v>
      </c>
      <c r="G211">
        <v>0.02534857565773274</v>
      </c>
      <c r="H211">
        <v>1.342006881616202</v>
      </c>
      <c r="I211">
        <v>1162.843824</v>
      </c>
      <c r="J211">
        <v>10.96619002819717</v>
      </c>
      <c r="K211">
        <v>0.4091484395171348</v>
      </c>
      <c r="L211">
        <v>0.4722715404073131</v>
      </c>
      <c r="M211">
        <v>42.52</v>
      </c>
      <c r="N211">
        <v>30.89</v>
      </c>
    </row>
    <row r="212" spans="1:14">
      <c r="A212" s="1" t="s">
        <v>224</v>
      </c>
      <c r="B212">
        <f>HYPERLINK("https://www.suredividend.com/sure-analysis-SCHW/","Charles Schwab Corp.")</f>
        <v>0</v>
      </c>
      <c r="C212" t="s">
        <v>287</v>
      </c>
      <c r="D212">
        <v>77.03</v>
      </c>
      <c r="E212">
        <v>0.01142412047254317</v>
      </c>
      <c r="F212">
        <v>0.09999999999999987</v>
      </c>
      <c r="G212">
        <v>0.1708049129648923</v>
      </c>
      <c r="H212">
        <v>0.83407065229064</v>
      </c>
      <c r="I212">
        <v>139874.592499</v>
      </c>
      <c r="J212">
        <v>22.33348115907872</v>
      </c>
      <c r="K212">
        <v>0.2535169155898602</v>
      </c>
      <c r="L212">
        <v>0.9432315257639041</v>
      </c>
      <c r="M212">
        <v>94.91</v>
      </c>
      <c r="N212">
        <v>58.83</v>
      </c>
    </row>
    <row r="213" spans="1:14">
      <c r="A213" s="1" t="s">
        <v>225</v>
      </c>
      <c r="B213">
        <f>HYPERLINK("https://www.suredividend.com/sure-analysis-research-database/","ServisFirst Bancshares Inc")</f>
        <v>0</v>
      </c>
      <c r="C213" t="s">
        <v>287</v>
      </c>
      <c r="D213">
        <v>71.77</v>
      </c>
      <c r="E213">
        <v>0.013449095139194</v>
      </c>
      <c r="F213">
        <v>0.2173913043478262</v>
      </c>
      <c r="G213">
        <v>0.2054607361015721</v>
      </c>
      <c r="H213">
        <v>0.9652415581400011</v>
      </c>
      <c r="I213">
        <v>3898.860394</v>
      </c>
      <c r="J213">
        <v>16.41825904531501</v>
      </c>
      <c r="K213">
        <v>0.2213856784724773</v>
      </c>
      <c r="L213">
        <v>0.63718486773159</v>
      </c>
      <c r="M213">
        <v>96.3</v>
      </c>
      <c r="N213">
        <v>63.28</v>
      </c>
    </row>
    <row r="214" spans="1:14">
      <c r="A214" s="1" t="s">
        <v>226</v>
      </c>
      <c r="B214">
        <f>HYPERLINK("https://www.suredividend.com/sure-analysis-research-database/","Simmons First National Corp.")</f>
        <v>0</v>
      </c>
      <c r="C214" t="s">
        <v>287</v>
      </c>
      <c r="D214">
        <v>22.87</v>
      </c>
      <c r="E214">
        <v>0.032797950182857</v>
      </c>
      <c r="F214">
        <v>0.05555555555555558</v>
      </c>
      <c r="G214">
        <v>0.04841317128472156</v>
      </c>
      <c r="H214">
        <v>0.7500891206819511</v>
      </c>
      <c r="I214">
        <v>2903.79585</v>
      </c>
      <c r="J214">
        <v>13.11667547388677</v>
      </c>
      <c r="K214">
        <v>0.4098847653999733</v>
      </c>
      <c r="L214">
        <v>0.7211042080975371</v>
      </c>
      <c r="M214">
        <v>28.98</v>
      </c>
      <c r="N214">
        <v>19.34</v>
      </c>
    </row>
    <row r="215" spans="1:14">
      <c r="A215" s="1" t="s">
        <v>227</v>
      </c>
      <c r="B215">
        <f>HYPERLINK("https://www.suredividend.com/sure-analysis-research-database/","Silvergate Capital Corp")</f>
        <v>0</v>
      </c>
      <c r="C215" t="s">
        <v>287</v>
      </c>
      <c r="D215">
        <v>13.73</v>
      </c>
      <c r="E215">
        <v>0</v>
      </c>
      <c r="F215" t="s">
        <v>289</v>
      </c>
      <c r="G215" t="s">
        <v>289</v>
      </c>
      <c r="H215">
        <v>0</v>
      </c>
      <c r="I215">
        <v>434.672619</v>
      </c>
      <c r="J215">
        <v>3.63347504129399</v>
      </c>
      <c r="K215">
        <v>0</v>
      </c>
      <c r="L215">
        <v>2.539684362095055</v>
      </c>
      <c r="M215">
        <v>162.65</v>
      </c>
      <c r="N215">
        <v>10.81</v>
      </c>
    </row>
    <row r="216" spans="1:14">
      <c r="A216" s="1" t="s">
        <v>228</v>
      </c>
      <c r="B216">
        <f>HYPERLINK("https://www.suredividend.com/sure-analysis-research-database/","Selective Insurance Group Inc.")</f>
        <v>0</v>
      </c>
      <c r="C216" t="s">
        <v>287</v>
      </c>
      <c r="D216">
        <v>90.16</v>
      </c>
      <c r="E216">
        <v>0.012580782320849</v>
      </c>
      <c r="F216">
        <v>0.0714285714285714</v>
      </c>
      <c r="G216">
        <v>0.1075663432482901</v>
      </c>
      <c r="H216">
        <v>1.134283334047777</v>
      </c>
      <c r="I216">
        <v>5434.409327</v>
      </c>
      <c r="J216">
        <v>23.81904032890065</v>
      </c>
      <c r="K216">
        <v>0.3024755557460738</v>
      </c>
      <c r="L216">
        <v>0.510212231185534</v>
      </c>
      <c r="M216">
        <v>98.48</v>
      </c>
      <c r="N216">
        <v>66.36</v>
      </c>
    </row>
    <row r="217" spans="1:14">
      <c r="A217" s="1" t="s">
        <v>229</v>
      </c>
      <c r="B217">
        <f>HYPERLINK("https://www.suredividend.com/sure-analysis-research-database/","SVB Financial Group")</f>
        <v>0</v>
      </c>
      <c r="C217" t="s">
        <v>287</v>
      </c>
      <c r="D217">
        <v>291.44</v>
      </c>
      <c r="E217">
        <v>0</v>
      </c>
      <c r="F217" t="s">
        <v>289</v>
      </c>
      <c r="G217" t="s">
        <v>289</v>
      </c>
      <c r="H217">
        <v>0</v>
      </c>
      <c r="I217">
        <v>17225.305899</v>
      </c>
      <c r="J217">
        <v>10.7337491111305</v>
      </c>
      <c r="K217">
        <v>0</v>
      </c>
      <c r="L217">
        <v>1.677675165457948</v>
      </c>
      <c r="M217">
        <v>658.47</v>
      </c>
      <c r="N217">
        <v>198.1</v>
      </c>
    </row>
    <row r="218" spans="1:14">
      <c r="A218" s="1" t="s">
        <v>230</v>
      </c>
      <c r="B218">
        <f>HYPERLINK("https://www.suredividend.com/sure-analysis-research-database/","SelectQuote Inc")</f>
        <v>0</v>
      </c>
      <c r="C218" t="s">
        <v>289</v>
      </c>
      <c r="D218">
        <v>0.6921</v>
      </c>
      <c r="E218">
        <v>0</v>
      </c>
      <c r="F218" t="s">
        <v>289</v>
      </c>
      <c r="G218" t="s">
        <v>289</v>
      </c>
      <c r="H218">
        <v>0</v>
      </c>
      <c r="I218">
        <v>115.242572</v>
      </c>
      <c r="J218">
        <v>0</v>
      </c>
      <c r="K218" t="s">
        <v>289</v>
      </c>
      <c r="L218">
        <v>2.328664806100377</v>
      </c>
      <c r="M218">
        <v>7.77</v>
      </c>
      <c r="N218">
        <v>0.51</v>
      </c>
    </row>
    <row r="219" spans="1:14">
      <c r="A219" s="1" t="s">
        <v>231</v>
      </c>
      <c r="B219">
        <f>HYPERLINK("https://www.suredividend.com/sure-analysis-research-database/","StoneX Group Inc")</f>
        <v>0</v>
      </c>
      <c r="C219" t="s">
        <v>289</v>
      </c>
      <c r="D219">
        <v>91.44</v>
      </c>
      <c r="E219">
        <v>0</v>
      </c>
      <c r="F219" t="s">
        <v>289</v>
      </c>
      <c r="G219" t="s">
        <v>289</v>
      </c>
      <c r="H219">
        <v>0</v>
      </c>
      <c r="I219">
        <v>1864.828366</v>
      </c>
      <c r="J219">
        <v>9.277753063880596</v>
      </c>
      <c r="K219">
        <v>0</v>
      </c>
      <c r="L219">
        <v>0.682917841672097</v>
      </c>
      <c r="M219">
        <v>103</v>
      </c>
      <c r="N219">
        <v>60.76</v>
      </c>
    </row>
    <row r="220" spans="1:14">
      <c r="A220" s="1" t="s">
        <v>232</v>
      </c>
      <c r="B220">
        <f>HYPERLINK("https://www.suredividend.com/sure-analysis-SNV/","Synovus Financial Corp.")</f>
        <v>0</v>
      </c>
      <c r="C220" t="s">
        <v>287</v>
      </c>
      <c r="D220">
        <v>39.38</v>
      </c>
      <c r="E220">
        <v>0.03453529710512951</v>
      </c>
      <c r="F220">
        <v>0.03030303030303028</v>
      </c>
      <c r="G220">
        <v>0.06342724238285391</v>
      </c>
      <c r="H220">
        <v>1.342246288907752</v>
      </c>
      <c r="I220">
        <v>5728.131669</v>
      </c>
      <c r="J220">
        <v>7.962694727505001</v>
      </c>
      <c r="K220">
        <v>0.2733699162744913</v>
      </c>
      <c r="L220">
        <v>1.176805923938465</v>
      </c>
      <c r="M220">
        <v>52.6</v>
      </c>
      <c r="N220">
        <v>33.56</v>
      </c>
    </row>
    <row r="221" spans="1:14">
      <c r="A221" s="1" t="s">
        <v>233</v>
      </c>
      <c r="B221">
        <f>HYPERLINK("https://www.suredividend.com/sure-analysis-SPGI/","S&amp;P Global Inc")</f>
        <v>0</v>
      </c>
      <c r="C221" t="s">
        <v>287</v>
      </c>
      <c r="D221">
        <v>368.05</v>
      </c>
      <c r="E221">
        <v>0.009237875288683603</v>
      </c>
      <c r="F221">
        <v>0.1038961038961039</v>
      </c>
      <c r="G221">
        <v>0.1119615859385787</v>
      </c>
      <c r="H221">
        <v>3.314456686988452</v>
      </c>
      <c r="I221">
        <v>122560.65</v>
      </c>
      <c r="J221">
        <v>34.36821152192606</v>
      </c>
      <c r="K221">
        <v>0.2823216939513162</v>
      </c>
      <c r="L221">
        <v>0.9637756280187931</v>
      </c>
      <c r="M221">
        <v>421.55</v>
      </c>
      <c r="N221">
        <v>279.32</v>
      </c>
    </row>
    <row r="222" spans="1:14">
      <c r="A222" s="1" t="s">
        <v>234</v>
      </c>
      <c r="B222">
        <f>HYPERLINK("https://www.suredividend.com/sure-analysis-research-database/","SiriusPoint Ltd")</f>
        <v>0</v>
      </c>
      <c r="C222" t="s">
        <v>289</v>
      </c>
      <c r="D222">
        <v>6.42</v>
      </c>
      <c r="E222">
        <v>0</v>
      </c>
      <c r="F222" t="s">
        <v>289</v>
      </c>
      <c r="G222" t="s">
        <v>289</v>
      </c>
      <c r="H222">
        <v>0</v>
      </c>
      <c r="I222">
        <v>1041.123125</v>
      </c>
      <c r="J222">
        <v>0</v>
      </c>
      <c r="K222" t="s">
        <v>289</v>
      </c>
      <c r="L222">
        <v>0.7631573025627211</v>
      </c>
      <c r="M222">
        <v>8.66</v>
      </c>
      <c r="N222">
        <v>4.07</v>
      </c>
    </row>
    <row r="223" spans="1:14">
      <c r="A223" s="1" t="s">
        <v>235</v>
      </c>
      <c r="B223">
        <f>HYPERLINK("https://www.suredividend.com/sure-analysis-SRCE/","1st Source Corp.")</f>
        <v>0</v>
      </c>
      <c r="C223" t="s">
        <v>287</v>
      </c>
      <c r="D223">
        <v>46.61</v>
      </c>
      <c r="E223">
        <v>0.02746191804333834</v>
      </c>
      <c r="F223">
        <v>0.032258064516129</v>
      </c>
      <c r="G223">
        <v>0.07781806771272581</v>
      </c>
      <c r="H223">
        <v>1.248589295353526</v>
      </c>
      <c r="I223">
        <v>1149.271067</v>
      </c>
      <c r="J223">
        <v>9.888584489855621</v>
      </c>
      <c r="K223">
        <v>0.2656572968837289</v>
      </c>
      <c r="L223">
        <v>0.5449388358732981</v>
      </c>
      <c r="M223">
        <v>59.61</v>
      </c>
      <c r="N223">
        <v>41.78</v>
      </c>
    </row>
    <row r="224" spans="1:14">
      <c r="A224" s="1" t="s">
        <v>236</v>
      </c>
      <c r="B224">
        <f>HYPERLINK("https://www.suredividend.com/sure-analysis-research-database/","SouthState Corporation")</f>
        <v>0</v>
      </c>
      <c r="C224" t="s">
        <v>287</v>
      </c>
      <c r="D224">
        <v>77.54000000000001</v>
      </c>
      <c r="E224">
        <v>0.025169073405388</v>
      </c>
      <c r="F224">
        <v>0.02040816326530615</v>
      </c>
      <c r="G224">
        <v>0.0801851873035635</v>
      </c>
      <c r="H224">
        <v>1.951609951853814</v>
      </c>
      <c r="I224">
        <v>5869.432947</v>
      </c>
      <c r="J224">
        <v>12.77649626137098</v>
      </c>
      <c r="K224">
        <v>0.3127580051047779</v>
      </c>
      <c r="L224">
        <v>0.859724967305974</v>
      </c>
      <c r="M224">
        <v>91.45</v>
      </c>
      <c r="N224">
        <v>71.02</v>
      </c>
    </row>
    <row r="225" spans="1:14">
      <c r="A225" s="1" t="s">
        <v>237</v>
      </c>
      <c r="B225">
        <f>HYPERLINK("https://www.suredividend.com/sure-analysis-research-database/","S &amp; T Bancorp, Inc.")</f>
        <v>0</v>
      </c>
      <c r="C225" t="s">
        <v>287</v>
      </c>
      <c r="D225">
        <v>32.56</v>
      </c>
      <c r="E225">
        <v>0.036361805904477</v>
      </c>
      <c r="F225" t="s">
        <v>289</v>
      </c>
      <c r="G225" t="s">
        <v>289</v>
      </c>
      <c r="H225">
        <v>1.18394040024979</v>
      </c>
      <c r="I225">
        <v>1269.955425</v>
      </c>
      <c r="J225">
        <v>10.8210244137696</v>
      </c>
      <c r="K225">
        <v>0.3946468000832633</v>
      </c>
      <c r="L225">
        <v>0.575688790448707</v>
      </c>
      <c r="M225">
        <v>38.39</v>
      </c>
      <c r="N225">
        <v>26.03</v>
      </c>
    </row>
    <row r="226" spans="1:14">
      <c r="A226" s="1" t="s">
        <v>238</v>
      </c>
      <c r="B226">
        <f>HYPERLINK("https://www.suredividend.com/sure-analysis-research-database/","Stewart Information Services Corp.")</f>
        <v>0</v>
      </c>
      <c r="C226" t="s">
        <v>287</v>
      </c>
      <c r="D226">
        <v>46.35</v>
      </c>
      <c r="E226">
        <v>0.035131048017811</v>
      </c>
      <c r="F226">
        <v>0.2</v>
      </c>
      <c r="G226">
        <v>0.08447177119769855</v>
      </c>
      <c r="H226">
        <v>1.628324075625554</v>
      </c>
      <c r="I226">
        <v>1257.337053</v>
      </c>
      <c r="J226">
        <v>5.362029999488249</v>
      </c>
      <c r="K226">
        <v>0.1900028092911965</v>
      </c>
      <c r="L226">
        <v>0.8959865955648181</v>
      </c>
      <c r="M226">
        <v>73.56</v>
      </c>
      <c r="N226">
        <v>35.59</v>
      </c>
    </row>
    <row r="227" spans="1:14">
      <c r="A227" s="1" t="s">
        <v>239</v>
      </c>
      <c r="B227">
        <f>HYPERLINK("https://www.suredividend.com/sure-analysis-research-database/","State Auto Financial Corp.")</f>
        <v>0</v>
      </c>
      <c r="C227" t="s">
        <v>287</v>
      </c>
      <c r="D227">
        <v>52.01</v>
      </c>
      <c r="E227">
        <v>0</v>
      </c>
      <c r="F227" t="s">
        <v>289</v>
      </c>
      <c r="G227" t="s">
        <v>289</v>
      </c>
      <c r="H227">
        <v>0.400000005960464</v>
      </c>
      <c r="I227">
        <v>0</v>
      </c>
      <c r="J227">
        <v>0</v>
      </c>
      <c r="K227">
        <v>0.25000000372529</v>
      </c>
    </row>
    <row r="228" spans="1:14">
      <c r="A228" s="1" t="s">
        <v>240</v>
      </c>
      <c r="B228">
        <f>HYPERLINK("https://www.suredividend.com/sure-analysis-research-database/","Sterling Bancorp.")</f>
        <v>0</v>
      </c>
      <c r="C228" t="s">
        <v>287</v>
      </c>
      <c r="D228">
        <v>26.29</v>
      </c>
      <c r="E228">
        <v>0.010607738178643</v>
      </c>
      <c r="F228" t="s">
        <v>289</v>
      </c>
      <c r="G228" t="s">
        <v>289</v>
      </c>
      <c r="H228">
        <v>0.278877436716538</v>
      </c>
      <c r="I228">
        <v>5066.103164</v>
      </c>
      <c r="J228">
        <v>14.00485754765176</v>
      </c>
      <c r="K228">
        <v>0.1483390620832649</v>
      </c>
      <c r="L228">
        <v>1.129129872056107</v>
      </c>
      <c r="M228">
        <v>29.95</v>
      </c>
      <c r="N228">
        <v>18.69</v>
      </c>
    </row>
    <row r="229" spans="1:14">
      <c r="A229" s="1" t="s">
        <v>241</v>
      </c>
      <c r="B229">
        <f>HYPERLINK("https://www.suredividend.com/sure-analysis-STT/","State Street Corp.")</f>
        <v>0</v>
      </c>
      <c r="C229" t="s">
        <v>287</v>
      </c>
      <c r="D229">
        <v>84.28</v>
      </c>
      <c r="E229">
        <v>0.02990033222591362</v>
      </c>
      <c r="F229">
        <v>0.1052631578947367</v>
      </c>
      <c r="G229">
        <v>0.08447177119769855</v>
      </c>
      <c r="H229">
        <v>2.999245161984432</v>
      </c>
      <c r="I229">
        <v>30925.715589</v>
      </c>
      <c r="J229">
        <v>11.77673860973344</v>
      </c>
      <c r="K229">
        <v>0.4248222609043105</v>
      </c>
      <c r="L229">
        <v>1.240563605762572</v>
      </c>
      <c r="M229">
        <v>100.34</v>
      </c>
      <c r="N229">
        <v>57.73</v>
      </c>
    </row>
    <row r="230" spans="1:14">
      <c r="A230" s="1" t="s">
        <v>242</v>
      </c>
      <c r="B230">
        <f>HYPERLINK("https://www.suredividend.com/sure-analysis-SYF/","Synchrony Financial")</f>
        <v>0</v>
      </c>
      <c r="C230" t="s">
        <v>287</v>
      </c>
      <c r="D230">
        <v>35.41</v>
      </c>
      <c r="E230">
        <v>0.02598136119740187</v>
      </c>
      <c r="F230">
        <v>0.04545454545454541</v>
      </c>
      <c r="G230">
        <v>0.08924936491294377</v>
      </c>
      <c r="H230">
        <v>0.8914020610427721</v>
      </c>
      <c r="I230">
        <v>15953.671965</v>
      </c>
      <c r="J230">
        <v>4.969991266504673</v>
      </c>
      <c r="K230">
        <v>0.1408218105912752</v>
      </c>
      <c r="L230">
        <v>1.31904619192898</v>
      </c>
      <c r="M230">
        <v>45.92</v>
      </c>
      <c r="N230">
        <v>26.85</v>
      </c>
    </row>
    <row r="231" spans="1:14">
      <c r="A231" s="1" t="s">
        <v>243</v>
      </c>
      <c r="B231">
        <f>HYPERLINK("https://www.suredividend.com/sure-analysis-research-database/","Bancorp Inc. (The)")</f>
        <v>0</v>
      </c>
      <c r="C231" t="s">
        <v>287</v>
      </c>
      <c r="D231">
        <v>28.63</v>
      </c>
      <c r="E231">
        <v>0</v>
      </c>
      <c r="F231" t="s">
        <v>289</v>
      </c>
      <c r="G231" t="s">
        <v>289</v>
      </c>
      <c r="H231">
        <v>0</v>
      </c>
      <c r="I231">
        <v>1602.752063</v>
      </c>
      <c r="J231">
        <v>13.70295187237099</v>
      </c>
      <c r="K231">
        <v>0</v>
      </c>
      <c r="L231">
        <v>1.310796755048791</v>
      </c>
      <c r="M231">
        <v>31.59</v>
      </c>
      <c r="N231">
        <v>16.59</v>
      </c>
    </row>
    <row r="232" spans="1:14">
      <c r="A232" s="1" t="s">
        <v>244</v>
      </c>
      <c r="B232">
        <f>HYPERLINK("https://www.suredividend.com/sure-analysis-research-database/","Triumph Bancorp Inc")</f>
        <v>0</v>
      </c>
      <c r="C232" t="s">
        <v>287</v>
      </c>
      <c r="D232">
        <v>60.85</v>
      </c>
      <c r="E232">
        <v>0</v>
      </c>
      <c r="F232" t="s">
        <v>289</v>
      </c>
      <c r="G232" t="s">
        <v>289</v>
      </c>
      <c r="H232">
        <v>0</v>
      </c>
      <c r="I232">
        <v>1488.679794</v>
      </c>
      <c r="J232">
        <v>0</v>
      </c>
      <c r="K232">
        <v>0</v>
      </c>
      <c r="L232">
        <v>1.347137145718738</v>
      </c>
    </row>
    <row r="233" spans="1:14">
      <c r="A233" s="1" t="s">
        <v>245</v>
      </c>
      <c r="B233">
        <f>HYPERLINK("https://www.suredividend.com/sure-analysis-research-database/","Texas Capital Bancshares, Inc.")</f>
        <v>0</v>
      </c>
      <c r="C233" t="s">
        <v>287</v>
      </c>
      <c r="D233">
        <v>63.59</v>
      </c>
      <c r="E233">
        <v>0</v>
      </c>
      <c r="F233" t="s">
        <v>289</v>
      </c>
      <c r="G233" t="s">
        <v>289</v>
      </c>
      <c r="H233">
        <v>0</v>
      </c>
      <c r="I233">
        <v>3173.090827</v>
      </c>
      <c r="J233">
        <v>19.4541637186247</v>
      </c>
      <c r="K233">
        <v>0</v>
      </c>
      <c r="L233">
        <v>0.963143026143744</v>
      </c>
      <c r="M233">
        <v>71.59999999999999</v>
      </c>
      <c r="N233">
        <v>48.79</v>
      </c>
    </row>
    <row r="234" spans="1:14">
      <c r="A234" s="1" t="s">
        <v>246</v>
      </c>
      <c r="B234">
        <f>HYPERLINK("https://www.suredividend.com/sure-analysis-research-database/","Trico Bancshares")</f>
        <v>0</v>
      </c>
      <c r="C234" t="s">
        <v>287</v>
      </c>
      <c r="D234">
        <v>48.74</v>
      </c>
      <c r="E234">
        <v>0.022379578392241</v>
      </c>
      <c r="F234">
        <v>0.2000000000000002</v>
      </c>
      <c r="G234">
        <v>0.1203003371416174</v>
      </c>
      <c r="H234">
        <v>1.090780650837842</v>
      </c>
      <c r="I234">
        <v>1624.367192</v>
      </c>
      <c r="J234">
        <v>13.84820876621937</v>
      </c>
      <c r="K234">
        <v>0.2956045124221794</v>
      </c>
      <c r="L234">
        <v>0.553976382282349</v>
      </c>
      <c r="M234">
        <v>58.28</v>
      </c>
      <c r="N234">
        <v>36.75</v>
      </c>
    </row>
    <row r="235" spans="1:14">
      <c r="A235" s="1" t="s">
        <v>247</v>
      </c>
      <c r="B235">
        <f>HYPERLINK("https://www.suredividend.com/sure-analysis-TFC/","Truist Financial Corporation")</f>
        <v>0</v>
      </c>
      <c r="C235" t="s">
        <v>287</v>
      </c>
      <c r="D235">
        <v>47.92</v>
      </c>
      <c r="E235">
        <v>0.04340567612687813</v>
      </c>
      <c r="F235">
        <v>0.08333333333333348</v>
      </c>
      <c r="G235">
        <v>0.6313913902711874</v>
      </c>
      <c r="H235">
        <v>1.968198513417699</v>
      </c>
      <c r="I235">
        <v>63578.640521</v>
      </c>
      <c r="J235">
        <v>10.88488966289334</v>
      </c>
      <c r="K235">
        <v>0.4514216773893805</v>
      </c>
      <c r="L235">
        <v>0.9487291390066691</v>
      </c>
      <c r="M235">
        <v>63.75</v>
      </c>
      <c r="N235">
        <v>39.54</v>
      </c>
    </row>
    <row r="236" spans="1:14">
      <c r="A236" s="1" t="s">
        <v>248</v>
      </c>
      <c r="B236">
        <f>HYPERLINK("https://www.suredividend.com/sure-analysis-THFF/","First Financial Corp. - Indiana")</f>
        <v>0</v>
      </c>
      <c r="C236" t="s">
        <v>287</v>
      </c>
      <c r="D236">
        <v>44.65</v>
      </c>
      <c r="E236">
        <v>0.02418812989921613</v>
      </c>
      <c r="F236" t="s">
        <v>289</v>
      </c>
      <c r="G236" t="s">
        <v>289</v>
      </c>
      <c r="H236">
        <v>1.077643413049845</v>
      </c>
      <c r="I236">
        <v>536.782211</v>
      </c>
      <c r="J236">
        <v>8.659733015519633</v>
      </c>
      <c r="K236">
        <v>0.215528682609969</v>
      </c>
      <c r="L236">
        <v>0.268032677764198</v>
      </c>
      <c r="M236">
        <v>49.68</v>
      </c>
      <c r="N236">
        <v>40.82</v>
      </c>
    </row>
    <row r="237" spans="1:14">
      <c r="A237" s="1" t="s">
        <v>249</v>
      </c>
      <c r="B237">
        <f>HYPERLINK("https://www.suredividend.com/sure-analysis-THG/","Hanover Insurance Group Inc")</f>
        <v>0</v>
      </c>
      <c r="C237" t="s">
        <v>287</v>
      </c>
      <c r="D237">
        <v>129.53</v>
      </c>
      <c r="E237">
        <v>0.02316065776268046</v>
      </c>
      <c r="F237">
        <v>0.08000000000000007</v>
      </c>
      <c r="G237">
        <v>0.08447177119769855</v>
      </c>
      <c r="H237">
        <v>3.034701728868815</v>
      </c>
      <c r="I237">
        <v>4606.385626</v>
      </c>
      <c r="J237">
        <v>15.82406604503607</v>
      </c>
      <c r="K237">
        <v>0.3760473022142274</v>
      </c>
      <c r="L237">
        <v>0.540321533408758</v>
      </c>
      <c r="M237">
        <v>152.99</v>
      </c>
      <c r="N237">
        <v>121.95</v>
      </c>
    </row>
    <row r="238" spans="1:14">
      <c r="A238" s="1" t="s">
        <v>250</v>
      </c>
      <c r="B238">
        <f>HYPERLINK("https://www.suredividend.com/sure-analysis-TMP/","Tompkins Financial Corp")</f>
        <v>0</v>
      </c>
      <c r="C238" t="s">
        <v>287</v>
      </c>
      <c r="D238">
        <v>75.26000000000001</v>
      </c>
      <c r="E238">
        <v>0.0318894499069891</v>
      </c>
      <c r="F238">
        <v>0.05263157894736836</v>
      </c>
      <c r="G238">
        <v>0.04563955259127317</v>
      </c>
      <c r="H238">
        <v>2.28506264632586</v>
      </c>
      <c r="I238">
        <v>1090.047552</v>
      </c>
      <c r="J238">
        <v>12.88061200113439</v>
      </c>
      <c r="K238">
        <v>0.3899424311136279</v>
      </c>
      <c r="L238">
        <v>0.5911139440291371</v>
      </c>
      <c r="M238">
        <v>85</v>
      </c>
      <c r="N238">
        <v>67.51000000000001</v>
      </c>
    </row>
    <row r="239" spans="1:14">
      <c r="A239" s="1" t="s">
        <v>251</v>
      </c>
      <c r="B239">
        <f>HYPERLINK("https://www.suredividend.com/sure-analysis-research-database/","LendingTree Inc.")</f>
        <v>0</v>
      </c>
      <c r="C239" t="s">
        <v>287</v>
      </c>
      <c r="D239">
        <v>30.74</v>
      </c>
      <c r="E239">
        <v>0</v>
      </c>
      <c r="F239" t="s">
        <v>289</v>
      </c>
      <c r="G239" t="s">
        <v>289</v>
      </c>
      <c r="H239">
        <v>0</v>
      </c>
      <c r="I239">
        <v>393.03042</v>
      </c>
      <c r="J239" t="s">
        <v>289</v>
      </c>
      <c r="K239">
        <v>-0</v>
      </c>
      <c r="L239">
        <v>2.091903742994724</v>
      </c>
      <c r="M239">
        <v>131.1</v>
      </c>
      <c r="N239">
        <v>17.6</v>
      </c>
    </row>
    <row r="240" spans="1:14">
      <c r="A240" s="1" t="s">
        <v>252</v>
      </c>
      <c r="B240">
        <f>HYPERLINK("https://www.suredividend.com/sure-analysis-research-database/","Trustmark Corp.")</f>
        <v>0</v>
      </c>
      <c r="C240" t="s">
        <v>287</v>
      </c>
      <c r="D240">
        <v>33.28</v>
      </c>
      <c r="E240">
        <v>0.027413884979371</v>
      </c>
      <c r="F240">
        <v>0</v>
      </c>
      <c r="G240">
        <v>0</v>
      </c>
      <c r="H240">
        <v>0.9123340921134681</v>
      </c>
      <c r="I240">
        <v>2028.544594</v>
      </c>
      <c r="J240">
        <v>15.34776347426081</v>
      </c>
      <c r="K240">
        <v>0.4263243421090972</v>
      </c>
      <c r="L240">
        <v>0.6145023983976631</v>
      </c>
      <c r="M240">
        <v>38.23</v>
      </c>
      <c r="N240">
        <v>26.31</v>
      </c>
    </row>
    <row r="241" spans="1:14">
      <c r="A241" s="1" t="s">
        <v>253</v>
      </c>
      <c r="B241">
        <f>HYPERLINK("https://www.suredividend.com/sure-analysis-TROW/","T. Rowe Price Group Inc.")</f>
        <v>0</v>
      </c>
      <c r="C241" t="s">
        <v>287</v>
      </c>
      <c r="D241">
        <v>117.81</v>
      </c>
      <c r="E241">
        <v>0.04074357015533486</v>
      </c>
      <c r="F241">
        <v>0.1111111111111109</v>
      </c>
      <c r="G241">
        <v>0.1138241786028789</v>
      </c>
      <c r="H241">
        <v>4.725957099148772</v>
      </c>
      <c r="I241">
        <v>26326.389502</v>
      </c>
      <c r="J241">
        <v>13.2693495472379</v>
      </c>
      <c r="K241">
        <v>0.5425897932432574</v>
      </c>
      <c r="L241">
        <v>1.45899544496719</v>
      </c>
      <c r="M241">
        <v>156.34</v>
      </c>
      <c r="N241">
        <v>92.58</v>
      </c>
    </row>
    <row r="242" spans="1:14">
      <c r="A242" s="1" t="s">
        <v>254</v>
      </c>
      <c r="B242">
        <f>HYPERLINK("https://www.suredividend.com/sure-analysis-TRST/","Trustco Bank Corp.")</f>
        <v>0</v>
      </c>
      <c r="C242" t="s">
        <v>287</v>
      </c>
      <c r="D242">
        <v>37.44</v>
      </c>
      <c r="E242">
        <v>0.03739316239316239</v>
      </c>
      <c r="F242">
        <v>0.02857142857142847</v>
      </c>
      <c r="G242">
        <v>0.4055510918982099</v>
      </c>
      <c r="H242">
        <v>1.389256855595489</v>
      </c>
      <c r="I242">
        <v>713.298456</v>
      </c>
      <c r="J242">
        <v>10.1083888046482</v>
      </c>
      <c r="K242">
        <v>0.3775154498900785</v>
      </c>
      <c r="L242">
        <v>0.439177866829612</v>
      </c>
      <c r="M242">
        <v>39</v>
      </c>
      <c r="N242">
        <v>28.92</v>
      </c>
    </row>
    <row r="243" spans="1:14">
      <c r="A243" s="1" t="s">
        <v>255</v>
      </c>
      <c r="B243">
        <f>HYPERLINK("https://www.suredividend.com/sure-analysis-research-database/","Trupanion Inc")</f>
        <v>0</v>
      </c>
      <c r="C243" t="s">
        <v>287</v>
      </c>
      <c r="D243">
        <v>54.47</v>
      </c>
      <c r="E243">
        <v>0</v>
      </c>
      <c r="F243" t="s">
        <v>289</v>
      </c>
      <c r="G243" t="s">
        <v>289</v>
      </c>
      <c r="H243">
        <v>0</v>
      </c>
      <c r="I243">
        <v>2226.932633</v>
      </c>
      <c r="J243" t="s">
        <v>289</v>
      </c>
      <c r="K243">
        <v>-0</v>
      </c>
      <c r="L243">
        <v>2.129551957788971</v>
      </c>
      <c r="M243">
        <v>99.09999999999999</v>
      </c>
      <c r="N243">
        <v>40.77</v>
      </c>
    </row>
    <row r="244" spans="1:14">
      <c r="A244" s="1" t="s">
        <v>256</v>
      </c>
      <c r="B244">
        <f>HYPERLINK("https://www.suredividend.com/sure-analysis-TRV/","Travelers Companies Inc.")</f>
        <v>0</v>
      </c>
      <c r="C244" t="s">
        <v>287</v>
      </c>
      <c r="D244">
        <v>185.33</v>
      </c>
      <c r="E244">
        <v>0.0200723034586953</v>
      </c>
      <c r="F244">
        <v>0.05681818181818188</v>
      </c>
      <c r="G244">
        <v>0.05251935381426631</v>
      </c>
      <c r="H244">
        <v>3.641635440177124</v>
      </c>
      <c r="I244">
        <v>43431.626808</v>
      </c>
      <c r="J244">
        <v>13.03861507302612</v>
      </c>
      <c r="K244">
        <v>0.2646537383849654</v>
      </c>
      <c r="L244">
        <v>0.4603676556691</v>
      </c>
      <c r="M244">
        <v>194.45</v>
      </c>
      <c r="N244">
        <v>148.91</v>
      </c>
    </row>
    <row r="245" spans="1:14">
      <c r="A245" s="1" t="s">
        <v>257</v>
      </c>
      <c r="B245">
        <f>HYPERLINK("https://www.suredividend.com/sure-analysis-research-database/","Tristate Capital Holdings Inc")</f>
        <v>0</v>
      </c>
      <c r="C245" t="s">
        <v>287</v>
      </c>
      <c r="D245">
        <v>30.58</v>
      </c>
      <c r="E245">
        <v>0</v>
      </c>
      <c r="F245" t="s">
        <v>289</v>
      </c>
      <c r="G245" t="s">
        <v>289</v>
      </c>
      <c r="H245">
        <v>0</v>
      </c>
      <c r="I245">
        <v>0</v>
      </c>
      <c r="J245">
        <v>0</v>
      </c>
      <c r="K245">
        <v>0</v>
      </c>
    </row>
    <row r="246" spans="1:14">
      <c r="A246" s="1" t="s">
        <v>258</v>
      </c>
      <c r="B246">
        <f>HYPERLINK("https://www.suredividend.com/sure-analysis-TWO/","Two Harbors Investment Corp")</f>
        <v>0</v>
      </c>
      <c r="C246" t="s">
        <v>288</v>
      </c>
      <c r="D246">
        <v>17.78</v>
      </c>
      <c r="E246">
        <v>0.1529808773903262</v>
      </c>
      <c r="F246">
        <v>2.529411764705883</v>
      </c>
      <c r="G246">
        <v>0.05005169060192549</v>
      </c>
      <c r="H246">
        <v>2.479022846198993</v>
      </c>
      <c r="I246">
        <v>1535.73957</v>
      </c>
      <c r="J246">
        <v>3.561829017408608</v>
      </c>
      <c r="K246">
        <v>0.4938292522308751</v>
      </c>
      <c r="L246">
        <v>0.905123894385444</v>
      </c>
      <c r="M246">
        <v>20</v>
      </c>
      <c r="N246">
        <v>11.67</v>
      </c>
    </row>
    <row r="247" spans="1:14">
      <c r="A247" s="1" t="s">
        <v>259</v>
      </c>
      <c r="B247">
        <f>HYPERLINK("https://www.suredividend.com/sure-analysis-UBSI/","United Bankshares, Inc.")</f>
        <v>0</v>
      </c>
      <c r="C247" t="s">
        <v>287</v>
      </c>
      <c r="D247">
        <v>39.44</v>
      </c>
      <c r="E247">
        <v>0.03651115618661258</v>
      </c>
      <c r="F247">
        <v>0</v>
      </c>
      <c r="G247">
        <v>0.01149727415513624</v>
      </c>
      <c r="H247">
        <v>1.419924534732175</v>
      </c>
      <c r="I247">
        <v>5310.94954</v>
      </c>
      <c r="J247">
        <v>15.01481292841109</v>
      </c>
      <c r="K247">
        <v>0.5398952603544391</v>
      </c>
      <c r="L247">
        <v>0.659250380360071</v>
      </c>
      <c r="M247">
        <v>43.76</v>
      </c>
      <c r="N247">
        <v>32.17</v>
      </c>
    </row>
    <row r="248" spans="1:14">
      <c r="A248" s="1" t="s">
        <v>260</v>
      </c>
      <c r="B248">
        <f>HYPERLINK("https://www.suredividend.com/sure-analysis-research-database/","United Community Banks Inc")</f>
        <v>0</v>
      </c>
      <c r="C248" t="s">
        <v>287</v>
      </c>
      <c r="D248">
        <v>31.92</v>
      </c>
      <c r="E248">
        <v>0.026679779828</v>
      </c>
      <c r="F248">
        <v>0.09999999999999987</v>
      </c>
      <c r="G248">
        <v>0.1288813207301975</v>
      </c>
      <c r="H248">
        <v>0.8516185721097671</v>
      </c>
      <c r="I248">
        <v>3389.986386</v>
      </c>
      <c r="J248">
        <v>14.13413045779757</v>
      </c>
      <c r="K248">
        <v>0.3639395607306697</v>
      </c>
      <c r="L248">
        <v>0.7918318825387131</v>
      </c>
      <c r="M248">
        <v>39.25</v>
      </c>
      <c r="N248">
        <v>27.49</v>
      </c>
    </row>
    <row r="249" spans="1:14">
      <c r="A249" s="1" t="s">
        <v>261</v>
      </c>
      <c r="B249">
        <f>HYPERLINK("https://www.suredividend.com/sure-analysis-research-database/","United Fire Group Inc")</f>
        <v>0</v>
      </c>
      <c r="C249" t="s">
        <v>287</v>
      </c>
      <c r="D249">
        <v>29.81</v>
      </c>
      <c r="E249">
        <v>0.020970706546728</v>
      </c>
      <c r="F249">
        <v>0.06666666666666665</v>
      </c>
      <c r="G249">
        <v>-0.1239040801101997</v>
      </c>
      <c r="H249">
        <v>0.62513676215798</v>
      </c>
      <c r="I249">
        <v>751.133212</v>
      </c>
      <c r="J249">
        <v>14.26762170288341</v>
      </c>
      <c r="K249">
        <v>0.3019984358251111</v>
      </c>
      <c r="L249">
        <v>0.4820976795112381</v>
      </c>
      <c r="M249">
        <v>36.86</v>
      </c>
      <c r="N249">
        <v>22.48</v>
      </c>
    </row>
    <row r="250" spans="1:14">
      <c r="A250" s="1" t="s">
        <v>262</v>
      </c>
      <c r="B250">
        <f>HYPERLINK("https://www.suredividend.com/sure-analysis-UMBF/","UMB Financial Corp.")</f>
        <v>0</v>
      </c>
      <c r="C250" t="s">
        <v>287</v>
      </c>
      <c r="D250">
        <v>85.13</v>
      </c>
      <c r="E250">
        <v>0.01785504522495008</v>
      </c>
      <c r="F250">
        <v>0.02702702702702697</v>
      </c>
      <c r="G250">
        <v>0.05554589164848411</v>
      </c>
      <c r="H250">
        <v>1.480311409360208</v>
      </c>
      <c r="I250">
        <v>4112.826354</v>
      </c>
      <c r="J250">
        <v>10.0311614599578</v>
      </c>
      <c r="K250">
        <v>0.1762275487333581</v>
      </c>
      <c r="L250">
        <v>0.7982640483016541</v>
      </c>
      <c r="M250">
        <v>104.33</v>
      </c>
      <c r="N250">
        <v>76.97</v>
      </c>
    </row>
    <row r="251" spans="1:14">
      <c r="A251" s="1" t="s">
        <v>263</v>
      </c>
      <c r="B251">
        <f>HYPERLINK("https://www.suredividend.com/sure-analysis-research-database/","Umpqua Holdings Corp")</f>
        <v>0</v>
      </c>
      <c r="C251" t="s">
        <v>287</v>
      </c>
      <c r="D251">
        <v>16.76</v>
      </c>
      <c r="E251">
        <v>0.061114379529639</v>
      </c>
      <c r="F251">
        <v>0</v>
      </c>
      <c r="G251">
        <v>0.009805797673485328</v>
      </c>
      <c r="H251">
        <v>1.02427700091675</v>
      </c>
      <c r="I251">
        <v>3637.813677</v>
      </c>
      <c r="J251">
        <v>10.63246744544663</v>
      </c>
      <c r="K251">
        <v>0.6524057330679935</v>
      </c>
      <c r="L251">
        <v>0.8665573773456781</v>
      </c>
      <c r="M251">
        <v>20.99</v>
      </c>
      <c r="N251">
        <v>15.2</v>
      </c>
    </row>
    <row r="252" spans="1:14">
      <c r="A252" s="1" t="s">
        <v>264</v>
      </c>
      <c r="B252">
        <f>HYPERLINK("https://www.suredividend.com/sure-analysis-UNM/","Unum Group")</f>
        <v>0</v>
      </c>
      <c r="C252" t="s">
        <v>287</v>
      </c>
      <c r="D252">
        <v>40.3</v>
      </c>
      <c r="E252">
        <v>0.03275434243176179</v>
      </c>
      <c r="F252">
        <v>0.09999999999999987</v>
      </c>
      <c r="G252">
        <v>0.07487316557532875</v>
      </c>
      <c r="H252">
        <v>1.244331839956149</v>
      </c>
      <c r="I252">
        <v>8017.317625</v>
      </c>
      <c r="J252">
        <v>6.712984698317005</v>
      </c>
      <c r="K252">
        <v>0.2116210612170321</v>
      </c>
      <c r="L252">
        <v>0.6753046789942601</v>
      </c>
      <c r="M252">
        <v>46.64</v>
      </c>
      <c r="N252">
        <v>23.36</v>
      </c>
    </row>
    <row r="253" spans="1:14">
      <c r="A253" s="1" t="s">
        <v>265</v>
      </c>
      <c r="B253">
        <f>HYPERLINK("https://www.suredividend.com/sure-analysis-USB/","U.S. Bancorp.")</f>
        <v>0</v>
      </c>
      <c r="C253" t="s">
        <v>287</v>
      </c>
      <c r="D253">
        <v>46.46</v>
      </c>
      <c r="E253">
        <v>0.04132587171760654</v>
      </c>
      <c r="F253">
        <v>0.04347826086956519</v>
      </c>
      <c r="G253">
        <v>0.09856054330611763</v>
      </c>
      <c r="H253">
        <v>1.849543845671094</v>
      </c>
      <c r="I253">
        <v>69031.35916000001</v>
      </c>
      <c r="J253">
        <v>11.08047498548315</v>
      </c>
      <c r="K253">
        <v>0.4414185789191155</v>
      </c>
      <c r="L253">
        <v>0.77224916249465</v>
      </c>
      <c r="M253">
        <v>58.08</v>
      </c>
      <c r="N253">
        <v>37.96</v>
      </c>
    </row>
    <row r="254" spans="1:14">
      <c r="A254" s="1" t="s">
        <v>266</v>
      </c>
      <c r="B254">
        <f>HYPERLINK("https://www.suredividend.com/sure-analysis-research-database/","Universal Insurance Holdings Inc")</f>
        <v>0</v>
      </c>
      <c r="C254" t="s">
        <v>287</v>
      </c>
      <c r="D254">
        <v>12.24</v>
      </c>
      <c r="E254">
        <v>0.051237598272183</v>
      </c>
      <c r="F254">
        <v>0</v>
      </c>
      <c r="G254">
        <v>0</v>
      </c>
      <c r="H254">
        <v>0.6271482028515221</v>
      </c>
      <c r="I254">
        <v>373.476195</v>
      </c>
      <c r="J254" t="s">
        <v>289</v>
      </c>
      <c r="K254" t="s">
        <v>289</v>
      </c>
      <c r="L254">
        <v>0.582712083912312</v>
      </c>
      <c r="M254">
        <v>17.17</v>
      </c>
      <c r="N254">
        <v>8.27</v>
      </c>
    </row>
    <row r="255" spans="1:14">
      <c r="A255" s="1" t="s">
        <v>267</v>
      </c>
      <c r="B255">
        <f>HYPERLINK("https://www.suredividend.com/sure-analysis-research-database/","Univest Financial Corp")</f>
        <v>0</v>
      </c>
      <c r="C255" t="s">
        <v>287</v>
      </c>
      <c r="D255">
        <v>25.51</v>
      </c>
      <c r="E255">
        <v>0.032159189724149</v>
      </c>
      <c r="F255" t="s">
        <v>289</v>
      </c>
      <c r="G255" t="s">
        <v>289</v>
      </c>
      <c r="H255">
        <v>0.8203809298630521</v>
      </c>
      <c r="I255">
        <v>745.974925</v>
      </c>
      <c r="J255">
        <v>10.40309767540129</v>
      </c>
      <c r="K255">
        <v>0.3390003842409307</v>
      </c>
      <c r="L255">
        <v>0.5229566285567581</v>
      </c>
      <c r="M255">
        <v>30.48</v>
      </c>
      <c r="N255">
        <v>23.31</v>
      </c>
    </row>
    <row r="256" spans="1:14">
      <c r="A256" s="1" t="s">
        <v>268</v>
      </c>
      <c r="B256">
        <f>HYPERLINK("https://www.suredividend.com/sure-analysis-research-database/","Veritex Holdings Inc")</f>
        <v>0</v>
      </c>
      <c r="C256" t="s">
        <v>287</v>
      </c>
      <c r="D256">
        <v>28.43</v>
      </c>
      <c r="E256">
        <v>0.02769688842761</v>
      </c>
      <c r="F256" t="s">
        <v>289</v>
      </c>
      <c r="G256" t="s">
        <v>289</v>
      </c>
      <c r="H256">
        <v>0.787422537996965</v>
      </c>
      <c r="I256">
        <v>1535.365647</v>
      </c>
      <c r="J256">
        <v>0</v>
      </c>
      <c r="K256" t="s">
        <v>289</v>
      </c>
      <c r="L256">
        <v>0.92228946441461</v>
      </c>
      <c r="M256">
        <v>41.67</v>
      </c>
      <c r="N256">
        <v>25.81</v>
      </c>
    </row>
    <row r="257" spans="1:14">
      <c r="A257" s="1" t="s">
        <v>269</v>
      </c>
      <c r="B257">
        <f>HYPERLINK("https://www.suredividend.com/sure-analysis-research-database/","Valley National Bancorp")</f>
        <v>0</v>
      </c>
      <c r="C257" t="s">
        <v>287</v>
      </c>
      <c r="D257">
        <v>11.08</v>
      </c>
      <c r="E257">
        <v>0.03914464573463</v>
      </c>
      <c r="F257">
        <v>0</v>
      </c>
      <c r="G257">
        <v>0</v>
      </c>
      <c r="H257">
        <v>0.4337226747397041</v>
      </c>
      <c r="I257">
        <v>5610.432535</v>
      </c>
      <c r="J257">
        <v>11.36612413678815</v>
      </c>
      <c r="K257">
        <v>0.4091723346600981</v>
      </c>
      <c r="L257">
        <v>0.9577971304203791</v>
      </c>
      <c r="M257">
        <v>14.26</v>
      </c>
      <c r="N257">
        <v>9.82</v>
      </c>
    </row>
    <row r="258" spans="1:14">
      <c r="A258" s="1" t="s">
        <v>270</v>
      </c>
      <c r="B258">
        <f>HYPERLINK("https://www.suredividend.com/sure-analysis-research-database/","Voya Financial Inc")</f>
        <v>0</v>
      </c>
      <c r="C258" t="s">
        <v>287</v>
      </c>
      <c r="D258">
        <v>67.95999999999999</v>
      </c>
      <c r="E258">
        <v>0.011743822180266</v>
      </c>
      <c r="F258">
        <v>0</v>
      </c>
      <c r="G258">
        <v>0.8205642030260802</v>
      </c>
      <c r="H258">
        <v>0.798110155370917</v>
      </c>
      <c r="I258">
        <v>6603.867905</v>
      </c>
      <c r="J258">
        <v>9.612617038427947</v>
      </c>
      <c r="K258">
        <v>0.1319190339456061</v>
      </c>
      <c r="L258">
        <v>1.012688476949942</v>
      </c>
      <c r="M258">
        <v>72.75</v>
      </c>
      <c r="N258">
        <v>56.02</v>
      </c>
    </row>
    <row r="259" spans="1:14">
      <c r="A259" s="1" t="s">
        <v>271</v>
      </c>
      <c r="B259">
        <f>HYPERLINK("https://www.suredividend.com/sure-analysis-research-database/","Virtus Investment Partners Inc")</f>
        <v>0</v>
      </c>
      <c r="C259" t="s">
        <v>287</v>
      </c>
      <c r="D259">
        <v>217.99</v>
      </c>
      <c r="E259">
        <v>0.027854493788717</v>
      </c>
      <c r="F259">
        <v>0.09999999999999987</v>
      </c>
      <c r="G259">
        <v>0.2967441161096582</v>
      </c>
      <c r="H259">
        <v>6.072001101002535</v>
      </c>
      <c r="I259">
        <v>1576.497794</v>
      </c>
      <c r="J259">
        <v>11.94488444753412</v>
      </c>
      <c r="K259">
        <v>0.3550877836843588</v>
      </c>
      <c r="L259">
        <v>1.476865292027982</v>
      </c>
      <c r="M259">
        <v>266.14</v>
      </c>
      <c r="N259">
        <v>140.44</v>
      </c>
    </row>
    <row r="260" spans="1:14">
      <c r="A260" s="1" t="s">
        <v>272</v>
      </c>
      <c r="B260">
        <f>HYPERLINK("https://www.suredividend.com/sure-analysis-WABC/","Westamerica Bancorporation")</f>
        <v>0</v>
      </c>
      <c r="C260" t="s">
        <v>287</v>
      </c>
      <c r="D260">
        <v>55.98</v>
      </c>
      <c r="E260">
        <v>0.030010718113612</v>
      </c>
      <c r="F260">
        <v>0</v>
      </c>
      <c r="G260">
        <v>0.009805797673485328</v>
      </c>
      <c r="H260">
        <v>1.662350622428662</v>
      </c>
      <c r="I260">
        <v>1506.561022</v>
      </c>
      <c r="J260">
        <v>14.42927901791016</v>
      </c>
      <c r="K260">
        <v>0.4284408820692428</v>
      </c>
      <c r="L260">
        <v>0.470447920887654</v>
      </c>
      <c r="M260">
        <v>63.86</v>
      </c>
      <c r="N260">
        <v>51.68</v>
      </c>
    </row>
    <row r="261" spans="1:14">
      <c r="A261" s="1" t="s">
        <v>273</v>
      </c>
      <c r="B261">
        <f>HYPERLINK("https://www.suredividend.com/sure-analysis-research-database/","Western Alliance Bancorp")</f>
        <v>0</v>
      </c>
      <c r="C261" t="s">
        <v>287</v>
      </c>
      <c r="D261">
        <v>66.26000000000001</v>
      </c>
      <c r="E261">
        <v>0.021280446499062</v>
      </c>
      <c r="F261" t="s">
        <v>289</v>
      </c>
      <c r="G261" t="s">
        <v>289</v>
      </c>
      <c r="H261">
        <v>1.410042385027905</v>
      </c>
      <c r="I261">
        <v>7216.515547</v>
      </c>
      <c r="J261">
        <v>7.236778527095869</v>
      </c>
      <c r="K261">
        <v>0.1508066721954979</v>
      </c>
      <c r="L261">
        <v>1.349709465914112</v>
      </c>
      <c r="M261">
        <v>111.48</v>
      </c>
      <c r="N261">
        <v>54.59</v>
      </c>
    </row>
    <row r="262" spans="1:14">
      <c r="A262" s="1" t="s">
        <v>274</v>
      </c>
      <c r="B262">
        <f>HYPERLINK("https://www.suredividend.com/sure-analysis-WASH/","Washington Trust Bancorp, Inc.")</f>
        <v>0</v>
      </c>
      <c r="C262" t="s">
        <v>287</v>
      </c>
      <c r="D262">
        <v>47.24</v>
      </c>
      <c r="E262">
        <v>0.04741744284504657</v>
      </c>
      <c r="F262">
        <v>0.03703703703703698</v>
      </c>
      <c r="G262">
        <v>0.05425073941302982</v>
      </c>
      <c r="H262">
        <v>2.703084475885298</v>
      </c>
      <c r="I262">
        <v>811.625858</v>
      </c>
      <c r="J262">
        <v>10.81144326997109</v>
      </c>
      <c r="K262">
        <v>0.6271657716671225</v>
      </c>
      <c r="L262">
        <v>0.520485210367431</v>
      </c>
      <c r="M262">
        <v>56.82</v>
      </c>
      <c r="N262">
        <v>44.06</v>
      </c>
    </row>
    <row r="263" spans="1:14">
      <c r="A263" s="1" t="s">
        <v>275</v>
      </c>
      <c r="B263">
        <f>HYPERLINK("https://www.suredividend.com/sure-analysis-research-database/","Webster Financial Corp.")</f>
        <v>0</v>
      </c>
      <c r="C263" t="s">
        <v>287</v>
      </c>
      <c r="D263">
        <v>46.53</v>
      </c>
      <c r="E263">
        <v>0.033971511467778</v>
      </c>
      <c r="F263">
        <v>0</v>
      </c>
      <c r="G263">
        <v>0.08997698704834534</v>
      </c>
      <c r="H263">
        <v>1.580694428595712</v>
      </c>
      <c r="I263">
        <v>8096.658452</v>
      </c>
      <c r="J263">
        <v>16.46164166349497</v>
      </c>
      <c r="K263">
        <v>0.4718490831628991</v>
      </c>
      <c r="L263">
        <v>1.002812515214756</v>
      </c>
      <c r="M263">
        <v>61.68</v>
      </c>
      <c r="N263">
        <v>40.06</v>
      </c>
    </row>
    <row r="264" spans="1:14">
      <c r="A264" s="1" t="s">
        <v>276</v>
      </c>
      <c r="B264">
        <f>HYPERLINK("https://www.suredividend.com/sure-analysis-research-database/","Walker &amp; Dunlop Inc")</f>
        <v>0</v>
      </c>
      <c r="C264" t="s">
        <v>287</v>
      </c>
      <c r="D264">
        <v>92.87</v>
      </c>
      <c r="E264">
        <v>0.025598461610055</v>
      </c>
      <c r="F264">
        <v>0.2000000000000002</v>
      </c>
      <c r="G264">
        <v>0.1913578981670916</v>
      </c>
      <c r="H264">
        <v>2.377329129725859</v>
      </c>
      <c r="I264">
        <v>3065.832055</v>
      </c>
      <c r="J264">
        <v>12.53601154447543</v>
      </c>
      <c r="K264">
        <v>0.3157143598573518</v>
      </c>
      <c r="L264">
        <v>1.17637209330011</v>
      </c>
      <c r="M264">
        <v>141.76</v>
      </c>
      <c r="N264">
        <v>74.78</v>
      </c>
    </row>
    <row r="265" spans="1:14">
      <c r="A265" s="1" t="s">
        <v>277</v>
      </c>
      <c r="B265">
        <f>HYPERLINK("https://www.suredividend.com/sure-analysis-research-database/","Wisdomtree Investments Inc")</f>
        <v>0</v>
      </c>
      <c r="C265" t="s">
        <v>287</v>
      </c>
      <c r="D265">
        <v>5.26</v>
      </c>
      <c r="E265">
        <v>0.022624810379209</v>
      </c>
      <c r="F265">
        <v>0</v>
      </c>
      <c r="G265">
        <v>0</v>
      </c>
      <c r="H265">
        <v>0.11900650259464</v>
      </c>
      <c r="I265">
        <v>771.036842</v>
      </c>
      <c r="J265">
        <v>67.60515933888645</v>
      </c>
      <c r="K265">
        <v>1.616936176557609</v>
      </c>
      <c r="L265">
        <v>0.920225935937202</v>
      </c>
      <c r="M265">
        <v>6.81</v>
      </c>
      <c r="N265">
        <v>4.6</v>
      </c>
    </row>
    <row r="266" spans="1:14">
      <c r="A266" s="1" t="s">
        <v>278</v>
      </c>
      <c r="B266">
        <f>HYPERLINK("https://www.suredividend.com/sure-analysis-WFC/","Wells Fargo &amp; Co.")</f>
        <v>0</v>
      </c>
      <c r="C266" t="s">
        <v>287</v>
      </c>
      <c r="D266">
        <v>43.92</v>
      </c>
      <c r="E266">
        <v>0.0273224043715847</v>
      </c>
      <c r="F266">
        <v>0.5000000000000002</v>
      </c>
      <c r="G266">
        <v>-0.05111991994525078</v>
      </c>
      <c r="H266">
        <v>1.090143789459143</v>
      </c>
      <c r="I266">
        <v>167356.76024</v>
      </c>
      <c r="J266">
        <v>11.27361133311957</v>
      </c>
      <c r="K266">
        <v>0.2838916118383185</v>
      </c>
      <c r="L266">
        <v>0.952518386297986</v>
      </c>
      <c r="M266">
        <v>59.18</v>
      </c>
      <c r="N266">
        <v>36.06</v>
      </c>
    </row>
    <row r="267" spans="1:14">
      <c r="A267" s="1" t="s">
        <v>279</v>
      </c>
      <c r="B267">
        <f>HYPERLINK("https://www.suredividend.com/sure-analysis-WRB/","W.R. Berkley Corp.")</f>
        <v>0</v>
      </c>
      <c r="C267" t="s">
        <v>287</v>
      </c>
      <c r="D267">
        <v>69.92</v>
      </c>
      <c r="E267">
        <v>0.01272883295194508</v>
      </c>
      <c r="F267">
        <v>0</v>
      </c>
      <c r="G267">
        <v>0</v>
      </c>
      <c r="H267">
        <v>0.383204135310559</v>
      </c>
      <c r="I267">
        <v>18562.09038</v>
      </c>
      <c r="J267">
        <v>14.35284568045782</v>
      </c>
      <c r="K267">
        <v>0.0827654719893216</v>
      </c>
      <c r="L267">
        <v>0.5187317416293551</v>
      </c>
      <c r="M267">
        <v>76.36</v>
      </c>
      <c r="N267">
        <v>52.66</v>
      </c>
    </row>
    <row r="268" spans="1:14">
      <c r="A268" s="1" t="s">
        <v>280</v>
      </c>
      <c r="B268">
        <f>HYPERLINK("https://www.suredividend.com/sure-analysis-research-database/","World Acceptance Corp.")</f>
        <v>0</v>
      </c>
      <c r="C268" t="s">
        <v>287</v>
      </c>
      <c r="D268">
        <v>79.88</v>
      </c>
      <c r="E268">
        <v>0</v>
      </c>
      <c r="F268" t="s">
        <v>289</v>
      </c>
      <c r="G268" t="s">
        <v>289</v>
      </c>
      <c r="H268">
        <v>0</v>
      </c>
      <c r="I268">
        <v>499.803808</v>
      </c>
      <c r="J268">
        <v>32.16228303108225</v>
      </c>
      <c r="K268">
        <v>0</v>
      </c>
      <c r="L268">
        <v>1.594531561858042</v>
      </c>
      <c r="M268">
        <v>228.7</v>
      </c>
      <c r="N268">
        <v>58.44</v>
      </c>
    </row>
    <row r="269" spans="1:14">
      <c r="A269" s="1" t="s">
        <v>281</v>
      </c>
      <c r="B269">
        <f>HYPERLINK("https://www.suredividend.com/sure-analysis-WSBC/","Wesbanco, Inc.")</f>
        <v>0</v>
      </c>
      <c r="C269" t="s">
        <v>287</v>
      </c>
      <c r="D269">
        <v>36.01</v>
      </c>
      <c r="E269">
        <v>0.03887808941960567</v>
      </c>
      <c r="F269">
        <v>0.06060606060606055</v>
      </c>
      <c r="G269">
        <v>0.0383266700886169</v>
      </c>
      <c r="H269">
        <v>1.350837136187868</v>
      </c>
      <c r="I269">
        <v>2130.19935</v>
      </c>
      <c r="J269">
        <v>11.58163938106552</v>
      </c>
      <c r="K269">
        <v>0.4487831017235442</v>
      </c>
      <c r="L269">
        <v>0.597245698691499</v>
      </c>
      <c r="M269">
        <v>41</v>
      </c>
      <c r="N269">
        <v>28.95</v>
      </c>
    </row>
    <row r="270" spans="1:14">
      <c r="A270" s="1" t="s">
        <v>282</v>
      </c>
      <c r="B270">
        <f>HYPERLINK("https://www.suredividend.com/sure-analysis-research-database/","WSFS Financial Corp.")</f>
        <v>0</v>
      </c>
      <c r="C270" t="s">
        <v>287</v>
      </c>
      <c r="D270">
        <v>48.16</v>
      </c>
      <c r="E270">
        <v>0.011574935799647</v>
      </c>
      <c r="F270">
        <v>0.1538461538461537</v>
      </c>
      <c r="G270">
        <v>0.1075663432482901</v>
      </c>
      <c r="H270">
        <v>0.557448908111016</v>
      </c>
      <c r="I270">
        <v>2966.020192</v>
      </c>
      <c r="J270">
        <v>15.27199616750681</v>
      </c>
      <c r="K270">
        <v>0.1725848012727604</v>
      </c>
      <c r="L270">
        <v>0.7982793528545801</v>
      </c>
      <c r="M270">
        <v>53.65</v>
      </c>
      <c r="N270">
        <v>36.79</v>
      </c>
    </row>
    <row r="271" spans="1:14">
      <c r="A271" s="1" t="s">
        <v>283</v>
      </c>
      <c r="B271">
        <f>HYPERLINK("https://www.suredividend.com/sure-analysis-research-database/","Wintrust Financial Corp.")</f>
        <v>0</v>
      </c>
      <c r="C271" t="s">
        <v>287</v>
      </c>
      <c r="D271">
        <v>87.23</v>
      </c>
      <c r="E271">
        <v>0.015502234917726</v>
      </c>
      <c r="F271">
        <v>0.09677419354838723</v>
      </c>
      <c r="G271">
        <v>0.1234275325950922</v>
      </c>
      <c r="H271">
        <v>1.352259951873266</v>
      </c>
      <c r="I271">
        <v>5300.554764</v>
      </c>
      <c r="J271">
        <v>12.16677936314724</v>
      </c>
      <c r="K271">
        <v>0.1834816759665218</v>
      </c>
      <c r="L271">
        <v>0.934097532696549</v>
      </c>
      <c r="M271">
        <v>104.1</v>
      </c>
      <c r="N271">
        <v>75.55</v>
      </c>
    </row>
    <row r="272" spans="1:14">
      <c r="A272" s="1" t="s">
        <v>284</v>
      </c>
      <c r="B272">
        <f>HYPERLINK("https://www.suredividend.com/sure-analysis-research-database/","White Mountains Insurance Group, Ltd.")</f>
        <v>0</v>
      </c>
      <c r="C272" t="s">
        <v>287</v>
      </c>
      <c r="D272">
        <v>1481.84</v>
      </c>
      <c r="E272">
        <v>0.000674836689521</v>
      </c>
      <c r="F272" t="s">
        <v>289</v>
      </c>
      <c r="G272" t="s">
        <v>289</v>
      </c>
      <c r="H272">
        <v>1</v>
      </c>
      <c r="I272">
        <v>3817.563627</v>
      </c>
      <c r="J272">
        <v>4.908786970399897</v>
      </c>
      <c r="K272">
        <v>0.00377800445804526</v>
      </c>
      <c r="L272">
        <v>0.240823883492958</v>
      </c>
      <c r="M272">
        <v>1482</v>
      </c>
      <c r="N272">
        <v>981.67</v>
      </c>
    </row>
    <row r="273" spans="1:14">
      <c r="A273" s="1" t="s">
        <v>285</v>
      </c>
      <c r="B273">
        <f>HYPERLINK("https://www.suredividend.com/sure-analysis-research-database/","Alleghany Corp.")</f>
        <v>0</v>
      </c>
      <c r="C273" t="s">
        <v>287</v>
      </c>
      <c r="D273">
        <v>847.79</v>
      </c>
      <c r="E273">
        <v>0</v>
      </c>
      <c r="F273" t="s">
        <v>289</v>
      </c>
      <c r="G273" t="s">
        <v>289</v>
      </c>
      <c r="H273">
        <v>0</v>
      </c>
      <c r="I273">
        <v>11407.399347</v>
      </c>
      <c r="J273">
        <v>32.10936942260328</v>
      </c>
      <c r="K273">
        <v>0</v>
      </c>
      <c r="L273">
        <v>0.288429568299418</v>
      </c>
      <c r="M273">
        <v>862.87</v>
      </c>
      <c r="N273">
        <v>585.1</v>
      </c>
    </row>
    <row r="274" spans="1:14">
      <c r="A274" s="1" t="s">
        <v>286</v>
      </c>
      <c r="B274">
        <f>HYPERLINK("https://www.suredividend.com/sure-analysis-ZION/","Zions Bancorporation N.A")</f>
        <v>0</v>
      </c>
      <c r="C274" t="s">
        <v>287</v>
      </c>
      <c r="D274">
        <v>51.48</v>
      </c>
      <c r="E274">
        <v>0.03185703185703186</v>
      </c>
      <c r="F274" t="s">
        <v>289</v>
      </c>
      <c r="G274" t="s">
        <v>289</v>
      </c>
      <c r="H274">
        <v>1.562709873231722</v>
      </c>
      <c r="I274">
        <v>7702.321976</v>
      </c>
      <c r="J274">
        <v>5.713888706172106</v>
      </c>
      <c r="K274">
        <v>0.1755853790148002</v>
      </c>
      <c r="L274">
        <v>1.117444238372153</v>
      </c>
      <c r="M274">
        <v>73.42</v>
      </c>
      <c r="N274">
        <v>45.21</v>
      </c>
    </row>
  </sheetData>
  <autoFilter ref="A1:O274"/>
  <conditionalFormatting sqref="A1:N1">
    <cfRule type="cellIs" dxfId="8" priority="15" operator="notEqual">
      <formula>-13.345</formula>
    </cfRule>
  </conditionalFormatting>
  <conditionalFormatting sqref="A2:A274">
    <cfRule type="cellIs" dxfId="0" priority="1" operator="notEqual">
      <formula>"None"</formula>
    </cfRule>
  </conditionalFormatting>
  <conditionalFormatting sqref="B2:B274">
    <cfRule type="cellIs" dxfId="1" priority="2" operator="notEqual">
      <formula>"None"</formula>
    </cfRule>
  </conditionalFormatting>
  <conditionalFormatting sqref="C2:C274">
    <cfRule type="cellIs" dxfId="0" priority="3" operator="notEqual">
      <formula>"None"</formula>
    </cfRule>
  </conditionalFormatting>
  <conditionalFormatting sqref="D2:D274">
    <cfRule type="cellIs" dxfId="2" priority="4" operator="notEqual">
      <formula>"None"</formula>
    </cfRule>
  </conditionalFormatting>
  <conditionalFormatting sqref="E2:E274">
    <cfRule type="cellIs" dxfId="3" priority="5" operator="notEqual">
      <formula>"None"</formula>
    </cfRule>
  </conditionalFormatting>
  <conditionalFormatting sqref="F2:F274">
    <cfRule type="cellIs" dxfId="4" priority="6" operator="notEqual">
      <formula>"None"</formula>
    </cfRule>
  </conditionalFormatting>
  <conditionalFormatting sqref="G2:G274">
    <cfRule type="cellIs" dxfId="3" priority="7" operator="notEqual">
      <formula>"None"</formula>
    </cfRule>
  </conditionalFormatting>
  <conditionalFormatting sqref="H2:H274">
    <cfRule type="cellIs" dxfId="2" priority="8" operator="notEqual">
      <formula>"None"</formula>
    </cfRule>
  </conditionalFormatting>
  <conditionalFormatting sqref="I2:I274">
    <cfRule type="cellIs" dxfId="5" priority="9" operator="notEqual">
      <formula>"None"</formula>
    </cfRule>
  </conditionalFormatting>
  <conditionalFormatting sqref="J2:J274">
    <cfRule type="cellIs" dxfId="6" priority="10" operator="notEqual">
      <formula>"None"</formula>
    </cfRule>
  </conditionalFormatting>
  <conditionalFormatting sqref="K2:K274">
    <cfRule type="cellIs" dxfId="3" priority="11" operator="notEqual">
      <formula>"None"</formula>
    </cfRule>
  </conditionalFormatting>
  <conditionalFormatting sqref="L2:L274">
    <cfRule type="cellIs" dxfId="7" priority="12" operator="notEqual">
      <formula>"None"</formula>
    </cfRule>
  </conditionalFormatting>
  <conditionalFormatting sqref="M2:M274">
    <cfRule type="cellIs" dxfId="2" priority="13" operator="notEqual">
      <formula>"None"</formula>
    </cfRule>
  </conditionalFormatting>
  <conditionalFormatting sqref="N2:N274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294</v>
      </c>
      <c r="H1" s="1" t="s">
        <v>295</v>
      </c>
      <c r="I1" s="1" t="s">
        <v>296</v>
      </c>
    </row>
    <row r="2" spans="1:9">
      <c r="A2" s="1" t="s">
        <v>14</v>
      </c>
      <c r="B2">
        <f>HYPERLINK("https://www.suredividend.com/sure-analysis-research-database/","Ameris Bancorp")</f>
        <v>0</v>
      </c>
      <c r="C2">
        <v>0.014566242422839</v>
      </c>
      <c r="D2">
        <v>-0.006887120425749</v>
      </c>
      <c r="E2">
        <v>0.141155923266611</v>
      </c>
      <c r="F2">
        <v>0.022910479422995</v>
      </c>
      <c r="G2">
        <v>-0.02822618025578</v>
      </c>
      <c r="H2">
        <v>0.151148522509704</v>
      </c>
      <c r="I2">
        <v>-0.038277435619236</v>
      </c>
    </row>
    <row r="3" spans="1:9">
      <c r="A3" s="1" t="s">
        <v>15</v>
      </c>
      <c r="B3">
        <f>HYPERLINK("https://www.suredividend.com/sure-analysis-research-database/","Allegiance Bancshares Inc")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1" t="s">
        <v>16</v>
      </c>
      <c r="B4">
        <f>HYPERLINK("https://www.suredividend.com/sure-analysis-research-database/","Arch Capital Group Ltd")</f>
        <v>0</v>
      </c>
      <c r="C4">
        <v>-0.014204545454545</v>
      </c>
      <c r="D4">
        <v>0.295044578063446</v>
      </c>
      <c r="E4">
        <v>0.424401368301026</v>
      </c>
      <c r="F4">
        <v>-0.005097164702134001</v>
      </c>
      <c r="G4">
        <v>0.382164195618499</v>
      </c>
      <c r="H4">
        <v>0.817282513820192</v>
      </c>
      <c r="I4">
        <v>1.055734564711536</v>
      </c>
    </row>
    <row r="5" spans="1:9">
      <c r="A5" s="1" t="s">
        <v>17</v>
      </c>
      <c r="B5">
        <f>HYPERLINK("https://www.suredividend.com/sure-analysis-AEL/","American Equity Investment Life Holding Co")</f>
        <v>0</v>
      </c>
      <c r="C5">
        <v>0.008595988538681001</v>
      </c>
      <c r="D5">
        <v>0.136612021857923</v>
      </c>
      <c r="E5">
        <v>0.267238991968983</v>
      </c>
      <c r="F5">
        <v>0.003068829460762</v>
      </c>
      <c r="G5">
        <v>0.134357957362419</v>
      </c>
      <c r="H5">
        <v>0.516738481935697</v>
      </c>
      <c r="I5">
        <v>0.373419412154881</v>
      </c>
    </row>
    <row r="6" spans="1:9">
      <c r="A6" s="1" t="s">
        <v>18</v>
      </c>
      <c r="B6">
        <f>HYPERLINK("https://www.suredividend.com/sure-analysis-AFG/","American Financial Group Inc")</f>
        <v>0</v>
      </c>
      <c r="C6">
        <v>0.003098484231203</v>
      </c>
      <c r="D6">
        <v>0.07346288206519601</v>
      </c>
      <c r="E6">
        <v>0.043728919196363</v>
      </c>
      <c r="F6">
        <v>-0.000116342116065</v>
      </c>
      <c r="G6">
        <v>0.194765589002386</v>
      </c>
      <c r="H6">
        <v>1.172195578671948</v>
      </c>
      <c r="I6">
        <v>0.9533148460504871</v>
      </c>
    </row>
    <row r="7" spans="1:9">
      <c r="A7" s="1" t="s">
        <v>19</v>
      </c>
      <c r="B7">
        <f>HYPERLINK("https://www.suredividend.com/sure-analysis-AFL/","Aflac Inc.")</f>
        <v>0</v>
      </c>
      <c r="C7">
        <v>-0.005737475510775</v>
      </c>
      <c r="D7">
        <v>0.172150173801577</v>
      </c>
      <c r="E7">
        <v>0.307077720073807</v>
      </c>
      <c r="F7">
        <v>-0.012371420628301</v>
      </c>
      <c r="G7">
        <v>0.197803661351149</v>
      </c>
      <c r="H7">
        <v>0.601372153930066</v>
      </c>
      <c r="I7">
        <v>0.8042748998824231</v>
      </c>
    </row>
    <row r="8" spans="1:9">
      <c r="A8" s="1" t="s">
        <v>20</v>
      </c>
      <c r="B8">
        <f>HYPERLINK("https://www.suredividend.com/sure-analysis-AGO/","Assured Guaranty Ltd")</f>
        <v>0</v>
      </c>
      <c r="C8">
        <v>-0.033715012722646</v>
      </c>
      <c r="D8">
        <v>0.111387514998975</v>
      </c>
      <c r="E8">
        <v>0.09880173464552901</v>
      </c>
      <c r="F8">
        <v>-0.024092515258593</v>
      </c>
      <c r="G8">
        <v>0.197038531401575</v>
      </c>
      <c r="H8">
        <v>0.7272698844980651</v>
      </c>
      <c r="I8">
        <v>0.933775508905042</v>
      </c>
    </row>
    <row r="9" spans="1:9">
      <c r="A9" s="1" t="s">
        <v>21</v>
      </c>
      <c r="B9">
        <f>HYPERLINK("https://www.suredividend.com/sure-analysis-research-database/","American International Group Inc")</f>
        <v>0</v>
      </c>
      <c r="C9">
        <v>-0.013579662087478</v>
      </c>
      <c r="D9">
        <v>0.179081912879681</v>
      </c>
      <c r="E9">
        <v>0.223299678068725</v>
      </c>
      <c r="F9">
        <v>-0.012175838077166</v>
      </c>
      <c r="G9">
        <v>0.114779256932795</v>
      </c>
      <c r="H9">
        <v>0.595331732979212</v>
      </c>
      <c r="I9">
        <v>0.168261876175835</v>
      </c>
    </row>
    <row r="10" spans="1:9">
      <c r="A10" s="1" t="s">
        <v>22</v>
      </c>
      <c r="B10">
        <f>HYPERLINK("https://www.suredividend.com/sure-analysis-AIZ/","Assurant Inc")</f>
        <v>0</v>
      </c>
      <c r="C10">
        <v>0.043552173561078</v>
      </c>
      <c r="D10">
        <v>-0.122523994282213</v>
      </c>
      <c r="E10">
        <v>-0.233078922491056</v>
      </c>
      <c r="F10">
        <v>0.030785223092915</v>
      </c>
      <c r="G10">
        <v>-0.112358807829916</v>
      </c>
      <c r="H10">
        <v>-0.039717882209565</v>
      </c>
      <c r="I10">
        <v>0.485297387853767</v>
      </c>
    </row>
    <row r="11" spans="1:9">
      <c r="A11" s="1" t="s">
        <v>23</v>
      </c>
      <c r="B11">
        <f>HYPERLINK("https://www.suredividend.com/sure-analysis-AJG/","Arthur J. Gallagher &amp; Co.")</f>
        <v>0</v>
      </c>
      <c r="C11">
        <v>0.023327000211104</v>
      </c>
      <c r="D11">
        <v>0.108501676187165</v>
      </c>
      <c r="E11">
        <v>0.149443003277009</v>
      </c>
      <c r="F11">
        <v>0.028428980587673</v>
      </c>
      <c r="G11">
        <v>0.272601975519312</v>
      </c>
      <c r="H11">
        <v>0.669878966070195</v>
      </c>
      <c r="I11">
        <v>2.265920731943534</v>
      </c>
    </row>
    <row r="12" spans="1:9">
      <c r="A12" s="1" t="s">
        <v>24</v>
      </c>
      <c r="B12">
        <f>HYPERLINK("https://www.suredividend.com/sure-analysis-ALL/","Allstate Corp (The)")</f>
        <v>0</v>
      </c>
      <c r="C12">
        <v>-0.066770647653</v>
      </c>
      <c r="D12">
        <v>0.053130055066171</v>
      </c>
      <c r="E12">
        <v>0.09863782899022301</v>
      </c>
      <c r="F12">
        <v>-0.073377581120943</v>
      </c>
      <c r="G12">
        <v>0.08071890815136401</v>
      </c>
      <c r="H12">
        <v>0.196490041946189</v>
      </c>
      <c r="I12">
        <v>0.3508356044357721</v>
      </c>
    </row>
    <row r="13" spans="1:9">
      <c r="A13" s="1" t="s">
        <v>25</v>
      </c>
      <c r="B13">
        <f>HYPERLINK("https://www.suredividend.com/sure-analysis-research-database/","AMBAC Financial Group Inc.")</f>
        <v>0</v>
      </c>
      <c r="C13">
        <v>0.054268292682926</v>
      </c>
      <c r="D13">
        <v>0.299999999999999</v>
      </c>
      <c r="E13">
        <v>0.47274275979557</v>
      </c>
      <c r="F13">
        <v>-0.008600917431192</v>
      </c>
      <c r="G13">
        <v>0.204038997214484</v>
      </c>
      <c r="H13">
        <v>0.109756097560975</v>
      </c>
      <c r="I13">
        <v>0.08401253918495201</v>
      </c>
    </row>
    <row r="14" spans="1:9">
      <c r="A14" s="1" t="s">
        <v>26</v>
      </c>
      <c r="B14">
        <f>HYPERLINK("https://www.suredividend.com/sure-analysis-AMP/","Ameriprise Financial Inc")</f>
        <v>0</v>
      </c>
      <c r="C14">
        <v>0.064594447816503</v>
      </c>
      <c r="D14">
        <v>0.253167703358188</v>
      </c>
      <c r="E14">
        <v>0.370187998427727</v>
      </c>
      <c r="F14">
        <v>0.07027009666955701</v>
      </c>
      <c r="G14">
        <v>0.132077522766393</v>
      </c>
      <c r="H14">
        <v>0.6268199514272811</v>
      </c>
      <c r="I14">
        <v>1.086919819068905</v>
      </c>
    </row>
    <row r="15" spans="1:9">
      <c r="A15" s="1" t="s">
        <v>27</v>
      </c>
      <c r="B15">
        <f>HYPERLINK("https://www.suredividend.com/sure-analysis-research-database/","Amerisafe Inc")</f>
        <v>0</v>
      </c>
      <c r="C15">
        <v>-0.013063233623627</v>
      </c>
      <c r="D15">
        <v>-0.000502337210149</v>
      </c>
      <c r="E15">
        <v>0.114572398030416</v>
      </c>
      <c r="F15">
        <v>0.003078699249567</v>
      </c>
      <c r="G15">
        <v>0.005718298555377001</v>
      </c>
      <c r="H15">
        <v>0.04033830452596</v>
      </c>
      <c r="I15">
        <v>0.097757945741739</v>
      </c>
    </row>
    <row r="16" spans="1:9">
      <c r="A16" s="1" t="s">
        <v>28</v>
      </c>
      <c r="B16">
        <f>HYPERLINK("https://www.suredividend.com/sure-analysis-research-database/","American National Group Inc")</f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s="1" t="s">
        <v>29</v>
      </c>
      <c r="B17">
        <f>HYPERLINK("https://www.suredividend.com/sure-analysis-AON/","Aon plc.")</f>
        <v>0</v>
      </c>
      <c r="C17">
        <v>0.073821073821073</v>
      </c>
      <c r="D17">
        <v>0.163898681439428</v>
      </c>
      <c r="E17">
        <v>0.1638441478919</v>
      </c>
      <c r="F17">
        <v>0.084160724995002</v>
      </c>
      <c r="G17">
        <v>0.230580725187952</v>
      </c>
      <c r="H17">
        <v>0.5775417013501211</v>
      </c>
      <c r="I17">
        <v>1.116404869422242</v>
      </c>
    </row>
    <row r="18" spans="1:9">
      <c r="A18" s="1" t="s">
        <v>30</v>
      </c>
      <c r="B18">
        <f>HYPERLINK("https://www.suredividend.com/sure-analysis-research-database/","Argo Group International Holdings Ltd")</f>
        <v>0</v>
      </c>
      <c r="C18">
        <v>0.038022813688213</v>
      </c>
      <c r="D18">
        <v>0.211658551957072</v>
      </c>
      <c r="E18">
        <v>-0.17118517484046</v>
      </c>
      <c r="F18">
        <v>0.056092843326885</v>
      </c>
      <c r="G18">
        <v>-0.504875076173065</v>
      </c>
      <c r="H18">
        <v>-0.343950284408365</v>
      </c>
      <c r="I18">
        <v>-0.4988830415045991</v>
      </c>
    </row>
    <row r="19" spans="1:9">
      <c r="A19" s="1" t="s">
        <v>31</v>
      </c>
      <c r="B19">
        <f>HYPERLINK("https://www.suredividend.com/sure-analysis-ARI/","Apollo Commercial Real Estate Finance Inc")</f>
        <v>0</v>
      </c>
      <c r="C19">
        <v>0.05850741407543401</v>
      </c>
      <c r="D19">
        <v>0.272430668841761</v>
      </c>
      <c r="E19">
        <v>0.09916951636541201</v>
      </c>
      <c r="F19">
        <v>0.08736059479553801</v>
      </c>
      <c r="G19">
        <v>0.0008554319931560001</v>
      </c>
      <c r="H19">
        <v>0.252381665988739</v>
      </c>
      <c r="I19">
        <v>0.134215500945179</v>
      </c>
    </row>
    <row r="20" spans="1:9">
      <c r="A20" s="1" t="s">
        <v>32</v>
      </c>
      <c r="B20">
        <f>HYPERLINK("https://www.suredividend.com/sure-analysis-ARR/","ARMOUR Residential REIT Inc")</f>
        <v>0</v>
      </c>
      <c r="C20">
        <v>0.07646229739252901</v>
      </c>
      <c r="D20">
        <v>0.341265311498441</v>
      </c>
      <c r="E20">
        <v>-0.061169926706719</v>
      </c>
      <c r="F20">
        <v>0.103226621887583</v>
      </c>
      <c r="G20">
        <v>-0.211653592072667</v>
      </c>
      <c r="H20">
        <v>-0.276563499017262</v>
      </c>
      <c r="I20">
        <v>-0.549513016935656</v>
      </c>
    </row>
    <row r="21" spans="1:9">
      <c r="A21" s="1" t="s">
        <v>33</v>
      </c>
      <c r="B21">
        <f>HYPERLINK("https://www.suredividend.com/sure-analysis-ASB/","Associated Banc-Corp.")</f>
        <v>0</v>
      </c>
      <c r="C21">
        <v>-0.011489173663278</v>
      </c>
      <c r="D21">
        <v>0.002343431446788</v>
      </c>
      <c r="E21">
        <v>0.180686772296876</v>
      </c>
      <c r="F21">
        <v>-0.031182330012992</v>
      </c>
      <c r="G21">
        <v>-0.05581935211564801</v>
      </c>
      <c r="H21">
        <v>0.241350225019005</v>
      </c>
      <c r="I21">
        <v>-0.000478090497616</v>
      </c>
    </row>
    <row r="22" spans="1:9">
      <c r="A22" s="1" t="s">
        <v>34</v>
      </c>
      <c r="B22">
        <f>HYPERLINK("https://www.suredividend.com/sure-analysis-research-database/","Athene Holding Ltd")</f>
        <v>0</v>
      </c>
      <c r="C22">
        <v>0.01055056997332</v>
      </c>
      <c r="D22">
        <v>0.196582423894313</v>
      </c>
      <c r="E22">
        <v>0.18856083297675</v>
      </c>
      <c r="F22">
        <v>0</v>
      </c>
      <c r="G22">
        <v>0.9316179879462211</v>
      </c>
      <c r="H22">
        <v>0.7524710830704521</v>
      </c>
      <c r="I22">
        <v>0.73640341737862</v>
      </c>
    </row>
    <row r="23" spans="1:9">
      <c r="A23" s="1" t="s">
        <v>35</v>
      </c>
      <c r="B23">
        <f>HYPERLINK("https://www.suredividend.com/sure-analysis-research-database/","Atlantic Union Bankshares Corp")</f>
        <v>0</v>
      </c>
      <c r="C23">
        <v>0.049322180559561</v>
      </c>
      <c r="D23">
        <v>0.142232785660237</v>
      </c>
      <c r="E23">
        <v>0.07323865547210101</v>
      </c>
      <c r="F23">
        <v>0.03528742174160501</v>
      </c>
      <c r="G23">
        <v>-0.036587432735901</v>
      </c>
      <c r="H23">
        <v>0.090982153835081</v>
      </c>
      <c r="I23">
        <v>-0.027035990040357</v>
      </c>
    </row>
    <row r="24" spans="1:9">
      <c r="A24" s="1" t="s">
        <v>36</v>
      </c>
      <c r="B24">
        <f>HYPERLINK("https://www.suredividend.com/sure-analysis-research-database/","Axos Financial Inc.")</f>
        <v>0</v>
      </c>
      <c r="C24">
        <v>0.09507505925730801</v>
      </c>
      <c r="D24">
        <v>0.194141298104537</v>
      </c>
      <c r="E24">
        <v>0.033557046979865</v>
      </c>
      <c r="F24">
        <v>0.087912087912087</v>
      </c>
      <c r="G24">
        <v>-0.228141822906998</v>
      </c>
      <c r="H24">
        <v>0.013651877133105</v>
      </c>
      <c r="I24">
        <v>0.280961182994454</v>
      </c>
    </row>
    <row r="25" spans="1:9">
      <c r="A25" s="1" t="s">
        <v>37</v>
      </c>
      <c r="B25">
        <f>HYPERLINK("https://www.suredividend.com/sure-analysis-AXP/","American Express Co.")</f>
        <v>0</v>
      </c>
      <c r="C25">
        <v>0.034163552010718</v>
      </c>
      <c r="D25">
        <v>0.08629993773122301</v>
      </c>
      <c r="E25">
        <v>0.016821146123771</v>
      </c>
      <c r="F25">
        <v>0.029614315713979</v>
      </c>
      <c r="G25">
        <v>-0.031669393024059</v>
      </c>
      <c r="H25">
        <v>0.219102271100682</v>
      </c>
      <c r="I25">
        <v>0.654521503868371</v>
      </c>
    </row>
    <row r="26" spans="1:9">
      <c r="A26" s="1" t="s">
        <v>38</v>
      </c>
      <c r="B26">
        <f>HYPERLINK("https://www.suredividend.com/sure-analysis-AXS/","Axis Capital Holdings Ltd")</f>
        <v>0</v>
      </c>
      <c r="C26">
        <v>0.048666427790487</v>
      </c>
      <c r="D26">
        <v>0.14031669913582</v>
      </c>
      <c r="E26">
        <v>0.07470185356410401</v>
      </c>
      <c r="F26">
        <v>0.05353516706664101</v>
      </c>
      <c r="G26">
        <v>0.055891772480947</v>
      </c>
      <c r="H26">
        <v>0.220090988387008</v>
      </c>
      <c r="I26">
        <v>0.376590484230838</v>
      </c>
    </row>
    <row r="27" spans="1:9">
      <c r="A27" s="1" t="s">
        <v>39</v>
      </c>
      <c r="B27">
        <f>HYPERLINK("https://www.suredividend.com/sure-analysis-BAC/","Bank Of America Corp.")</f>
        <v>0</v>
      </c>
      <c r="C27">
        <v>0.035801713586291</v>
      </c>
      <c r="D27">
        <v>-0.025812374629103</v>
      </c>
      <c r="E27">
        <v>0.018492330466911</v>
      </c>
      <c r="F27">
        <v>0.022041062801932</v>
      </c>
      <c r="G27">
        <v>-0.228892498274404</v>
      </c>
      <c r="H27">
        <v>0.111267961668642</v>
      </c>
      <c r="I27">
        <v>0.183744409124448</v>
      </c>
    </row>
    <row r="28" spans="1:9">
      <c r="A28" s="1" t="s">
        <v>40</v>
      </c>
      <c r="B28">
        <f>HYPERLINK("https://www.suredividend.com/sure-analysis-research-database/","Banc of California Inc")</f>
        <v>0</v>
      </c>
      <c r="C28">
        <v>0.08956185567010301</v>
      </c>
      <c r="D28">
        <v>0.087403863466831</v>
      </c>
      <c r="E28">
        <v>-0.05259737349289501</v>
      </c>
      <c r="F28">
        <v>0.061519146264908</v>
      </c>
      <c r="G28">
        <v>-0.15028114588934</v>
      </c>
      <c r="H28">
        <v>-0.015561234885575</v>
      </c>
      <c r="I28">
        <v>-0.141423885780435</v>
      </c>
    </row>
    <row r="29" spans="1:9">
      <c r="A29" s="1" t="s">
        <v>41</v>
      </c>
      <c r="B29">
        <f>HYPERLINK("https://www.suredividend.com/sure-analysis-BANF/","Bancfirst Corp.")</f>
        <v>0</v>
      </c>
      <c r="C29">
        <v>-0.066369216124586</v>
      </c>
      <c r="D29">
        <v>-0.174277517765302</v>
      </c>
      <c r="E29">
        <v>-0.08106661989482999</v>
      </c>
      <c r="F29">
        <v>-0.06123837604899</v>
      </c>
      <c r="G29">
        <v>0.124068481543442</v>
      </c>
      <c r="H29">
        <v>0.367997646739974</v>
      </c>
      <c r="I29">
        <v>0.6521338232388451</v>
      </c>
    </row>
    <row r="30" spans="1:9">
      <c r="A30" s="1" t="s">
        <v>42</v>
      </c>
      <c r="B30">
        <f>HYPERLINK("https://www.suredividend.com/sure-analysis-research-database/","Banner Corp.")</f>
        <v>0</v>
      </c>
      <c r="C30">
        <v>0.026118808727504</v>
      </c>
      <c r="D30">
        <v>-0.02263725628505</v>
      </c>
      <c r="E30">
        <v>0.10178751900297</v>
      </c>
      <c r="F30">
        <v>0.019462025316455</v>
      </c>
      <c r="G30">
        <v>0.066668874062546</v>
      </c>
      <c r="H30">
        <v>0.356898109440582</v>
      </c>
      <c r="I30">
        <v>0.310261238799839</v>
      </c>
    </row>
    <row r="31" spans="1:9">
      <c r="A31" s="1" t="s">
        <v>43</v>
      </c>
      <c r="B31">
        <f>HYPERLINK("https://www.suredividend.com/sure-analysis-research-database/","Blucora Inc")</f>
        <v>0</v>
      </c>
      <c r="C31">
        <v>0.06447831184056201</v>
      </c>
      <c r="D31">
        <v>0.312771084337349</v>
      </c>
      <c r="E31">
        <v>0.401955738548636</v>
      </c>
      <c r="F31">
        <v>0.06698002350176201</v>
      </c>
      <c r="G31">
        <v>0.712130735386549</v>
      </c>
      <c r="H31">
        <v>0.5901926444833621</v>
      </c>
      <c r="I31">
        <v>0.132640332640332</v>
      </c>
    </row>
    <row r="32" spans="1:9">
      <c r="A32" s="1" t="s">
        <v>44</v>
      </c>
      <c r="B32">
        <f>HYPERLINK("https://www.suredividend.com/sure-analysis-BEN/","Franklin Resources, Inc.")</f>
        <v>0</v>
      </c>
      <c r="C32">
        <v>0.129263873329974</v>
      </c>
      <c r="D32">
        <v>0.348802959823272</v>
      </c>
      <c r="E32">
        <v>0.201244431648232</v>
      </c>
      <c r="F32">
        <v>0.13874147081122</v>
      </c>
      <c r="G32">
        <v>-0.011422610252376</v>
      </c>
      <c r="H32">
        <v>0.232016011286644</v>
      </c>
      <c r="I32">
        <v>-0.182867417246285</v>
      </c>
    </row>
    <row r="33" spans="1:9">
      <c r="A33" s="1" t="s">
        <v>45</v>
      </c>
      <c r="B33">
        <f>HYPERLINK("https://www.suredividend.com/sure-analysis-research-database/","Brighthouse Financial Inc")</f>
        <v>0</v>
      </c>
      <c r="C33">
        <v>0.019219680953296</v>
      </c>
      <c r="D33">
        <v>0.016874400767018</v>
      </c>
      <c r="E33">
        <v>0.262318495596286</v>
      </c>
      <c r="F33">
        <v>0.034328067095767</v>
      </c>
      <c r="G33">
        <v>0.008366609621601</v>
      </c>
      <c r="H33">
        <v>0.281227349601353</v>
      </c>
      <c r="I33">
        <v>-0.173858856519707</v>
      </c>
    </row>
    <row r="34" spans="1:9">
      <c r="A34" s="1" t="s">
        <v>46</v>
      </c>
      <c r="B34">
        <f>HYPERLINK("https://www.suredividend.com/sure-analysis-research-database/","Berkshire Hills Bancorp Inc.")</f>
        <v>0</v>
      </c>
      <c r="C34">
        <v>-0.03721244925575001</v>
      </c>
      <c r="D34">
        <v>0.011573020928116</v>
      </c>
      <c r="E34">
        <v>0.050296895239712</v>
      </c>
      <c r="F34">
        <v>-0.048160535117056</v>
      </c>
      <c r="G34">
        <v>-0.018722201151604</v>
      </c>
      <c r="H34">
        <v>0.57166366618438</v>
      </c>
      <c r="I34">
        <v>-0.15928902910585</v>
      </c>
    </row>
    <row r="35" spans="1:9">
      <c r="A35" s="1" t="s">
        <v>47</v>
      </c>
      <c r="B35">
        <f>HYPERLINK("https://www.suredividend.com/sure-analysis-BK/","Bank Of New York Mellon Corp")</f>
        <v>0</v>
      </c>
      <c r="C35">
        <v>0.107978389471055</v>
      </c>
      <c r="D35">
        <v>0.244358185117233</v>
      </c>
      <c r="E35">
        <v>0.161227637406434</v>
      </c>
      <c r="F35">
        <v>0.08996650854330901</v>
      </c>
      <c r="G35">
        <v>-0.10478586856133</v>
      </c>
      <c r="H35">
        <v>0.24401865522695</v>
      </c>
      <c r="I35">
        <v>0.002573625228042</v>
      </c>
    </row>
    <row r="36" spans="1:9">
      <c r="A36" s="1" t="s">
        <v>48</v>
      </c>
      <c r="B36">
        <f>HYPERLINK("https://www.suredividend.com/sure-analysis-research-database/","BankUnited Inc")</f>
        <v>0</v>
      </c>
      <c r="C36">
        <v>0.049918157162144</v>
      </c>
      <c r="D36">
        <v>0.031862989731275</v>
      </c>
      <c r="E36">
        <v>-0.06285159728480201</v>
      </c>
      <c r="F36">
        <v>0.042191715835977</v>
      </c>
      <c r="G36">
        <v>-0.139688623575224</v>
      </c>
      <c r="H36">
        <v>0.005115652638893</v>
      </c>
      <c r="I36">
        <v>-0.06217399540558601</v>
      </c>
    </row>
    <row r="37" spans="1:9">
      <c r="A37" s="1" t="s">
        <v>49</v>
      </c>
      <c r="B37">
        <f>HYPERLINK("https://www.suredividend.com/sure-analysis-BLK/","Blackrock Inc.")</f>
        <v>0</v>
      </c>
      <c r="C37">
        <v>0.040354026986843</v>
      </c>
      <c r="D37">
        <v>0.250415563274524</v>
      </c>
      <c r="E37">
        <v>0.168170683862814</v>
      </c>
      <c r="F37">
        <v>0.046681625107602</v>
      </c>
      <c r="G37">
        <v>-0.05461358791420601</v>
      </c>
      <c r="H37">
        <v>0.040296681825124</v>
      </c>
      <c r="I37">
        <v>0.406707993016814</v>
      </c>
    </row>
    <row r="38" spans="1:9">
      <c r="A38" s="1" t="s">
        <v>50</v>
      </c>
      <c r="B38">
        <f>HYPERLINK("https://www.suredividend.com/sure-analysis-research-database/","Bryn Mawr Bank Corp.")</f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>
      <c r="A39" s="1" t="s">
        <v>51</v>
      </c>
      <c r="B39">
        <f>HYPERLINK("https://www.suredividend.com/sure-analysis-research-database/","Bank of Hawaii Corp.")</f>
        <v>0</v>
      </c>
      <c r="C39">
        <v>0.024931471087325</v>
      </c>
      <c r="D39">
        <v>0.046344590110631</v>
      </c>
      <c r="E39">
        <v>0.039002282576333</v>
      </c>
      <c r="F39">
        <v>0.012377514182568</v>
      </c>
      <c r="G39">
        <v>-0.070890179976571</v>
      </c>
      <c r="H39">
        <v>0.021509992636593</v>
      </c>
      <c r="I39">
        <v>0.058499201272571</v>
      </c>
    </row>
    <row r="40" spans="1:9">
      <c r="A40" s="1" t="s">
        <v>52</v>
      </c>
      <c r="B40">
        <f>HYPERLINK("https://www.suredividend.com/sure-analysis-BOKF/","BOK Financial Corp.")</f>
        <v>0</v>
      </c>
      <c r="C40">
        <v>-0.054365733113673</v>
      </c>
      <c r="D40">
        <v>0.027628440391126</v>
      </c>
      <c r="E40">
        <v>0.260417366324458</v>
      </c>
      <c r="F40">
        <v>-0.059832353791309</v>
      </c>
      <c r="G40">
        <v>-0.010089820298535</v>
      </c>
      <c r="H40">
        <v>0.304426870284519</v>
      </c>
      <c r="I40">
        <v>0.140407568903032</v>
      </c>
    </row>
    <row r="41" spans="1:9">
      <c r="A41" s="1" t="s">
        <v>53</v>
      </c>
      <c r="B41">
        <f>HYPERLINK("https://www.suredividend.com/sure-analysis-research-database/","Popular Inc.")</f>
        <v>0</v>
      </c>
      <c r="C41">
        <v>0.073958495865189</v>
      </c>
      <c r="D41">
        <v>-0.041208664921721</v>
      </c>
      <c r="E41">
        <v>-0.124435042442575</v>
      </c>
      <c r="F41">
        <v>0.037846803377563</v>
      </c>
      <c r="G41">
        <v>-0.203981135174018</v>
      </c>
      <c r="H41">
        <v>0.213686818370171</v>
      </c>
      <c r="I41">
        <v>1.027518638855422</v>
      </c>
    </row>
    <row r="42" spans="1:9">
      <c r="A42" s="1" t="s">
        <v>54</v>
      </c>
      <c r="B42">
        <f>HYPERLINK("https://www.suredividend.com/sure-analysis-research-database/","Berkshire Hathaway Inc.")</f>
        <v>0</v>
      </c>
      <c r="C42">
        <v>0.006659736209473001</v>
      </c>
      <c r="D42">
        <v>0.096846129340554</v>
      </c>
      <c r="E42">
        <v>0.08025100226599201</v>
      </c>
      <c r="F42">
        <v>0.003140174813855</v>
      </c>
      <c r="G42">
        <v>0.015234912522115</v>
      </c>
      <c r="H42">
        <v>0.323325930987359</v>
      </c>
      <c r="I42">
        <v>0.4530832356389211</v>
      </c>
    </row>
    <row r="43" spans="1:9">
      <c r="A43" s="1" t="s">
        <v>55</v>
      </c>
      <c r="B43">
        <f>HYPERLINK("https://www.suredividend.com/sure-analysis-research-database/","Brookline Bancorp, Inc.")</f>
        <v>0</v>
      </c>
      <c r="C43">
        <v>-0.039454806312768</v>
      </c>
      <c r="D43">
        <v>0.08540579099251</v>
      </c>
      <c r="E43">
        <v>0.011336943632504</v>
      </c>
      <c r="F43">
        <v>-0.05371024734982301</v>
      </c>
      <c r="G43">
        <v>-0.15683286525698</v>
      </c>
      <c r="H43">
        <v>0.115638096666416</v>
      </c>
      <c r="I43">
        <v>-0.038364861176943</v>
      </c>
    </row>
    <row r="44" spans="1:9">
      <c r="A44" s="1" t="s">
        <v>56</v>
      </c>
      <c r="B44">
        <f>HYPERLINK("https://www.suredividend.com/sure-analysis-BRO/","Brown &amp; Brown, Inc.")</f>
        <v>0</v>
      </c>
      <c r="C44">
        <v>0.08318708318708301</v>
      </c>
      <c r="D44">
        <v>0.005054584299523</v>
      </c>
      <c r="E44">
        <v>-0.006763726599324</v>
      </c>
      <c r="F44">
        <v>0.083377216078637</v>
      </c>
      <c r="G44">
        <v>-0.015688069444067</v>
      </c>
      <c r="H44">
        <v>0.318758333048442</v>
      </c>
      <c r="I44">
        <v>1.454514724304547</v>
      </c>
    </row>
    <row r="45" spans="1:9">
      <c r="A45" s="1" t="s">
        <v>57</v>
      </c>
      <c r="B45">
        <f>HYPERLINK("https://www.suredividend.com/sure-analysis-research-database/","BrightSphere Investment Group Inc")</f>
        <v>0</v>
      </c>
      <c r="C45">
        <v>0.165985699693564</v>
      </c>
      <c r="D45">
        <v>0.313503250676025</v>
      </c>
      <c r="E45">
        <v>0.222856653132934</v>
      </c>
      <c r="F45">
        <v>0.109329446064139</v>
      </c>
      <c r="G45">
        <v>0.047444702902839</v>
      </c>
      <c r="H45">
        <v>0.104857404190037</v>
      </c>
      <c r="I45">
        <v>0.250513515734122</v>
      </c>
    </row>
    <row r="46" spans="1:9">
      <c r="A46" s="1" t="s">
        <v>58</v>
      </c>
      <c r="B46">
        <f>HYPERLINK("https://www.suredividend.com/sure-analysis-research-database/","First Busey Corp.")</f>
        <v>0</v>
      </c>
      <c r="C46">
        <v>-0.029874848607186</v>
      </c>
      <c r="D46">
        <v>0.014737553312782</v>
      </c>
      <c r="E46">
        <v>0.010151964184374</v>
      </c>
      <c r="F46">
        <v>-0.018101581334531</v>
      </c>
      <c r="G46">
        <v>-0.093080920732328</v>
      </c>
      <c r="H46">
        <v>0.134410937175444</v>
      </c>
      <c r="I46">
        <v>-0.108414959928762</v>
      </c>
    </row>
    <row r="47" spans="1:9">
      <c r="A47" s="1" t="s">
        <v>59</v>
      </c>
      <c r="B47">
        <f>HYPERLINK("https://www.suredividend.com/sure-analysis-C/","Citigroup Inc")</f>
        <v>0</v>
      </c>
      <c r="C47">
        <v>0.140147288551662</v>
      </c>
      <c r="D47">
        <v>0.167672676825045</v>
      </c>
      <c r="E47">
        <v>-0.007589251894399</v>
      </c>
      <c r="F47">
        <v>0.129560026531063</v>
      </c>
      <c r="G47">
        <v>-0.160047940892627</v>
      </c>
      <c r="H47">
        <v>-0.114811189174672</v>
      </c>
      <c r="I47">
        <v>-0.235061693644379</v>
      </c>
    </row>
    <row r="48" spans="1:9">
      <c r="A48" s="1" t="s">
        <v>60</v>
      </c>
      <c r="B48">
        <f>HYPERLINK("https://www.suredividend.com/sure-analysis-research-database/","Camden National Corp.")</f>
        <v>0</v>
      </c>
      <c r="C48">
        <v>0.038611835447245</v>
      </c>
      <c r="D48">
        <v>-0.011969736009931</v>
      </c>
      <c r="E48">
        <v>-0.041130456724703</v>
      </c>
      <c r="F48">
        <v>0.02191867775643</v>
      </c>
      <c r="G48">
        <v>-0.11370169274992</v>
      </c>
      <c r="H48">
        <v>0.18996233760738</v>
      </c>
      <c r="I48">
        <v>0.143411693268563</v>
      </c>
    </row>
    <row r="49" spans="1:9">
      <c r="A49" s="1" t="s">
        <v>61</v>
      </c>
      <c r="B49">
        <f>HYPERLINK("https://www.suredividend.com/sure-analysis-research-database/","Cadence Bank")</f>
        <v>0</v>
      </c>
      <c r="C49">
        <v>0.022103970528039</v>
      </c>
      <c r="D49">
        <v>-0.06858594411515601</v>
      </c>
      <c r="E49">
        <v>0.04833597131665401</v>
      </c>
      <c r="F49">
        <v>0.012570965125709</v>
      </c>
      <c r="G49">
        <v>-0.178434649855888</v>
      </c>
      <c r="H49">
        <v>-0.137755401546308</v>
      </c>
      <c r="I49">
        <v>-0.216416036954284</v>
      </c>
    </row>
    <row r="50" spans="1:9">
      <c r="A50" s="1" t="s">
        <v>62</v>
      </c>
      <c r="B50">
        <f>HYPERLINK("https://www.suredividend.com/sure-analysis-research-database/","Cathay General Bancorp")</f>
        <v>0</v>
      </c>
      <c r="C50">
        <v>0.022974607013301</v>
      </c>
      <c r="D50">
        <v>0.024153560083675</v>
      </c>
      <c r="E50">
        <v>0.040736339412906</v>
      </c>
      <c r="F50">
        <v>0.037018877175778</v>
      </c>
      <c r="G50">
        <v>0.005359540814507</v>
      </c>
      <c r="H50">
        <v>0.256747964098008</v>
      </c>
      <c r="I50">
        <v>0.09724495539686201</v>
      </c>
    </row>
    <row r="51" spans="1:9">
      <c r="A51" s="1" t="s">
        <v>63</v>
      </c>
      <c r="B51">
        <f>HYPERLINK("https://www.suredividend.com/sure-analysis-CB/","Chubb Limited")</f>
        <v>0</v>
      </c>
      <c r="C51">
        <v>0.007633936734320001</v>
      </c>
      <c r="D51">
        <v>0.118747741492786</v>
      </c>
      <c r="E51">
        <v>0.207713852411592</v>
      </c>
      <c r="F51">
        <v>-0.0007706255666360001</v>
      </c>
      <c r="G51">
        <v>0.166659874426474</v>
      </c>
      <c r="H51">
        <v>0.450893224447777</v>
      </c>
      <c r="I51">
        <v>0.645789733431788</v>
      </c>
    </row>
    <row r="52" spans="1:9">
      <c r="A52" s="1" t="s">
        <v>64</v>
      </c>
      <c r="B52">
        <f>HYPERLINK("https://www.suredividend.com/sure-analysis-CBOE/","Cboe Global Markets Inc.")</f>
        <v>0</v>
      </c>
      <c r="C52">
        <v>-0.030826531420873</v>
      </c>
      <c r="D52">
        <v>0.024379906742061</v>
      </c>
      <c r="E52">
        <v>-0.005606169632367</v>
      </c>
      <c r="F52">
        <v>-0.025265003586514</v>
      </c>
      <c r="G52">
        <v>0.05307207731598301</v>
      </c>
      <c r="H52">
        <v>0.314616971350379</v>
      </c>
      <c r="I52">
        <v>-0.008565411173783</v>
      </c>
    </row>
    <row r="53" spans="1:9">
      <c r="A53" s="1" t="s">
        <v>65</v>
      </c>
      <c r="B53">
        <f>HYPERLINK("https://www.suredividend.com/sure-analysis-CBSH/","Commerce Bancshares, Inc.")</f>
        <v>0</v>
      </c>
      <c r="C53">
        <v>-0.007417499243112</v>
      </c>
      <c r="D53">
        <v>0.002015645319775</v>
      </c>
      <c r="E53">
        <v>0.012775146000565</v>
      </c>
      <c r="F53">
        <v>-0.036726898780666</v>
      </c>
      <c r="G53">
        <v>0.020304955566862</v>
      </c>
      <c r="H53">
        <v>0.07961879923074801</v>
      </c>
      <c r="I53">
        <v>0.3588905053820931</v>
      </c>
    </row>
    <row r="54" spans="1:9">
      <c r="A54" s="1" t="s">
        <v>66</v>
      </c>
      <c r="B54">
        <f>HYPERLINK("https://www.suredividend.com/sure-analysis-CBU/","Community Bank System, Inc.")</f>
        <v>0</v>
      </c>
      <c r="C54">
        <v>-0.013756271241301</v>
      </c>
      <c r="D54">
        <v>0.007191153113218001</v>
      </c>
      <c r="E54">
        <v>-0.06053636066524001</v>
      </c>
      <c r="F54">
        <v>-0.031930103256552</v>
      </c>
      <c r="G54">
        <v>-0.119764846926615</v>
      </c>
      <c r="H54">
        <v>-0.058069242884898</v>
      </c>
      <c r="I54">
        <v>0.248842146680547</v>
      </c>
    </row>
    <row r="55" spans="1:9">
      <c r="A55" s="1" t="s">
        <v>67</v>
      </c>
      <c r="B55">
        <f>HYPERLINK("https://www.suredividend.com/sure-analysis-research-database/","Capitol Federal Financial")</f>
        <v>0</v>
      </c>
      <c r="C55">
        <v>0.011890606420927</v>
      </c>
      <c r="D55">
        <v>0.07692891762949</v>
      </c>
      <c r="E55">
        <v>-0.04001263438131</v>
      </c>
      <c r="F55">
        <v>-0.016184971098266</v>
      </c>
      <c r="G55">
        <v>-0.191310627945871</v>
      </c>
      <c r="H55">
        <v>-0.223646398759293</v>
      </c>
      <c r="I55">
        <v>-0.111746654698035</v>
      </c>
    </row>
    <row r="56" spans="1:9">
      <c r="A56" s="1" t="s">
        <v>68</v>
      </c>
      <c r="B56">
        <f>HYPERLINK("https://www.suredividend.com/sure-analysis-CFG/","Citizens Financial Group Inc")</f>
        <v>0</v>
      </c>
      <c r="C56">
        <v>0.066149870801033</v>
      </c>
      <c r="D56">
        <v>0.098789893050406</v>
      </c>
      <c r="E56">
        <v>0.122919700083008</v>
      </c>
      <c r="F56">
        <v>0.048006096012191</v>
      </c>
      <c r="G56">
        <v>-0.152531928965497</v>
      </c>
      <c r="H56">
        <v>0.142980614206645</v>
      </c>
      <c r="I56">
        <v>0.07070937740040201</v>
      </c>
    </row>
    <row r="57" spans="1:9">
      <c r="A57" s="1" t="s">
        <v>69</v>
      </c>
      <c r="B57">
        <f>HYPERLINK("https://www.suredividend.com/sure-analysis-CFR/","Cullen Frost Bankers Inc.")</f>
        <v>0</v>
      </c>
      <c r="C57">
        <v>0.026784343821949</v>
      </c>
      <c r="D57">
        <v>-0.052714233218229</v>
      </c>
      <c r="E57">
        <v>0.085495223220624</v>
      </c>
      <c r="F57">
        <v>0.000673148840688</v>
      </c>
      <c r="G57">
        <v>0.040661157024793</v>
      </c>
      <c r="H57">
        <v>0.478051830689654</v>
      </c>
      <c r="I57">
        <v>0.501618457145679</v>
      </c>
    </row>
    <row r="58" spans="1:9">
      <c r="A58" s="1" t="s">
        <v>70</v>
      </c>
      <c r="B58">
        <f>HYPERLINK("https://www.suredividend.com/sure-analysis-research-database/","City Holding Co.")</f>
        <v>0</v>
      </c>
      <c r="C58">
        <v>-0.038035839397547</v>
      </c>
      <c r="D58">
        <v>-0.104447152177958</v>
      </c>
      <c r="E58">
        <v>0.111875656729505</v>
      </c>
      <c r="F58">
        <v>-0.031525196356319</v>
      </c>
      <c r="G58">
        <v>0.156305299732623</v>
      </c>
      <c r="H58">
        <v>0.342791271856732</v>
      </c>
      <c r="I58">
        <v>0.505357539231447</v>
      </c>
    </row>
    <row r="59" spans="1:9">
      <c r="A59" s="1" t="s">
        <v>71</v>
      </c>
      <c r="B59">
        <f>HYPERLINK("https://www.suredividend.com/sure-analysis-CINF/","Cincinnati Financial Corp.")</f>
        <v>0</v>
      </c>
      <c r="C59">
        <v>-0.01740793878527</v>
      </c>
      <c r="D59">
        <v>0.04192339484667301</v>
      </c>
      <c r="E59">
        <v>-0.05954792753584701</v>
      </c>
      <c r="F59">
        <v>0.003320636780935</v>
      </c>
      <c r="G59">
        <v>-0.08012321137556101</v>
      </c>
      <c r="H59">
        <v>0.218982571385176</v>
      </c>
      <c r="I59">
        <v>0.556416106853806</v>
      </c>
    </row>
    <row r="60" spans="1:9">
      <c r="A60" s="1" t="s">
        <v>72</v>
      </c>
      <c r="B60">
        <f>HYPERLINK("https://www.suredividend.com/sure-analysis-research-database/","CIT Group Inc")</f>
        <v>0</v>
      </c>
      <c r="C60">
        <v>0.120418848167539</v>
      </c>
      <c r="D60">
        <v>0.009009416792557</v>
      </c>
      <c r="E60">
        <v>0.07937545520390001</v>
      </c>
      <c r="F60">
        <v>0.042072458122321</v>
      </c>
      <c r="G60">
        <v>0.535705879313611</v>
      </c>
      <c r="H60">
        <v>0.293020108275328</v>
      </c>
      <c r="I60">
        <v>0.448208282127214</v>
      </c>
    </row>
    <row r="61" spans="1:9">
      <c r="A61" s="1" t="s">
        <v>73</v>
      </c>
      <c r="B61">
        <f>HYPERLINK("https://www.suredividend.com/sure-analysis-CMA/","Comerica, Inc.")</f>
        <v>0</v>
      </c>
      <c r="C61">
        <v>0.063047824081193</v>
      </c>
      <c r="D61">
        <v>0.06897047612715</v>
      </c>
      <c r="E61">
        <v>-0.112634908246988</v>
      </c>
      <c r="F61">
        <v>0.034106207928197</v>
      </c>
      <c r="G61">
        <v>-0.201457314410732</v>
      </c>
      <c r="H61">
        <v>0.19708944317072</v>
      </c>
      <c r="I61">
        <v>-0.113383762597697</v>
      </c>
    </row>
    <row r="62" spans="1:9">
      <c r="A62" s="1" t="s">
        <v>74</v>
      </c>
      <c r="B62">
        <f>HYPERLINK("https://www.suredividend.com/sure-analysis-CME/","CME Group Inc")</f>
        <v>0</v>
      </c>
      <c r="C62">
        <v>0.03966043856257701</v>
      </c>
      <c r="D62">
        <v>0.063316081122039</v>
      </c>
      <c r="E62">
        <v>-0.11725626344147</v>
      </c>
      <c r="F62">
        <v>0.041032350142721</v>
      </c>
      <c r="G62">
        <v>-0.188180998631046</v>
      </c>
      <c r="H62">
        <v>0.001740141534563</v>
      </c>
      <c r="I62">
        <v>0.3164256929357731</v>
      </c>
    </row>
    <row r="63" spans="1:9">
      <c r="A63" s="1" t="s">
        <v>75</v>
      </c>
      <c r="B63">
        <f>HYPERLINK("https://www.suredividend.com/sure-analysis-CNA/","CNA Financial Corp.")</f>
        <v>0</v>
      </c>
      <c r="C63">
        <v>0.011580217129071</v>
      </c>
      <c r="D63">
        <v>0.04860914863340701</v>
      </c>
      <c r="E63">
        <v>-0.001279067828704</v>
      </c>
      <c r="F63">
        <v>-0.008278145695364001</v>
      </c>
      <c r="G63">
        <v>-0.02733799598687</v>
      </c>
      <c r="H63">
        <v>0.1202992452074</v>
      </c>
      <c r="I63">
        <v>-0.038388767977176</v>
      </c>
    </row>
    <row r="64" spans="1:9">
      <c r="A64" s="1" t="s">
        <v>76</v>
      </c>
      <c r="B64">
        <f>HYPERLINK("https://www.suredividend.com/sure-analysis-research-database/","CNO Financial Group Inc")</f>
        <v>0</v>
      </c>
      <c r="C64">
        <v>0.009674582233949</v>
      </c>
      <c r="D64">
        <v>0.156879046683294</v>
      </c>
      <c r="E64">
        <v>0.287746219769372</v>
      </c>
      <c r="F64">
        <v>0.004814004376367</v>
      </c>
      <c r="G64">
        <v>-0.03404812089544</v>
      </c>
      <c r="H64">
        <v>0.03416435826408101</v>
      </c>
      <c r="I64">
        <v>0.015210470463388</v>
      </c>
    </row>
    <row r="65" spans="1:9">
      <c r="A65" s="1" t="s">
        <v>77</v>
      </c>
      <c r="B65">
        <f>HYPERLINK("https://www.suredividend.com/sure-analysis-research-database/","ConnectOne Bancorp Inc.")</f>
        <v>0</v>
      </c>
      <c r="C65">
        <v>0.017798013245033</v>
      </c>
      <c r="D65">
        <v>0.030871650400777</v>
      </c>
      <c r="E65">
        <v>0.015226330652486</v>
      </c>
      <c r="F65">
        <v>0.01569599339116</v>
      </c>
      <c r="G65">
        <v>-0.275983193623705</v>
      </c>
      <c r="H65">
        <v>0.214782905104657</v>
      </c>
      <c r="I65">
        <v>-0.065864350891588</v>
      </c>
    </row>
    <row r="66" spans="1:9">
      <c r="A66" s="1" t="s">
        <v>78</v>
      </c>
      <c r="B66">
        <f>HYPERLINK("https://www.suredividend.com/sure-analysis-COF/","Capital One Financial Corp.")</f>
        <v>0</v>
      </c>
      <c r="C66">
        <v>0.161168078466339</v>
      </c>
      <c r="D66">
        <v>0.09461863289298501</v>
      </c>
      <c r="E66">
        <v>-0.07279428190507001</v>
      </c>
      <c r="F66">
        <v>0.120697074010327</v>
      </c>
      <c r="G66">
        <v>-0.270277501880692</v>
      </c>
      <c r="H66">
        <v>-0.004964670419618</v>
      </c>
      <c r="I66">
        <v>0.086257250490838</v>
      </c>
    </row>
    <row r="67" spans="1:9">
      <c r="A67" s="1" t="s">
        <v>79</v>
      </c>
      <c r="B67">
        <f>HYPERLINK("https://www.suredividend.com/sure-analysis-research-database/","Columbia Banking System, Inc.")</f>
        <v>0</v>
      </c>
      <c r="C67">
        <v>-0.07739637305699401</v>
      </c>
      <c r="D67">
        <v>-0.08568677792041</v>
      </c>
      <c r="E67">
        <v>-0.029324683908731</v>
      </c>
      <c r="F67">
        <v>-0.054430799867241</v>
      </c>
      <c r="G67">
        <v>-0.154398670307491</v>
      </c>
      <c r="H67">
        <v>-0.258601935077574</v>
      </c>
      <c r="I67">
        <v>-0.26946657469826</v>
      </c>
    </row>
    <row r="68" spans="1:9">
      <c r="A68" s="1" t="s">
        <v>80</v>
      </c>
      <c r="B68">
        <f>HYPERLINK("https://www.suredividend.com/sure-analysis-research-database/","Mr. Cooper Group Inc")</f>
        <v>0</v>
      </c>
      <c r="C68">
        <v>0.09574987787005301</v>
      </c>
      <c r="D68">
        <v>0.053298896454566</v>
      </c>
      <c r="E68">
        <v>0.089893100097181</v>
      </c>
      <c r="F68">
        <v>0.117866932469474</v>
      </c>
      <c r="G68">
        <v>0.064799430334678</v>
      </c>
      <c r="H68">
        <v>0.5109464466150211</v>
      </c>
      <c r="I68">
        <v>44.78485405184731</v>
      </c>
    </row>
    <row r="69" spans="1:9">
      <c r="A69" s="1" t="s">
        <v>81</v>
      </c>
      <c r="B69">
        <f>HYPERLINK("https://www.suredividend.com/sure-analysis-research-database/","Central Pacific Financial Corp.")</f>
        <v>0</v>
      </c>
      <c r="C69">
        <v>0.06320081549439301</v>
      </c>
      <c r="D69">
        <v>-0.030615090060784</v>
      </c>
      <c r="E69">
        <v>-0.053976834677236</v>
      </c>
      <c r="F69">
        <v>0.028599605522682</v>
      </c>
      <c r="G69">
        <v>-0.248123010824001</v>
      </c>
      <c r="H69">
        <v>0.126325565322563</v>
      </c>
      <c r="I69">
        <v>-0.204026420522839</v>
      </c>
    </row>
    <row r="70" spans="1:9">
      <c r="A70" s="1" t="s">
        <v>82</v>
      </c>
      <c r="B70">
        <f>HYPERLINK("https://www.suredividend.com/sure-analysis-research-database/","Customers Bancorp Inc")</f>
        <v>0</v>
      </c>
      <c r="C70">
        <v>0.105113636363636</v>
      </c>
      <c r="D70">
        <v>-0.001604106512672</v>
      </c>
      <c r="E70">
        <v>-0.2</v>
      </c>
      <c r="F70">
        <v>0.09809456598447401</v>
      </c>
      <c r="G70">
        <v>-0.498064516129032</v>
      </c>
      <c r="H70">
        <v>0.398023360287511</v>
      </c>
      <c r="I70">
        <v>0.167642203211766</v>
      </c>
    </row>
    <row r="71" spans="1:9">
      <c r="A71" s="1" t="s">
        <v>83</v>
      </c>
      <c r="B71">
        <f>HYPERLINK("https://www.suredividend.com/sure-analysis-research-database/","CVB Financial Corp.")</f>
        <v>0</v>
      </c>
      <c r="C71">
        <v>-0.05426232078596</v>
      </c>
      <c r="D71">
        <v>-0.047031849097319</v>
      </c>
      <c r="E71">
        <v>-0.03777314324845901</v>
      </c>
      <c r="F71">
        <v>-0.039611650485436</v>
      </c>
      <c r="G71">
        <v>0.14409171239024</v>
      </c>
      <c r="H71">
        <v>0.257417134024497</v>
      </c>
      <c r="I71">
        <v>0.192301387563038</v>
      </c>
    </row>
    <row r="72" spans="1:9">
      <c r="A72" s="1" t="s">
        <v>84</v>
      </c>
      <c r="B72">
        <f>HYPERLINK("https://www.suredividend.com/sure-analysis-research-database/","Dime Community Bancshares Inc")</f>
        <v>0</v>
      </c>
      <c r="C72">
        <v>0.027592114395042</v>
      </c>
      <c r="D72">
        <v>0.026318336658642</v>
      </c>
      <c r="E72">
        <v>0.071329628603555</v>
      </c>
      <c r="F72">
        <v>0.040183289979177</v>
      </c>
      <c r="G72">
        <v>-0.062360045755232</v>
      </c>
      <c r="H72">
        <v>0.246201587418936</v>
      </c>
      <c r="I72">
        <v>-0.039342532692895</v>
      </c>
    </row>
    <row r="73" spans="1:9">
      <c r="A73" s="1" t="s">
        <v>85</v>
      </c>
      <c r="B73">
        <f>HYPERLINK("https://www.suredividend.com/sure-analysis-research-database/","Donnelley Financial Solutions Inc")</f>
        <v>0</v>
      </c>
      <c r="C73">
        <v>0.129273504273504</v>
      </c>
      <c r="D73">
        <v>0.112338858195211</v>
      </c>
      <c r="E73">
        <v>0.254599406528189</v>
      </c>
      <c r="F73">
        <v>0.09391979301423001</v>
      </c>
      <c r="G73">
        <v>0.174118300472091</v>
      </c>
      <c r="H73">
        <v>1.194084068500259</v>
      </c>
      <c r="I73">
        <v>1.002842254855518</v>
      </c>
    </row>
    <row r="74" spans="1:9">
      <c r="A74" s="1" t="s">
        <v>86</v>
      </c>
      <c r="B74">
        <f>HYPERLINK("https://www.suredividend.com/sure-analysis-DFS/","Discover Financial Services")</f>
        <v>0</v>
      </c>
      <c r="C74">
        <v>0.08527607361963101</v>
      </c>
      <c r="D74">
        <v>0.127293698562047</v>
      </c>
      <c r="E74">
        <v>0.07347661188369101</v>
      </c>
      <c r="F74">
        <v>0.08494326893590901</v>
      </c>
      <c r="G74">
        <v>-0.05292265356545901</v>
      </c>
      <c r="H74">
        <v>0.169376740045589</v>
      </c>
      <c r="I74">
        <v>0.512987401749899</v>
      </c>
    </row>
    <row r="75" spans="1:9">
      <c r="A75" s="1" t="s">
        <v>87</v>
      </c>
      <c r="B75">
        <f>HYPERLINK("https://www.suredividend.com/sure-analysis-research-database/","Eastern Bankshares Inc.")</f>
        <v>0</v>
      </c>
      <c r="C75">
        <v>0.02199074074074</v>
      </c>
      <c r="D75">
        <v>-0.144139341481617</v>
      </c>
      <c r="E75">
        <v>-0.084062901954275</v>
      </c>
      <c r="F75">
        <v>0.023768115942029</v>
      </c>
      <c r="G75">
        <v>-0.128138036582656</v>
      </c>
      <c r="H75">
        <v>0.132951833508686</v>
      </c>
      <c r="I75">
        <v>0.5059393360564171</v>
      </c>
    </row>
    <row r="76" spans="1:9">
      <c r="A76" s="1" t="s">
        <v>88</v>
      </c>
      <c r="B76">
        <f>HYPERLINK("https://www.suredividend.com/sure-analysis-research-database/","Encore Capital Group, Inc.")</f>
        <v>0</v>
      </c>
      <c r="C76">
        <v>0.14005897219882</v>
      </c>
      <c r="D76">
        <v>0.175972192048663</v>
      </c>
      <c r="E76">
        <v>-0.193053070960047</v>
      </c>
      <c r="F76">
        <v>0.129119732999583</v>
      </c>
      <c r="G76">
        <v>-0.157640834111422</v>
      </c>
      <c r="H76">
        <v>0.6417955717318771</v>
      </c>
      <c r="I76">
        <v>0.3043373493975901</v>
      </c>
    </row>
    <row r="77" spans="1:9">
      <c r="A77" s="1" t="s">
        <v>89</v>
      </c>
      <c r="B77">
        <f>HYPERLINK("https://www.suredividend.com/sure-analysis-EFC/","Ellington Financial Inc")</f>
        <v>0</v>
      </c>
      <c r="C77">
        <v>0.06925160192621301</v>
      </c>
      <c r="D77">
        <v>0.153072475234191</v>
      </c>
      <c r="E77">
        <v>-0.07200433516222901</v>
      </c>
      <c r="F77">
        <v>0.10751818916734</v>
      </c>
      <c r="G77">
        <v>-0.11556413451172</v>
      </c>
      <c r="H77">
        <v>0.07402122955831801</v>
      </c>
      <c r="I77">
        <v>0.298713609949852</v>
      </c>
    </row>
    <row r="78" spans="1:9">
      <c r="A78" s="1" t="s">
        <v>90</v>
      </c>
      <c r="B78">
        <f>HYPERLINK("https://www.suredividend.com/sure-analysis-research-database/","Enterprise Financial Services Corp.")</f>
        <v>0</v>
      </c>
      <c r="C78">
        <v>-0.010968921389396</v>
      </c>
      <c r="D78">
        <v>0.016898178605665</v>
      </c>
      <c r="E78">
        <v>0.142855801595162</v>
      </c>
      <c r="F78">
        <v>-0.005514705882353001</v>
      </c>
      <c r="G78">
        <v>0.055239135523133</v>
      </c>
      <c r="H78">
        <v>0.379421713780618</v>
      </c>
      <c r="I78">
        <v>0.109073721854606</v>
      </c>
    </row>
    <row r="79" spans="1:9">
      <c r="A79" s="1" t="s">
        <v>91</v>
      </c>
      <c r="B79">
        <f>HYPERLINK("https://www.suredividend.com/sure-analysis-research-database/","Eagle Bancorp Inc (MD)")</f>
        <v>0</v>
      </c>
      <c r="C79">
        <v>0.110420058840383</v>
      </c>
      <c r="D79">
        <v>0.147184740782453</v>
      </c>
      <c r="E79">
        <v>0.04333780551062701</v>
      </c>
      <c r="F79">
        <v>0.092782181713148</v>
      </c>
      <c r="G79">
        <v>-0.165113770105923</v>
      </c>
      <c r="H79">
        <v>0.142217728215916</v>
      </c>
      <c r="I79">
        <v>-0.192523858404561</v>
      </c>
    </row>
    <row r="80" spans="1:9">
      <c r="A80" s="1" t="s">
        <v>92</v>
      </c>
      <c r="B80">
        <f>HYPERLINK("https://www.suredividend.com/sure-analysis-research-database/","eHealth Inc")</f>
        <v>0</v>
      </c>
      <c r="C80">
        <v>0.042553191489361</v>
      </c>
      <c r="D80">
        <v>0.8780487804878041</v>
      </c>
      <c r="E80">
        <v>-0.316856780735107</v>
      </c>
      <c r="F80">
        <v>0.113636363636363</v>
      </c>
      <c r="G80">
        <v>-0.7565492321589881</v>
      </c>
      <c r="H80">
        <v>-0.9338000491279781</v>
      </c>
      <c r="I80">
        <v>-0.7113015532940541</v>
      </c>
    </row>
    <row r="81" spans="1:9">
      <c r="A81" s="1" t="s">
        <v>93</v>
      </c>
      <c r="B81">
        <f>HYPERLINK("https://www.suredividend.com/sure-analysis-research-database/","Employers Holdings Inc")</f>
        <v>0</v>
      </c>
      <c r="C81">
        <v>-0.02031144211239</v>
      </c>
      <c r="D81">
        <v>0.221158877242729</v>
      </c>
      <c r="E81">
        <v>0.102759056926348</v>
      </c>
      <c r="F81">
        <v>0.006492000927428</v>
      </c>
      <c r="G81">
        <v>0.174700506844978</v>
      </c>
      <c r="H81">
        <v>0.4442126695477721</v>
      </c>
      <c r="I81">
        <v>0.151339781826283</v>
      </c>
    </row>
    <row r="82" spans="1:9">
      <c r="A82" s="1" t="s">
        <v>94</v>
      </c>
      <c r="B82">
        <f>HYPERLINK("https://www.suredividend.com/sure-analysis-research-database/","Enova International Inc.")</f>
        <v>0</v>
      </c>
      <c r="C82">
        <v>0.055126223596084</v>
      </c>
      <c r="D82">
        <v>0.320012890750886</v>
      </c>
      <c r="E82">
        <v>0.210044313146233</v>
      </c>
      <c r="F82">
        <v>0.06750065155069</v>
      </c>
      <c r="G82">
        <v>0.030440251572326</v>
      </c>
      <c r="H82">
        <v>0.6603161734900681</v>
      </c>
      <c r="I82">
        <v>1.55202492211838</v>
      </c>
    </row>
    <row r="83" spans="1:9">
      <c r="A83" s="1" t="s">
        <v>95</v>
      </c>
      <c r="B83">
        <f>HYPERLINK("https://www.suredividend.com/sure-analysis-ERIE/","Erie Indemnity Co.")</f>
        <v>0</v>
      </c>
      <c r="C83">
        <v>-0.130792279482615</v>
      </c>
      <c r="D83">
        <v>0.02685740569679</v>
      </c>
      <c r="E83">
        <v>0.272658584619307</v>
      </c>
      <c r="F83">
        <v>-0.015955770532974</v>
      </c>
      <c r="G83">
        <v>0.4160563910911</v>
      </c>
      <c r="H83">
        <v>0.052007781644027</v>
      </c>
      <c r="I83">
        <v>1.273819982093994</v>
      </c>
    </row>
    <row r="84" spans="1:9">
      <c r="A84" s="1" t="s">
        <v>96</v>
      </c>
      <c r="B84">
        <f>HYPERLINK("https://www.suredividend.com/sure-analysis-research-database/","East West Bancorp, Inc.")</f>
        <v>0</v>
      </c>
      <c r="C84">
        <v>0.041768665850673</v>
      </c>
      <c r="D84">
        <v>0.026571140822221</v>
      </c>
      <c r="E84">
        <v>-0.03808798620068</v>
      </c>
      <c r="F84">
        <v>0.033232169954476</v>
      </c>
      <c r="G84">
        <v>-0.159094108842294</v>
      </c>
      <c r="H84">
        <v>0.15787307779295</v>
      </c>
      <c r="I84">
        <v>0.111927624273303</v>
      </c>
    </row>
    <row r="85" spans="1:9">
      <c r="A85" s="1" t="s">
        <v>97</v>
      </c>
      <c r="B85">
        <f>HYPERLINK("https://www.suredividend.com/sure-analysis-research-database/","EZCorp, Inc.")</f>
        <v>0</v>
      </c>
      <c r="C85">
        <v>0.037259615384615</v>
      </c>
      <c r="D85">
        <v>0.010538641686182</v>
      </c>
      <c r="E85">
        <v>0.156836461126005</v>
      </c>
      <c r="F85">
        <v>0.058895705521472</v>
      </c>
      <c r="G85">
        <v>0.43594009983361</v>
      </c>
      <c r="H85">
        <v>0.8479657387580301</v>
      </c>
      <c r="I85">
        <v>-0.286776859504132</v>
      </c>
    </row>
    <row r="86" spans="1:9">
      <c r="A86" s="1" t="s">
        <v>98</v>
      </c>
      <c r="B86">
        <f>HYPERLINK("https://www.suredividend.com/sure-analysis-FAF/","First American Financial Corp")</f>
        <v>0</v>
      </c>
      <c r="C86">
        <v>0.15750286368843</v>
      </c>
      <c r="D86">
        <v>0.377898176892763</v>
      </c>
      <c r="E86">
        <v>0.107561118631249</v>
      </c>
      <c r="F86">
        <v>0.158387466564768</v>
      </c>
      <c r="G86">
        <v>-0.146157356031117</v>
      </c>
      <c r="H86">
        <v>0.172260182596489</v>
      </c>
      <c r="I86">
        <v>0.142337127934975</v>
      </c>
    </row>
    <row r="87" spans="1:9">
      <c r="A87" s="1" t="s">
        <v>99</v>
      </c>
      <c r="B87">
        <f>HYPERLINK("https://www.suredividend.com/sure-analysis-research-database/","Flagstar Bancorp, Inc.")</f>
        <v>0</v>
      </c>
      <c r="C87">
        <v>-0.028407561546265</v>
      </c>
      <c r="D87">
        <v>-0.01774804216828</v>
      </c>
      <c r="E87">
        <v>-0.013426752061055</v>
      </c>
      <c r="F87">
        <v>-0.212102640736434</v>
      </c>
      <c r="G87">
        <v>-0.170214364973055</v>
      </c>
      <c r="H87">
        <v>0.05026088659476501</v>
      </c>
      <c r="I87">
        <v>0.015640429739813</v>
      </c>
    </row>
    <row r="88" spans="1:9">
      <c r="A88" s="1" t="s">
        <v>100</v>
      </c>
      <c r="B88">
        <f>HYPERLINK("https://www.suredividend.com/sure-analysis-research-database/","FB Financial Corp")</f>
        <v>0</v>
      </c>
      <c r="C88">
        <v>0.005766062602965001</v>
      </c>
      <c r="D88">
        <v>-0.015449619403947</v>
      </c>
      <c r="E88">
        <v>-0.108683221198885</v>
      </c>
      <c r="F88">
        <v>0.013558384061981</v>
      </c>
      <c r="G88">
        <v>-0.130886623768578</v>
      </c>
      <c r="H88">
        <v>0.03372080225539</v>
      </c>
      <c r="I88">
        <v>-0.118922598444704</v>
      </c>
    </row>
    <row r="89" spans="1:9">
      <c r="A89" s="1" t="s">
        <v>101</v>
      </c>
      <c r="B89">
        <f>HYPERLINK("https://www.suredividend.com/sure-analysis-research-database/","First Bancorp")</f>
        <v>0</v>
      </c>
      <c r="C89">
        <v>-0.080849357666853</v>
      </c>
      <c r="D89">
        <v>-0.027867150883992</v>
      </c>
      <c r="E89">
        <v>0.09788525525901801</v>
      </c>
      <c r="F89">
        <v>-0.07959850606909401</v>
      </c>
      <c r="G89">
        <v>-0.101236796637444</v>
      </c>
      <c r="H89">
        <v>0.149147247059372</v>
      </c>
      <c r="I89">
        <v>0.176147735848493</v>
      </c>
    </row>
    <row r="90" spans="1:9">
      <c r="A90" s="1" t="s">
        <v>102</v>
      </c>
      <c r="B90">
        <f>HYPERLINK("https://www.suredividend.com/sure-analysis-research-database/","First Bancorp PR")</f>
        <v>0</v>
      </c>
      <c r="C90">
        <v>0.048665620094191</v>
      </c>
      <c r="D90">
        <v>-0.132923592136603</v>
      </c>
      <c r="E90">
        <v>-0.062607438799351</v>
      </c>
      <c r="F90">
        <v>0.05031446540880501</v>
      </c>
      <c r="G90">
        <v>-0.070686273145894</v>
      </c>
      <c r="H90">
        <v>0.431495033697993</v>
      </c>
      <c r="I90">
        <v>1.709994117527738</v>
      </c>
    </row>
    <row r="91" spans="1:9">
      <c r="A91" s="1" t="s">
        <v>103</v>
      </c>
      <c r="B91">
        <f>HYPERLINK("https://www.suredividend.com/sure-analysis-research-database/","Franklin BSP Realty Trust Inc.")</f>
        <v>0</v>
      </c>
      <c r="C91">
        <v>0.055848433700897</v>
      </c>
      <c r="D91">
        <v>0.153505601000788</v>
      </c>
      <c r="E91">
        <v>-0.017035739749828</v>
      </c>
      <c r="F91">
        <v>0.100775193798449</v>
      </c>
      <c r="G91">
        <v>0.124565418821423</v>
      </c>
      <c r="H91">
        <v>-0.045634787284091</v>
      </c>
      <c r="I91">
        <v>-0.045634787284091</v>
      </c>
    </row>
    <row r="92" spans="1:9">
      <c r="A92" s="1" t="s">
        <v>104</v>
      </c>
      <c r="B92">
        <f>HYPERLINK("https://www.suredividend.com/sure-analysis-research-database/","First Commonwealth Financial Corp.")</f>
        <v>0</v>
      </c>
      <c r="C92">
        <v>-0.002871500358937</v>
      </c>
      <c r="D92">
        <v>0.015098586608591</v>
      </c>
      <c r="E92">
        <v>-0.000417392305588</v>
      </c>
      <c r="F92">
        <v>-0.005726556907659001</v>
      </c>
      <c r="G92">
        <v>-0.115083713462959</v>
      </c>
      <c r="H92">
        <v>0.198477958877278</v>
      </c>
      <c r="I92">
        <v>0.08326054404791601</v>
      </c>
    </row>
    <row r="93" spans="1:9">
      <c r="A93" s="1" t="s">
        <v>105</v>
      </c>
      <c r="B93">
        <f>HYPERLINK("https://www.suredividend.com/sure-analysis-research-database/","First Citizens Bancshares, Inc (NC)")</f>
        <v>0</v>
      </c>
      <c r="C93">
        <v>0.06710034935549901</v>
      </c>
      <c r="D93">
        <v>-0.05733855701924</v>
      </c>
      <c r="E93">
        <v>0.124777311107546</v>
      </c>
      <c r="F93">
        <v>0.05124215412205201</v>
      </c>
      <c r="G93">
        <v>-0.0376397511929</v>
      </c>
      <c r="H93">
        <v>0.270240362898503</v>
      </c>
      <c r="I93">
        <v>0.8021382335555051</v>
      </c>
    </row>
    <row r="94" spans="1:9">
      <c r="A94" s="1" t="s">
        <v>106</v>
      </c>
      <c r="B94">
        <f>HYPERLINK("https://www.suredividend.com/sure-analysis-research-database/","First Financial Bancorp")</f>
        <v>0</v>
      </c>
      <c r="C94">
        <v>-0.030053519967064</v>
      </c>
      <c r="D94">
        <v>0.002523329092325</v>
      </c>
      <c r="E94">
        <v>0.144967682363804</v>
      </c>
      <c r="F94">
        <v>-0.027651671481634</v>
      </c>
      <c r="G94">
        <v>-0.034097664369437</v>
      </c>
      <c r="H94">
        <v>0.260641343257227</v>
      </c>
      <c r="I94">
        <v>-0.03535924269968301</v>
      </c>
    </row>
    <row r="95" spans="1:9">
      <c r="A95" s="1" t="s">
        <v>107</v>
      </c>
      <c r="B95">
        <f>HYPERLINK("https://www.suredividend.com/sure-analysis-research-database/","Flushing Financial Corp.")</f>
        <v>0</v>
      </c>
      <c r="C95">
        <v>0.02252944188428</v>
      </c>
      <c r="D95">
        <v>-0.002831220320871</v>
      </c>
      <c r="E95">
        <v>-0.07352852483658001</v>
      </c>
      <c r="F95">
        <v>0.030443756449948</v>
      </c>
      <c r="G95">
        <v>-0.160765690991994</v>
      </c>
      <c r="H95">
        <v>0.149703218823583</v>
      </c>
      <c r="I95">
        <v>-0.160239859381176</v>
      </c>
    </row>
    <row r="96" spans="1:9">
      <c r="A96" s="1" t="s">
        <v>108</v>
      </c>
      <c r="B96">
        <f>HYPERLINK("https://www.suredividend.com/sure-analysis-research-database/","First Financial Bankshares, Inc.")</f>
        <v>0</v>
      </c>
      <c r="C96">
        <v>0.025044722719141</v>
      </c>
      <c r="D96">
        <v>-0.116542850755358</v>
      </c>
      <c r="E96">
        <v>-0.166862551707592</v>
      </c>
      <c r="F96">
        <v>-0.000581395348837</v>
      </c>
      <c r="G96">
        <v>-0.285259888485574</v>
      </c>
      <c r="H96">
        <v>-0.109259503952369</v>
      </c>
      <c r="I96">
        <v>0.5656022878376651</v>
      </c>
    </row>
    <row r="97" spans="1:9">
      <c r="A97" s="1" t="s">
        <v>109</v>
      </c>
      <c r="B97">
        <f>HYPERLINK("https://www.suredividend.com/sure-analysis-research-database/","First Foundation Inc")</f>
        <v>0</v>
      </c>
      <c r="C97">
        <v>0.09084457061745901</v>
      </c>
      <c r="D97">
        <v>-0.136206276413991</v>
      </c>
      <c r="E97">
        <v>-0.22709055159686</v>
      </c>
      <c r="F97">
        <v>0.072575017445917</v>
      </c>
      <c r="G97">
        <v>-0.377914130294003</v>
      </c>
      <c r="H97">
        <v>-0.233060721431886</v>
      </c>
      <c r="I97">
        <v>-0.154258421649223</v>
      </c>
    </row>
    <row r="98" spans="1:9">
      <c r="A98" s="1" t="s">
        <v>110</v>
      </c>
      <c r="B98">
        <f>HYPERLINK("https://www.suredividend.com/sure-analysis-research-database/","First Hawaiian INC")</f>
        <v>0</v>
      </c>
      <c r="C98">
        <v>0.015686274509803</v>
      </c>
      <c r="D98">
        <v>0.002426724154613</v>
      </c>
      <c r="E98">
        <v>0.12493267777411</v>
      </c>
      <c r="F98">
        <v>-0.005376344086021</v>
      </c>
      <c r="G98">
        <v>-0.06738922996597201</v>
      </c>
      <c r="H98">
        <v>0.09925089658977501</v>
      </c>
      <c r="I98">
        <v>-0.014527163284097</v>
      </c>
    </row>
    <row r="99" spans="1:9">
      <c r="A99" s="1" t="s">
        <v>111</v>
      </c>
      <c r="B99">
        <f>HYPERLINK("https://www.suredividend.com/sure-analysis-research-database/","First Horizon Corporation")</f>
        <v>0</v>
      </c>
      <c r="C99">
        <v>0.00448065173116</v>
      </c>
      <c r="D99">
        <v>0.02573061468966</v>
      </c>
      <c r="E99">
        <v>0.126531507249819</v>
      </c>
      <c r="F99">
        <v>0.006530612244898</v>
      </c>
      <c r="G99">
        <v>0.475356873631436</v>
      </c>
      <c r="H99">
        <v>0.828332480704641</v>
      </c>
      <c r="I99">
        <v>0.466608779431793</v>
      </c>
    </row>
    <row r="100" spans="1:9">
      <c r="A100" s="1" t="s">
        <v>112</v>
      </c>
      <c r="B100">
        <f>HYPERLINK("https://www.suredividend.com/sure-analysis-research-database/","First Interstate BancSystem Inc.")</f>
        <v>0</v>
      </c>
      <c r="C100">
        <v>-0.015324675324675</v>
      </c>
      <c r="D100">
        <v>-0.091947773224076</v>
      </c>
      <c r="E100">
        <v>-0.018701870187018</v>
      </c>
      <c r="F100">
        <v>-0.01914618369987</v>
      </c>
      <c r="G100">
        <v>0.03605560975876301</v>
      </c>
      <c r="H100">
        <v>0.004618968244924001</v>
      </c>
      <c r="I100">
        <v>0.097037622226659</v>
      </c>
    </row>
    <row r="101" spans="1:9">
      <c r="A101" s="1" t="s">
        <v>113</v>
      </c>
      <c r="B101">
        <f>HYPERLINK("https://www.suredividend.com/sure-analysis-FITB/","Fifth Third Bancorp")</f>
        <v>0</v>
      </c>
      <c r="C101">
        <v>0.092922058647062</v>
      </c>
      <c r="D101">
        <v>0.05883072781228001</v>
      </c>
      <c r="E101">
        <v>0.031265736411934</v>
      </c>
      <c r="F101">
        <v>0.05486132276744801</v>
      </c>
      <c r="G101">
        <v>-0.203802241132206</v>
      </c>
      <c r="H101">
        <v>0.202128472487547</v>
      </c>
      <c r="I101">
        <v>0.272412436627537</v>
      </c>
    </row>
    <row r="102" spans="1:9">
      <c r="A102" s="1" t="s">
        <v>114</v>
      </c>
      <c r="B102">
        <f>HYPERLINK("https://www.suredividend.com/sure-analysis-research-database/","First Midwest Bancorp, Inc.")</f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>
      <c r="A103" s="1" t="s">
        <v>115</v>
      </c>
      <c r="B103">
        <f>HYPERLINK("https://www.suredividend.com/sure-analysis-research-database/","F.N.B. Corp.")</f>
        <v>0</v>
      </c>
      <c r="C103">
        <v>0.003103180760279</v>
      </c>
      <c r="D103">
        <v>-0.057023461372967</v>
      </c>
      <c r="E103">
        <v>0.137653424838326</v>
      </c>
      <c r="F103">
        <v>-0.00919540229885</v>
      </c>
      <c r="G103">
        <v>0.03382932621193</v>
      </c>
      <c r="H103">
        <v>0.347197766131468</v>
      </c>
      <c r="I103">
        <v>0.102038729033137</v>
      </c>
    </row>
    <row r="104" spans="1:9">
      <c r="A104" s="1" t="s">
        <v>116</v>
      </c>
      <c r="B104">
        <f>HYPERLINK("https://www.suredividend.com/sure-analysis-research-database/","First Republic Bank")</f>
        <v>0</v>
      </c>
      <c r="C104">
        <v>0.121469159186362</v>
      </c>
      <c r="D104">
        <v>0.21489924311902</v>
      </c>
      <c r="E104">
        <v>-0.159348467283235</v>
      </c>
      <c r="F104">
        <v>0.117236852900155</v>
      </c>
      <c r="G104">
        <v>-0.182006301038259</v>
      </c>
      <c r="H104">
        <v>-0.105575930810538</v>
      </c>
      <c r="I104">
        <v>0.566308157155295</v>
      </c>
    </row>
    <row r="105" spans="1:9">
      <c r="A105" s="1" t="s">
        <v>117</v>
      </c>
      <c r="B105">
        <f>HYPERLINK("https://www.suredividend.com/sure-analysis-research-database/","First Merchants Corp.")</f>
        <v>0</v>
      </c>
      <c r="C105">
        <v>-0.005442850074220001</v>
      </c>
      <c r="D105">
        <v>-0.063310428710234</v>
      </c>
      <c r="E105">
        <v>0.09704779526140801</v>
      </c>
      <c r="F105">
        <v>-0.022135733398199</v>
      </c>
      <c r="G105">
        <v>-0.05694680663890601</v>
      </c>
      <c r="H105">
        <v>0.07357170898194901</v>
      </c>
      <c r="I105">
        <v>0.043640800643838</v>
      </c>
    </row>
    <row r="106" spans="1:9">
      <c r="A106" s="1" t="s">
        <v>118</v>
      </c>
      <c r="B106">
        <f>HYPERLINK("https://www.suredividend.com/sure-analysis-research-database/","Fulton Financial Corp.")</f>
        <v>0</v>
      </c>
      <c r="C106">
        <v>-0.08317114920158501</v>
      </c>
      <c r="D106">
        <v>-0.08177703150960701</v>
      </c>
      <c r="E106">
        <v>0.001960357220649</v>
      </c>
      <c r="F106">
        <v>-0.07070707070707001</v>
      </c>
      <c r="G106">
        <v>-0.08590932734849401</v>
      </c>
      <c r="H106">
        <v>0.187718805294613</v>
      </c>
      <c r="I106">
        <v>0.026179384554819</v>
      </c>
    </row>
    <row r="107" spans="1:9">
      <c r="A107" s="1" t="s">
        <v>119</v>
      </c>
      <c r="B107">
        <f>HYPERLINK("https://www.suredividend.com/sure-analysis-research-database/","Glacier Bancorp, Inc.")</f>
        <v>0</v>
      </c>
      <c r="C107">
        <v>-0.078921472151151</v>
      </c>
      <c r="D107">
        <v>-0.09930715935334801</v>
      </c>
      <c r="E107">
        <v>-0.035806996579999</v>
      </c>
      <c r="F107">
        <v>-0.05301497369486</v>
      </c>
      <c r="G107">
        <v>-0.09002350772605</v>
      </c>
      <c r="H107">
        <v>0.024289672621262</v>
      </c>
      <c r="I107">
        <v>0.386917339133888</v>
      </c>
    </row>
    <row r="108" spans="1:9">
      <c r="A108" s="1" t="s">
        <v>120</v>
      </c>
      <c r="B108">
        <f>HYPERLINK("https://www.suredividend.com/sure-analysis-research-database/","Green Dot Corp.")</f>
        <v>0</v>
      </c>
      <c r="C108">
        <v>0.061211742660836</v>
      </c>
      <c r="D108">
        <v>-0.054535336672231</v>
      </c>
      <c r="E108">
        <v>-0.373293987458502</v>
      </c>
      <c r="F108">
        <v>0.07395701643489201</v>
      </c>
      <c r="G108">
        <v>-0.4853074825810361</v>
      </c>
      <c r="H108">
        <v>-0.699451618609587</v>
      </c>
      <c r="I108">
        <v>-0.728029454137986</v>
      </c>
    </row>
    <row r="109" spans="1:9">
      <c r="A109" s="1" t="s">
        <v>121</v>
      </c>
      <c r="B109">
        <f>HYPERLINK("https://www.suredividend.com/sure-analysis-research-database/","Greenhill &amp; Co Inc")</f>
        <v>0</v>
      </c>
      <c r="C109">
        <v>0.239151398264223</v>
      </c>
      <c r="D109">
        <v>0.9942887295527201</v>
      </c>
      <c r="E109">
        <v>0.5727504161362961</v>
      </c>
      <c r="F109">
        <v>0.253658536585365</v>
      </c>
      <c r="G109">
        <v>-0.218032118493996</v>
      </c>
      <c r="H109">
        <v>0.070396254862597</v>
      </c>
      <c r="I109">
        <v>-0.280515117581186</v>
      </c>
    </row>
    <row r="110" spans="1:9">
      <c r="A110" s="1" t="s">
        <v>122</v>
      </c>
      <c r="B110">
        <f>HYPERLINK("https://www.suredividend.com/sure-analysis-GL/","Globe Life Inc")</f>
        <v>0</v>
      </c>
      <c r="C110">
        <v>-0.023791649103729</v>
      </c>
      <c r="D110">
        <v>0.036328878643081</v>
      </c>
      <c r="E110">
        <v>0.170104633781764</v>
      </c>
      <c r="F110">
        <v>-0.024277556555671</v>
      </c>
      <c r="G110">
        <v>0.17188318693942</v>
      </c>
      <c r="H110">
        <v>0.24692701834497</v>
      </c>
      <c r="I110">
        <v>0.289271334410105</v>
      </c>
    </row>
    <row r="111" spans="1:9">
      <c r="A111" s="1" t="s">
        <v>123</v>
      </c>
      <c r="B111">
        <f>HYPERLINK("https://www.suredividend.com/sure-analysis-research-database/","Genworth Financial Inc")</f>
        <v>0</v>
      </c>
      <c r="C111">
        <v>0.022684310018903</v>
      </c>
      <c r="D111">
        <v>0.215730337078651</v>
      </c>
      <c r="E111">
        <v>0.3525</v>
      </c>
      <c r="F111">
        <v>0.022684310018903</v>
      </c>
      <c r="G111">
        <v>0.369620253164556</v>
      </c>
      <c r="H111">
        <v>0.7622149837133551</v>
      </c>
      <c r="I111">
        <v>0.619760479041916</v>
      </c>
    </row>
    <row r="112" spans="1:9">
      <c r="A112" s="1" t="s">
        <v>124</v>
      </c>
      <c r="B112">
        <f>HYPERLINK("https://www.suredividend.com/sure-analysis-research-database/","Granite Point Mortgage Trust Inc")</f>
        <v>0</v>
      </c>
      <c r="C112">
        <v>0.140657303771298</v>
      </c>
      <c r="D112">
        <v>0.004536108364332</v>
      </c>
      <c r="E112">
        <v>-0.301363432925431</v>
      </c>
      <c r="F112">
        <v>0.194029850746268</v>
      </c>
      <c r="G112">
        <v>-0.379038674247569</v>
      </c>
      <c r="H112">
        <v>-0.215753550553261</v>
      </c>
      <c r="I112">
        <v>-0.438162792330922</v>
      </c>
    </row>
    <row r="113" spans="1:9">
      <c r="A113" s="1" t="s">
        <v>125</v>
      </c>
      <c r="B113">
        <f>HYPERLINK("https://www.suredividend.com/sure-analysis-GS/","Goldman Sachs Group, Inc.")</f>
        <v>0</v>
      </c>
      <c r="C113">
        <v>-0.023760566598126</v>
      </c>
      <c r="D113">
        <v>0.058387482394524</v>
      </c>
      <c r="E113">
        <v>0.061675574007955</v>
      </c>
      <c r="F113">
        <v>-0.004484827305026</v>
      </c>
      <c r="G113">
        <v>0.013995535144864</v>
      </c>
      <c r="H113">
        <v>0.226267170843367</v>
      </c>
      <c r="I113">
        <v>0.459798530379516</v>
      </c>
    </row>
    <row r="114" spans="1:9">
      <c r="A114" s="1" t="s">
        <v>126</v>
      </c>
      <c r="B114">
        <f>HYPERLINK("https://www.suredividend.com/sure-analysis-research-database/","Great Western Bancorp Inc")</f>
        <v>0</v>
      </c>
      <c r="C114">
        <v>-0.09069493521790301</v>
      </c>
      <c r="D114">
        <v>-0.09182614117280201</v>
      </c>
      <c r="E114">
        <v>0.005525833352328</v>
      </c>
      <c r="F114">
        <v>-0.09069493521790301</v>
      </c>
      <c r="G114">
        <v>0.291310002216302</v>
      </c>
      <c r="H114">
        <v>0.074191573440195</v>
      </c>
      <c r="I114">
        <v>-0.198119944429296</v>
      </c>
    </row>
    <row r="115" spans="1:9">
      <c r="A115" s="1" t="s">
        <v>127</v>
      </c>
      <c r="B115">
        <f>HYPERLINK("https://www.suredividend.com/sure-analysis-research-database/","Hanmi Financial Corp.")</f>
        <v>0</v>
      </c>
      <c r="C115">
        <v>-0.008080808080808001</v>
      </c>
      <c r="D115">
        <v>-0.006728353353859001</v>
      </c>
      <c r="E115">
        <v>0.049737458737407</v>
      </c>
      <c r="F115">
        <v>-0.008080808080808001</v>
      </c>
      <c r="G115">
        <v>0.016862100244792</v>
      </c>
      <c r="H115">
        <v>1.112427613860278</v>
      </c>
      <c r="I115">
        <v>-0.07693233218404101</v>
      </c>
    </row>
    <row r="116" spans="1:9">
      <c r="A116" s="1" t="s">
        <v>128</v>
      </c>
      <c r="B116">
        <f>HYPERLINK("https://www.suredividend.com/sure-analysis-HBAN/","Huntington Bancshares, Inc.")</f>
        <v>0</v>
      </c>
      <c r="C116">
        <v>0.007857142857142001</v>
      </c>
      <c r="D116">
        <v>-0.01238888500035</v>
      </c>
      <c r="E116">
        <v>0.081549275262339</v>
      </c>
      <c r="F116">
        <v>0.0007092198581550001</v>
      </c>
      <c r="G116">
        <v>-0.027888775594565</v>
      </c>
      <c r="H116">
        <v>0.05833995889650601</v>
      </c>
      <c r="I116">
        <v>0.111829041510385</v>
      </c>
    </row>
    <row r="117" spans="1:9">
      <c r="A117" s="1" t="s">
        <v>129</v>
      </c>
      <c r="B117">
        <f>HYPERLINK("https://www.suredividend.com/sure-analysis-research-database/","HCI Group Inc")</f>
        <v>0</v>
      </c>
      <c r="C117">
        <v>0.265141318977119</v>
      </c>
      <c r="D117">
        <v>0.623236457200089</v>
      </c>
      <c r="E117">
        <v>-0.275708495785239</v>
      </c>
      <c r="F117">
        <v>0.187168476888103</v>
      </c>
      <c r="G117">
        <v>-0.282417550539942</v>
      </c>
      <c r="H117">
        <v>-0.09182078339152701</v>
      </c>
      <c r="I117">
        <v>0.564622226956776</v>
      </c>
    </row>
    <row r="118" spans="1:9">
      <c r="A118" s="1" t="s">
        <v>130</v>
      </c>
      <c r="B118">
        <f>HYPERLINK("https://www.suredividend.com/sure-analysis-research-database/","Heritage Financial Corp.")</f>
        <v>0</v>
      </c>
      <c r="C118">
        <v>-0.07421748951274501</v>
      </c>
      <c r="D118">
        <v>-0.06448499393496701</v>
      </c>
      <c r="E118">
        <v>0.128798728380101</v>
      </c>
      <c r="F118">
        <v>-0.06364229765013001</v>
      </c>
      <c r="G118">
        <v>0.181480124036881</v>
      </c>
      <c r="H118">
        <v>0.214977809397973</v>
      </c>
      <c r="I118">
        <v>0.045416782054832</v>
      </c>
    </row>
    <row r="119" spans="1:9">
      <c r="A119" s="1" t="s">
        <v>131</v>
      </c>
      <c r="B119">
        <f>HYPERLINK("https://www.suredividend.com/sure-analysis-HIG/","Hartford Financial Services Group Inc.")</f>
        <v>0</v>
      </c>
      <c r="C119">
        <v>-0.012759800052617</v>
      </c>
      <c r="D119">
        <v>0.123277665857447</v>
      </c>
      <c r="E119">
        <v>0.203970777439464</v>
      </c>
      <c r="F119">
        <v>-0.010286166424897</v>
      </c>
      <c r="G119">
        <v>0.101237553301071</v>
      </c>
      <c r="H119">
        <v>0.530998382302841</v>
      </c>
      <c r="I119">
        <v>0.4951956504848171</v>
      </c>
    </row>
    <row r="120" spans="1:9">
      <c r="A120" s="1" t="s">
        <v>132</v>
      </c>
      <c r="B120">
        <f>HYPERLINK("https://www.suredividend.com/sure-analysis-research-database/","Horace Mann Educators Corp.")</f>
        <v>0</v>
      </c>
      <c r="C120">
        <v>-0.028421052631578</v>
      </c>
      <c r="D120">
        <v>-0.010269923947339</v>
      </c>
      <c r="E120">
        <v>0.106389609766915</v>
      </c>
      <c r="F120">
        <v>-0.012041744715011</v>
      </c>
      <c r="G120">
        <v>0.03155000726443601</v>
      </c>
      <c r="H120">
        <v>-0.08263719444016501</v>
      </c>
      <c r="I120">
        <v>-0.03953464777300501</v>
      </c>
    </row>
    <row r="121" spans="1:9">
      <c r="A121" s="1" t="s">
        <v>133</v>
      </c>
      <c r="B121">
        <f>HYPERLINK("https://www.suredividend.com/sure-analysis-research-database/","HomeStreet Inc")</f>
        <v>0</v>
      </c>
      <c r="C121">
        <v>0.09421112372304201</v>
      </c>
      <c r="D121">
        <v>0.014662077531129</v>
      </c>
      <c r="E121">
        <v>-0.213632544518676</v>
      </c>
      <c r="F121">
        <v>0.04858593183466201</v>
      </c>
      <c r="G121">
        <v>-0.419414676843639</v>
      </c>
      <c r="H121">
        <v>-0.148976240782047</v>
      </c>
      <c r="I121">
        <v>0.003069559336142</v>
      </c>
    </row>
    <row r="122" spans="1:9">
      <c r="A122" s="1" t="s">
        <v>134</v>
      </c>
      <c r="B122">
        <f>HYPERLINK("https://www.suredividend.com/sure-analysis-research-database/","Home Bancshares Inc")</f>
        <v>0</v>
      </c>
      <c r="C122">
        <v>-0.020951549541684</v>
      </c>
      <c r="D122">
        <v>-0.05387392859553201</v>
      </c>
      <c r="E122">
        <v>0.031435088106537</v>
      </c>
      <c r="F122">
        <v>-0.015796401930671</v>
      </c>
      <c r="G122">
        <v>-0.035907398970144</v>
      </c>
      <c r="H122">
        <v>0.112494358170609</v>
      </c>
      <c r="I122">
        <v>0.026492945435241</v>
      </c>
    </row>
    <row r="123" spans="1:9">
      <c r="A123" s="1" t="s">
        <v>135</v>
      </c>
      <c r="B123">
        <f>HYPERLINK("https://www.suredividend.com/sure-analysis-research-database/","HarborOne Bancorp Inc.")</f>
        <v>0</v>
      </c>
      <c r="C123">
        <v>0.005000142049490001</v>
      </c>
      <c r="D123">
        <v>0.07004038173596</v>
      </c>
      <c r="E123">
        <v>-0.002551775669312</v>
      </c>
      <c r="F123">
        <v>0.017985611510791</v>
      </c>
      <c r="G123">
        <v>0.00415143881063</v>
      </c>
      <c r="H123">
        <v>0.328800698676833</v>
      </c>
      <c r="I123">
        <v>0.475957025138208</v>
      </c>
    </row>
    <row r="124" spans="1:9">
      <c r="A124" s="1" t="s">
        <v>136</v>
      </c>
      <c r="B124">
        <f>HYPERLINK("https://www.suredividend.com/sure-analysis-research-database/","Hope Bancorp Inc")</f>
        <v>0</v>
      </c>
      <c r="C124">
        <v>0.006987577639751</v>
      </c>
      <c r="D124">
        <v>-0.004795703050067</v>
      </c>
      <c r="E124">
        <v>-0.08564096779651401</v>
      </c>
      <c r="F124">
        <v>0.012490241998438</v>
      </c>
      <c r="G124">
        <v>-0.135535041823574</v>
      </c>
      <c r="H124">
        <v>0.14837704308406</v>
      </c>
      <c r="I124">
        <v>-0.156049504821644</v>
      </c>
    </row>
    <row r="125" spans="1:9">
      <c r="A125" s="1" t="s">
        <v>137</v>
      </c>
      <c r="B125">
        <f>HYPERLINK("https://www.suredividend.com/sure-analysis-research-database/","Heritage Commerce Corp.")</f>
        <v>0</v>
      </c>
      <c r="C125">
        <v>-0.070306656694091</v>
      </c>
      <c r="D125">
        <v>-0.02464669925691</v>
      </c>
      <c r="E125">
        <v>0.126334293843672</v>
      </c>
      <c r="F125">
        <v>-0.043846153846153</v>
      </c>
      <c r="G125">
        <v>0.041570651672965</v>
      </c>
      <c r="H125">
        <v>0.423972689051562</v>
      </c>
      <c r="I125">
        <v>-0.06406240587916301</v>
      </c>
    </row>
    <row r="126" spans="1:9">
      <c r="A126" s="1" t="s">
        <v>138</v>
      </c>
      <c r="B126">
        <f>HYPERLINK("https://www.suredividend.com/sure-analysis-research-database/","Hilltop Holdings Inc")</f>
        <v>0</v>
      </c>
      <c r="C126">
        <v>0.033772374197906</v>
      </c>
      <c r="D126">
        <v>0.121956404608048</v>
      </c>
      <c r="E126">
        <v>0.111252291662885</v>
      </c>
      <c r="F126">
        <v>0.019993335554814</v>
      </c>
      <c r="G126">
        <v>-0.09882856545637</v>
      </c>
      <c r="H126">
        <v>-0.0006301156082570001</v>
      </c>
      <c r="I126">
        <v>0.23630312650196</v>
      </c>
    </row>
    <row r="127" spans="1:9">
      <c r="A127" s="1" t="s">
        <v>139</v>
      </c>
      <c r="B127">
        <f>HYPERLINK("https://www.suredividend.com/sure-analysis-research-database/","Heartland Financial USA, Inc.")</f>
        <v>0</v>
      </c>
      <c r="C127">
        <v>0.013998250218722</v>
      </c>
      <c r="D127">
        <v>-0.007826528013491001</v>
      </c>
      <c r="E127">
        <v>0.105409735998779</v>
      </c>
      <c r="F127">
        <v>-0.005577005577005001</v>
      </c>
      <c r="G127">
        <v>-0.066904703919362</v>
      </c>
      <c r="H127">
        <v>0.088756173571594</v>
      </c>
      <c r="I127">
        <v>-0.079733289397677</v>
      </c>
    </row>
    <row r="128" spans="1:9">
      <c r="A128" s="1" t="s">
        <v>140</v>
      </c>
      <c r="B128">
        <f>HYPERLINK("https://www.suredividend.com/sure-analysis-research-database/","Hancock Whitney Corp.")</f>
        <v>0</v>
      </c>
      <c r="C128">
        <v>-0.005777961205117001</v>
      </c>
      <c r="D128">
        <v>-0.064536860315432</v>
      </c>
      <c r="E128">
        <v>0.026152184886298</v>
      </c>
      <c r="F128">
        <v>-0.004339739615623</v>
      </c>
      <c r="G128">
        <v>-0.08090444496586301</v>
      </c>
      <c r="H128">
        <v>0.341444739882783</v>
      </c>
      <c r="I128">
        <v>-0.137171469709668</v>
      </c>
    </row>
    <row r="129" spans="1:9">
      <c r="A129" s="1" t="s">
        <v>141</v>
      </c>
      <c r="B129">
        <f>HYPERLINK("https://www.suredividend.com/sure-analysis-research-database/","Independent Bank Corporation (Ionia, MI)")</f>
        <v>0</v>
      </c>
      <c r="C129">
        <v>-0.012277730736663</v>
      </c>
      <c r="D129">
        <v>0.154801857186698</v>
      </c>
      <c r="E129">
        <v>0.192868354986987</v>
      </c>
      <c r="F129">
        <v>-0.024665551839465</v>
      </c>
      <c r="G129">
        <v>-0.006832549328452</v>
      </c>
      <c r="H129">
        <v>0.26792789169624</v>
      </c>
      <c r="I129">
        <v>0.179951446489985</v>
      </c>
    </row>
    <row r="130" spans="1:9">
      <c r="A130" s="1" t="s">
        <v>142</v>
      </c>
      <c r="B130">
        <f>HYPERLINK("https://www.suredividend.com/sure-analysis-research-database/","International Bancshares Corp.")</f>
        <v>0</v>
      </c>
      <c r="C130">
        <v>-0.04156692056583201</v>
      </c>
      <c r="D130">
        <v>-0.08077645585472701</v>
      </c>
      <c r="E130">
        <v>0.07301836362263001</v>
      </c>
      <c r="F130">
        <v>-0.037587412587412</v>
      </c>
      <c r="G130">
        <v>0.076301569728651</v>
      </c>
      <c r="H130">
        <v>0.11874895212547</v>
      </c>
      <c r="I130">
        <v>0.2020569257476</v>
      </c>
    </row>
    <row r="131" spans="1:9">
      <c r="A131" s="1" t="s">
        <v>143</v>
      </c>
      <c r="B131">
        <f>HYPERLINK("https://www.suredividend.com/sure-analysis-research-database/","Independent Bank Group Inc")</f>
        <v>0</v>
      </c>
      <c r="C131">
        <v>0.006294517144276</v>
      </c>
      <c r="D131">
        <v>-0.05586629512609401</v>
      </c>
      <c r="E131">
        <v>-0.119945298986814</v>
      </c>
      <c r="F131">
        <v>0.011151797603195</v>
      </c>
      <c r="G131">
        <v>-0.174261422716985</v>
      </c>
      <c r="H131">
        <v>-0.036232884209925</v>
      </c>
      <c r="I131">
        <v>-0.106659686602983</v>
      </c>
    </row>
    <row r="132" spans="1:9">
      <c r="A132" s="1" t="s">
        <v>144</v>
      </c>
      <c r="B132">
        <f>HYPERLINK("https://www.suredividend.com/sure-analysis-ICE/","Intercontinental Exchange Inc")</f>
        <v>0</v>
      </c>
      <c r="C132">
        <v>0.057825450999512</v>
      </c>
      <c r="D132">
        <v>0.170004400459028</v>
      </c>
      <c r="E132">
        <v>0.098670717812381</v>
      </c>
      <c r="F132">
        <v>0.05741300321668701</v>
      </c>
      <c r="G132">
        <v>-0.124192958504927</v>
      </c>
      <c r="H132">
        <v>-0.014781904246391</v>
      </c>
      <c r="I132">
        <v>0.528864936170452</v>
      </c>
    </row>
    <row r="133" spans="1:9">
      <c r="A133" s="1" t="s">
        <v>145</v>
      </c>
      <c r="B133">
        <f>HYPERLINK("https://www.suredividend.com/sure-analysis-research-database/","Independent Bank Corp.")</f>
        <v>0</v>
      </c>
      <c r="C133">
        <v>-0.08601620238603101</v>
      </c>
      <c r="D133">
        <v>-0.07210350552080901</v>
      </c>
      <c r="E133">
        <v>-0.04543700020727</v>
      </c>
      <c r="F133">
        <v>-0.08906786687196501</v>
      </c>
      <c r="G133">
        <v>-0.05474165478590001</v>
      </c>
      <c r="H133">
        <v>0.027531319598179</v>
      </c>
      <c r="I133">
        <v>0.18174359037396</v>
      </c>
    </row>
    <row r="134" spans="1:9">
      <c r="A134" s="1" t="s">
        <v>146</v>
      </c>
      <c r="B134">
        <f>HYPERLINK("https://www.suredividend.com/sure-analysis-research-database/","Investors Bancorp Inc")</f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s="1" t="s">
        <v>147</v>
      </c>
      <c r="B135">
        <f>HYPERLINK("https://www.suredividend.com/sure-analysis-research-database/","Invesco Mortgage Capital Inc")</f>
        <v>0</v>
      </c>
      <c r="C135">
        <v>0.141369643572286</v>
      </c>
      <c r="D135">
        <v>0.396894483001999</v>
      </c>
      <c r="E135">
        <v>0.000856873955245</v>
      </c>
      <c r="F135">
        <v>0.176334623861844</v>
      </c>
      <c r="G135">
        <v>-0.302243592882395</v>
      </c>
      <c r="H135">
        <v>-0.451638350682084</v>
      </c>
      <c r="I135">
        <v>-0.792417181739121</v>
      </c>
    </row>
    <row r="136" spans="1:9">
      <c r="A136" s="1" t="s">
        <v>148</v>
      </c>
      <c r="B136">
        <f>HYPERLINK("https://www.suredividend.com/sure-analysis-IVZ/","Invesco Ltd")</f>
        <v>0</v>
      </c>
      <c r="C136">
        <v>0.022641509433962</v>
      </c>
      <c r="D136">
        <v>0.304013088249446</v>
      </c>
      <c r="E136">
        <v>0.141842477503235</v>
      </c>
      <c r="F136">
        <v>0.054474708171206</v>
      </c>
      <c r="G136">
        <v>-0.089932164685338</v>
      </c>
      <c r="H136">
        <v>-0.019389923029604</v>
      </c>
      <c r="I136">
        <v>-0.360090133851468</v>
      </c>
    </row>
    <row r="137" spans="1:9">
      <c r="A137" s="1" t="s">
        <v>149</v>
      </c>
      <c r="B137">
        <f>HYPERLINK("https://www.suredividend.com/sure-analysis-JPM/","JPMorgan Chase &amp; Co.")</f>
        <v>0</v>
      </c>
      <c r="C137">
        <v>0.029644586629103</v>
      </c>
      <c r="D137">
        <v>0.113292421402775</v>
      </c>
      <c r="E137">
        <v>0.19055908153849</v>
      </c>
      <c r="F137">
        <v>0.0147487129714</v>
      </c>
      <c r="G137">
        <v>-0.046643738500333</v>
      </c>
      <c r="H137">
        <v>0.050332447170408</v>
      </c>
      <c r="I137">
        <v>0.365161498969155</v>
      </c>
    </row>
    <row r="138" spans="1:9">
      <c r="A138" s="1" t="s">
        <v>150</v>
      </c>
      <c r="B138">
        <f>HYPERLINK("https://www.suredividend.com/sure-analysis-research-database/","James River Group Holdings Ltd")</f>
        <v>0</v>
      </c>
      <c r="C138">
        <v>-0.072246696035242</v>
      </c>
      <c r="D138">
        <v>-0.051842514013011</v>
      </c>
      <c r="E138">
        <v>-0.07032591565834201</v>
      </c>
      <c r="F138">
        <v>0.007173601147776001</v>
      </c>
      <c r="G138">
        <v>-0.212395238469219</v>
      </c>
      <c r="H138">
        <v>-0.540195755216464</v>
      </c>
      <c r="I138">
        <v>-0.325166545435902</v>
      </c>
    </row>
    <row r="139" spans="1:9">
      <c r="A139" s="1" t="s">
        <v>151</v>
      </c>
      <c r="B139">
        <f>HYPERLINK("https://www.suredividend.com/sure-analysis-KEY/","Keycorp")</f>
        <v>0</v>
      </c>
      <c r="C139">
        <v>0.028301886792452</v>
      </c>
      <c r="D139">
        <v>0.043193224029333</v>
      </c>
      <c r="E139">
        <v>-0.024182809055404</v>
      </c>
      <c r="F139">
        <v>0.001148105625717</v>
      </c>
      <c r="G139">
        <v>-0.268480923458944</v>
      </c>
      <c r="H139">
        <v>0.034370273716675</v>
      </c>
      <c r="I139">
        <v>0.00322712394802</v>
      </c>
    </row>
    <row r="140" spans="1:9">
      <c r="A140" s="1" t="s">
        <v>152</v>
      </c>
      <c r="B140">
        <f>HYPERLINK("https://www.suredividend.com/sure-analysis-research-database/","Kemper Corporation")</f>
        <v>0</v>
      </c>
      <c r="C140">
        <v>0.014180374361883</v>
      </c>
      <c r="D140">
        <v>0.261785129565855</v>
      </c>
      <c r="E140">
        <v>0.141490321592127</v>
      </c>
      <c r="F140">
        <v>0.09024390243902401</v>
      </c>
      <c r="G140">
        <v>-0.06150435742617</v>
      </c>
      <c r="H140">
        <v>-0.257463776441778</v>
      </c>
      <c r="I140">
        <v>-0.154415357986234</v>
      </c>
    </row>
    <row r="141" spans="1:9">
      <c r="A141" s="1" t="s">
        <v>153</v>
      </c>
      <c r="B141">
        <f>HYPERLINK("https://www.suredividend.com/sure-analysis-research-database/","Kinsale Capital Group Inc")</f>
        <v>0</v>
      </c>
      <c r="C141">
        <v>-0.058088182919011</v>
      </c>
      <c r="D141">
        <v>-0.04393309447627</v>
      </c>
      <c r="E141">
        <v>0.153721490140342</v>
      </c>
      <c r="F141">
        <v>0.011280208014683</v>
      </c>
      <c r="G141">
        <v>0.400965902078061</v>
      </c>
      <c r="H141">
        <v>0.386056627753102</v>
      </c>
      <c r="I141">
        <v>4.936982279072065</v>
      </c>
    </row>
    <row r="142" spans="1:9">
      <c r="A142" s="1" t="s">
        <v>154</v>
      </c>
      <c r="B142">
        <f>HYPERLINK("https://www.suredividend.com/sure-analysis-KREF/","KKR Real Estate Finance Trust Inc")</f>
        <v>0</v>
      </c>
      <c r="C142">
        <v>0.079192219711747</v>
      </c>
      <c r="D142">
        <v>-0.06073467892149301</v>
      </c>
      <c r="E142">
        <v>-0.131769992435447</v>
      </c>
      <c r="F142">
        <v>0.101719197707736</v>
      </c>
      <c r="G142">
        <v>-0.202269744861175</v>
      </c>
      <c r="H142">
        <v>0.031411786796856</v>
      </c>
      <c r="I142">
        <v>0.229052957958078</v>
      </c>
    </row>
    <row r="143" spans="1:9">
      <c r="A143" s="1" t="s">
        <v>155</v>
      </c>
      <c r="B143">
        <f>HYPERLINK("https://www.suredividend.com/sure-analysis-research-database/","Loews Corp.")</f>
        <v>0</v>
      </c>
      <c r="C143">
        <v>0.026819923371647</v>
      </c>
      <c r="D143">
        <v>0.06351316494374901</v>
      </c>
      <c r="E143">
        <v>0.029408683627932</v>
      </c>
      <c r="F143">
        <v>0.010800617178124</v>
      </c>
      <c r="G143">
        <v>0.01712341764509</v>
      </c>
      <c r="H143">
        <v>0.276945034620024</v>
      </c>
      <c r="I143">
        <v>0.145125641414082</v>
      </c>
    </row>
    <row r="144" spans="1:9">
      <c r="A144" s="1" t="s">
        <v>156</v>
      </c>
      <c r="B144">
        <f>HYPERLINK("https://www.suredividend.com/sure-analysis-research-database/","Lakeland Bancorp, Inc.")</f>
        <v>0</v>
      </c>
      <c r="C144">
        <v>0.038961038961038</v>
      </c>
      <c r="D144">
        <v>0.071567925176604</v>
      </c>
      <c r="E144">
        <v>0.231700214878135</v>
      </c>
      <c r="F144">
        <v>0.044860874503123</v>
      </c>
      <c r="G144">
        <v>-0.004253568993322</v>
      </c>
      <c r="H144">
        <v>0.471446736027253</v>
      </c>
      <c r="I144">
        <v>0.048158317478039</v>
      </c>
    </row>
    <row r="145" spans="1:9">
      <c r="A145" s="1" t="s">
        <v>157</v>
      </c>
      <c r="B145">
        <f>HYPERLINK("https://www.suredividend.com/sure-analysis-research-database/","Lakeland Financial Corp.")</f>
        <v>0</v>
      </c>
      <c r="C145">
        <v>-0.000539447066756</v>
      </c>
      <c r="D145">
        <v>-0.021003963011889</v>
      </c>
      <c r="E145">
        <v>0.07599007493165201</v>
      </c>
      <c r="F145">
        <v>0.015622858709058</v>
      </c>
      <c r="G145">
        <v>-0.05189805889208501</v>
      </c>
      <c r="H145">
        <v>0.287197327993024</v>
      </c>
      <c r="I145">
        <v>0.6335050376140371</v>
      </c>
    </row>
    <row r="146" spans="1:9">
      <c r="A146" s="1" t="s">
        <v>158</v>
      </c>
      <c r="B146">
        <f>HYPERLINK("https://www.suredividend.com/sure-analysis-research-database/","Lemonade Inc")</f>
        <v>0</v>
      </c>
      <c r="C146">
        <v>-0.033898305084745</v>
      </c>
      <c r="D146">
        <v>-0.352838427947598</v>
      </c>
      <c r="E146">
        <v>-0.286127167630057</v>
      </c>
      <c r="F146">
        <v>0.08333333333333301</v>
      </c>
      <c r="G146">
        <v>-0.492639507018144</v>
      </c>
      <c r="H146">
        <v>-0.8999932519063361</v>
      </c>
      <c r="I146">
        <v>-0.7864860971041631</v>
      </c>
    </row>
    <row r="147" spans="1:9">
      <c r="A147" s="1" t="s">
        <v>159</v>
      </c>
      <c r="B147">
        <f>HYPERLINK("https://www.suredividend.com/sure-analysis-LNC/","Lincoln National Corp.")</f>
        <v>0</v>
      </c>
      <c r="C147">
        <v>0.063195681583776</v>
      </c>
      <c r="D147">
        <v>-0.360774720905183</v>
      </c>
      <c r="E147">
        <v>-0.356325847115731</v>
      </c>
      <c r="F147">
        <v>0.048311475626345</v>
      </c>
      <c r="G147">
        <v>-0.512864220298909</v>
      </c>
      <c r="H147">
        <v>-0.337755251027261</v>
      </c>
      <c r="I147">
        <v>-0.553817983032435</v>
      </c>
    </row>
    <row r="148" spans="1:9">
      <c r="A148" s="1" t="s">
        <v>160</v>
      </c>
      <c r="B148">
        <f>HYPERLINK("https://www.suredividend.com/sure-analysis-research-database/","Live Oak Bancshares Inc")</f>
        <v>0</v>
      </c>
      <c r="C148">
        <v>-0.005482102547565</v>
      </c>
      <c r="D148">
        <v>0.059306024030171</v>
      </c>
      <c r="E148">
        <v>-0.113477216019501</v>
      </c>
      <c r="F148">
        <v>0.021192052980132</v>
      </c>
      <c r="G148">
        <v>-0.5224128372456041</v>
      </c>
      <c r="H148">
        <v>-0.34822441875947</v>
      </c>
      <c r="I148">
        <v>0.328319830471243</v>
      </c>
    </row>
    <row r="149" spans="1:9">
      <c r="A149" s="1" t="s">
        <v>161</v>
      </c>
      <c r="B149">
        <f>HYPERLINK("https://www.suredividend.com/sure-analysis-research-database/","MBIA Inc.")</f>
        <v>0</v>
      </c>
      <c r="C149">
        <v>0.019762845849802</v>
      </c>
      <c r="D149">
        <v>0.281032770605759</v>
      </c>
      <c r="E149">
        <v>0.058244462674323</v>
      </c>
      <c r="F149">
        <v>0.003891050583657</v>
      </c>
      <c r="G149">
        <v>-0.015267175572518</v>
      </c>
      <c r="H149">
        <v>0.908284023668639</v>
      </c>
      <c r="I149">
        <v>0.7315436241610731</v>
      </c>
    </row>
    <row r="150" spans="1:9">
      <c r="A150" s="1" t="s">
        <v>162</v>
      </c>
      <c r="B150">
        <f>HYPERLINK("https://www.suredividend.com/sure-analysis-MCO/","Moody`s Corp.")</f>
        <v>0</v>
      </c>
      <c r="C150">
        <v>0.134728418667233</v>
      </c>
      <c r="D150">
        <v>0.330890854241973</v>
      </c>
      <c r="E150">
        <v>0.09078643363517401</v>
      </c>
      <c r="F150">
        <v>0.150204579714306</v>
      </c>
      <c r="G150">
        <v>-0.05128400969349901</v>
      </c>
      <c r="H150">
        <v>0.206762418389994</v>
      </c>
      <c r="I150">
        <v>1.113413551645319</v>
      </c>
    </row>
    <row r="151" spans="1:9">
      <c r="A151" s="1" t="s">
        <v>163</v>
      </c>
      <c r="B151">
        <f>HYPERLINK("https://www.suredividend.com/sure-analysis-MCY/","Mercury General Corp.")</f>
        <v>0</v>
      </c>
      <c r="C151">
        <v>0.022013501614323</v>
      </c>
      <c r="D151">
        <v>0.2174442063012</v>
      </c>
      <c r="E151">
        <v>-0.150793844352852</v>
      </c>
      <c r="F151">
        <v>0.01812865497076</v>
      </c>
      <c r="G151">
        <v>-0.301097930591517</v>
      </c>
      <c r="H151">
        <v>-0.288133999268098</v>
      </c>
      <c r="I151">
        <v>-0.146637649405807</v>
      </c>
    </row>
    <row r="152" spans="1:9">
      <c r="A152" s="1" t="s">
        <v>164</v>
      </c>
      <c r="B152">
        <f>HYPERLINK("https://www.suredividend.com/sure-analysis-MET/","Metlife Inc")</f>
        <v>0</v>
      </c>
      <c r="C152">
        <v>-0.03638110928061501</v>
      </c>
      <c r="D152">
        <v>0.038301321877847</v>
      </c>
      <c r="E152">
        <v>0.16559251921758</v>
      </c>
      <c r="F152">
        <v>-0.030122979135</v>
      </c>
      <c r="G152">
        <v>0.101408340198501</v>
      </c>
      <c r="H152">
        <v>0.461001115681148</v>
      </c>
      <c r="I152">
        <v>0.5771899548796491</v>
      </c>
    </row>
    <row r="153" spans="1:9">
      <c r="A153" s="1" t="s">
        <v>165</v>
      </c>
      <c r="B153">
        <f>HYPERLINK("https://www.suredividend.com/sure-analysis-research-database/","Metromile Inc")</f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>
      <c r="A154" s="1" t="s">
        <v>166</v>
      </c>
      <c r="B154">
        <f>HYPERLINK("https://www.suredividend.com/sure-analysis-research-database/","Markel Corp")</f>
        <v>0</v>
      </c>
      <c r="C154">
        <v>0.06995272417267201</v>
      </c>
      <c r="D154">
        <v>0.218155507711855</v>
      </c>
      <c r="E154">
        <v>0.08346347933229201</v>
      </c>
      <c r="F154">
        <v>0.047871331091696</v>
      </c>
      <c r="G154">
        <v>0.133260002298435</v>
      </c>
      <c r="H154">
        <v>0.378877769121671</v>
      </c>
      <c r="I154">
        <v>0.230445632798574</v>
      </c>
    </row>
    <row r="155" spans="1:9">
      <c r="A155" s="1" t="s">
        <v>167</v>
      </c>
      <c r="B155">
        <f>HYPERLINK("https://www.suredividend.com/sure-analysis-MKTX/","MarketAxess Holdings Inc.")</f>
        <v>0</v>
      </c>
      <c r="C155">
        <v>0.208648104180156</v>
      </c>
      <c r="D155">
        <v>0.386497107784695</v>
      </c>
      <c r="E155">
        <v>0.248104050524476</v>
      </c>
      <c r="F155">
        <v>0.204704363727634</v>
      </c>
      <c r="G155">
        <v>-0.06914090443885501</v>
      </c>
      <c r="H155">
        <v>-0.336166516735428</v>
      </c>
      <c r="I155">
        <v>0.6719074464522351</v>
      </c>
    </row>
    <row r="156" spans="1:9">
      <c r="A156" s="1" t="s">
        <v>168</v>
      </c>
      <c r="B156">
        <f>HYPERLINK("https://www.suredividend.com/sure-analysis-MMC/","Marsh &amp; McLennan Cos., Inc.")</f>
        <v>0</v>
      </c>
      <c r="C156">
        <v>0.032997195536726</v>
      </c>
      <c r="D156">
        <v>0.117407861614922</v>
      </c>
      <c r="E156">
        <v>0.103113594192851</v>
      </c>
      <c r="F156">
        <v>0.046168721295624</v>
      </c>
      <c r="G156">
        <v>0.117931001081639</v>
      </c>
      <c r="H156">
        <v>0.593895468740793</v>
      </c>
      <c r="I156">
        <v>1.294359787209792</v>
      </c>
    </row>
    <row r="157" spans="1:9">
      <c r="A157" s="1" t="s">
        <v>169</v>
      </c>
      <c r="B157">
        <f>HYPERLINK("https://www.suredividend.com/sure-analysis-MS/","Morgan Stanley")</f>
        <v>0</v>
      </c>
      <c r="C157">
        <v>0.107862323011396</v>
      </c>
      <c r="D157">
        <v>0.22662635691717</v>
      </c>
      <c r="E157">
        <v>0.181579441696347</v>
      </c>
      <c r="F157">
        <v>0.13196894848271</v>
      </c>
      <c r="G157">
        <v>0.007753967298258</v>
      </c>
      <c r="H157">
        <v>0.365507319170309</v>
      </c>
      <c r="I157">
        <v>0.9233920769996361</v>
      </c>
    </row>
    <row r="158" spans="1:9">
      <c r="A158" s="1" t="s">
        <v>170</v>
      </c>
      <c r="B158">
        <f>HYPERLINK("https://www.suredividend.com/sure-analysis-research-database/","Midland States Bancorp Inc")</f>
        <v>0</v>
      </c>
      <c r="C158">
        <v>0.00988969189806</v>
      </c>
      <c r="D158">
        <v>0.003613765573968</v>
      </c>
      <c r="E158">
        <v>0.07570011668611401</v>
      </c>
      <c r="F158">
        <v>-0.002629601803155</v>
      </c>
      <c r="G158">
        <v>0.05908117228917101</v>
      </c>
      <c r="H158">
        <v>0.5129498247713481</v>
      </c>
      <c r="I158">
        <v>-0.028170251394603</v>
      </c>
    </row>
    <row r="159" spans="1:9">
      <c r="A159" s="1" t="s">
        <v>171</v>
      </c>
      <c r="B159">
        <f>HYPERLINK("https://www.suredividend.com/sure-analysis-research-database/","MSCI Inc")</f>
        <v>0</v>
      </c>
      <c r="C159">
        <v>0.083410957744093</v>
      </c>
      <c r="D159">
        <v>0.278098256925321</v>
      </c>
      <c r="E159">
        <v>0.149543796706674</v>
      </c>
      <c r="F159">
        <v>0.100156931874368</v>
      </c>
      <c r="G159">
        <v>0.031827033077903</v>
      </c>
      <c r="H159">
        <v>0.25558315699083</v>
      </c>
      <c r="I159">
        <v>2.886653943044449</v>
      </c>
    </row>
    <row r="160" spans="1:9">
      <c r="A160" s="1" t="s">
        <v>172</v>
      </c>
      <c r="B160">
        <f>HYPERLINK("https://www.suredividend.com/sure-analysis-MTB/","M &amp; T Bank Corp")</f>
        <v>0</v>
      </c>
      <c r="C160">
        <v>0.07468009230123701</v>
      </c>
      <c r="D160">
        <v>-0.043229897493808</v>
      </c>
      <c r="E160">
        <v>-0.07930806427650501</v>
      </c>
      <c r="F160">
        <v>0.059492623741899</v>
      </c>
      <c r="G160">
        <v>-0.020182868596507</v>
      </c>
      <c r="H160">
        <v>0.118316405903232</v>
      </c>
      <c r="I160">
        <v>-0.07605683251433401</v>
      </c>
    </row>
    <row r="161" spans="1:9">
      <c r="A161" s="1" t="s">
        <v>173</v>
      </c>
      <c r="B161">
        <f>HYPERLINK("https://www.suredividend.com/sure-analysis-research-database/","National Bank Holdings Corp")</f>
        <v>0</v>
      </c>
      <c r="C161">
        <v>0.008824230860958</v>
      </c>
      <c r="D161">
        <v>0.05636440826111901</v>
      </c>
      <c r="E161">
        <v>0.03376728749728</v>
      </c>
      <c r="F161">
        <v>0.005467078678393001</v>
      </c>
      <c r="G161">
        <v>-0.033836286642272</v>
      </c>
      <c r="H161">
        <v>0.259202148085744</v>
      </c>
      <c r="I161">
        <v>0.365529263647222</v>
      </c>
    </row>
    <row r="162" spans="1:9">
      <c r="A162" s="1" t="s">
        <v>174</v>
      </c>
      <c r="B162">
        <f>HYPERLINK("https://www.suredividend.com/sure-analysis-research-database/","NBT Bancorp. Inc.")</f>
        <v>0</v>
      </c>
      <c r="C162">
        <v>-0.021879318286504</v>
      </c>
      <c r="D162">
        <v>0.00387889159668</v>
      </c>
      <c r="E162">
        <v>0.09828443161776401</v>
      </c>
      <c r="F162">
        <v>-0.021879318286504</v>
      </c>
      <c r="G162">
        <v>0.114370578727513</v>
      </c>
      <c r="H162">
        <v>0.317503846726559</v>
      </c>
      <c r="I162">
        <v>0.302612893628636</v>
      </c>
    </row>
    <row r="163" spans="1:9">
      <c r="A163" s="1" t="s">
        <v>175</v>
      </c>
      <c r="B163">
        <f>HYPERLINK("https://www.suredividend.com/sure-analysis-research-database/","Nicolet Bankshares Inc.")</f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>
      <c r="A164" s="1" t="s">
        <v>176</v>
      </c>
      <c r="B164">
        <f>HYPERLINK("https://www.suredividend.com/sure-analysis-NDAQ/","Nasdaq Inc")</f>
        <v>0</v>
      </c>
      <c r="C164">
        <v>0.008941635506421</v>
      </c>
      <c r="D164">
        <v>0.07796766791786801</v>
      </c>
      <c r="E164">
        <v>0.07660627887329301</v>
      </c>
      <c r="F164">
        <v>0.011572942135289</v>
      </c>
      <c r="G164">
        <v>0.066394483479133</v>
      </c>
      <c r="H164">
        <v>0.350430958510043</v>
      </c>
      <c r="I164">
        <v>1.519353882752209</v>
      </c>
    </row>
    <row r="165" spans="1:9">
      <c r="A165" s="1" t="s">
        <v>177</v>
      </c>
      <c r="B165">
        <f>HYPERLINK("https://www.suredividend.com/sure-analysis-research-database/","Northfield Bancorp Inc")</f>
        <v>0</v>
      </c>
      <c r="C165">
        <v>0.016720257234726</v>
      </c>
      <c r="D165">
        <v>0.06989869460178201</v>
      </c>
      <c r="E165">
        <v>0.167961939658993</v>
      </c>
      <c r="F165">
        <v>0.005085823267641</v>
      </c>
      <c r="G165">
        <v>-0.011306501238211</v>
      </c>
      <c r="H165">
        <v>0.29672006102212</v>
      </c>
      <c r="I165">
        <v>0.07256975773898701</v>
      </c>
    </row>
    <row r="166" spans="1:9">
      <c r="A166" s="1" t="s">
        <v>178</v>
      </c>
      <c r="B166">
        <f>HYPERLINK("https://www.suredividend.com/sure-analysis-research-database/","NMI Holdings Inc")</f>
        <v>0</v>
      </c>
      <c r="C166">
        <v>0.078743961352657</v>
      </c>
      <c r="D166">
        <v>0.07510832932113601</v>
      </c>
      <c r="E166">
        <v>0.253086419753086</v>
      </c>
      <c r="F166">
        <v>0.06842105263157801</v>
      </c>
      <c r="G166">
        <v>-0.06058056373580101</v>
      </c>
      <c r="H166">
        <v>-0.041219407471017</v>
      </c>
      <c r="I166">
        <v>0.139285714285714</v>
      </c>
    </row>
    <row r="167" spans="1:9">
      <c r="A167" s="1" t="s">
        <v>179</v>
      </c>
      <c r="B167">
        <f>HYPERLINK("https://www.suredividend.com/sure-analysis-NTRS/","Northern Trust Corp.")</f>
        <v>0</v>
      </c>
      <c r="C167">
        <v>0.049578414839797</v>
      </c>
      <c r="D167">
        <v>0.181939718035974</v>
      </c>
      <c r="E167">
        <v>-0.026739640344018</v>
      </c>
      <c r="F167">
        <v>0.055034467171431</v>
      </c>
      <c r="G167">
        <v>-0.156173060445341</v>
      </c>
      <c r="H167">
        <v>0.046039871866838</v>
      </c>
      <c r="I167">
        <v>0.003129945943157</v>
      </c>
    </row>
    <row r="168" spans="1:9">
      <c r="A168" s="1" t="s">
        <v>180</v>
      </c>
      <c r="B168">
        <f>HYPERLINK("https://www.suredividend.com/sure-analysis-NWBI/","Northwest Bancshares Inc")</f>
        <v>0</v>
      </c>
      <c r="C168">
        <v>-0.024717514124293</v>
      </c>
      <c r="D168">
        <v>0.012708353193954</v>
      </c>
      <c r="E168">
        <v>0.081119165792481</v>
      </c>
      <c r="F168">
        <v>-0.012160228898426</v>
      </c>
      <c r="G168">
        <v>0.024632734827125</v>
      </c>
      <c r="H168">
        <v>0.127595470021964</v>
      </c>
      <c r="I168">
        <v>0.053555080866646</v>
      </c>
    </row>
    <row r="169" spans="1:9">
      <c r="A169" s="1" t="s">
        <v>181</v>
      </c>
      <c r="B169">
        <f>HYPERLINK("https://www.suredividend.com/sure-analysis-research-database/","National Western Life Group Inc")</f>
        <v>0</v>
      </c>
      <c r="C169">
        <v>0.020560819363995</v>
      </c>
      <c r="D169">
        <v>0.381721904382039</v>
      </c>
      <c r="E169">
        <v>0.287915571216333</v>
      </c>
      <c r="F169">
        <v>-0.053202846975088</v>
      </c>
      <c r="G169">
        <v>0.263973547059913</v>
      </c>
      <c r="H169">
        <v>0.323006539197891</v>
      </c>
      <c r="I169">
        <v>-0.204191031243391</v>
      </c>
    </row>
    <row r="170" spans="1:9">
      <c r="A170" s="1" t="s">
        <v>182</v>
      </c>
      <c r="B170">
        <f>HYPERLINK("https://www.suredividend.com/sure-analysis-NYCB/","New York Community Bancorp Inc.")</f>
        <v>0</v>
      </c>
      <c r="C170">
        <v>0.107551487414187</v>
      </c>
      <c r="D170">
        <v>0.162399731014938</v>
      </c>
      <c r="E170">
        <v>0.055098370483405</v>
      </c>
      <c r="F170">
        <v>0.125581395348837</v>
      </c>
      <c r="G170">
        <v>-0.142884971267166</v>
      </c>
      <c r="H170">
        <v>0.008490910038026</v>
      </c>
      <c r="I170">
        <v>-0.044714845407624</v>
      </c>
    </row>
    <row r="171" spans="1:9">
      <c r="A171" s="1" t="s">
        <v>183</v>
      </c>
      <c r="B171">
        <f>HYPERLINK("https://www.suredividend.com/sure-analysis-NYMT/","New York Mortgage Trust Inc")</f>
        <v>0</v>
      </c>
      <c r="C171">
        <v>0.07663307474806001</v>
      </c>
      <c r="D171">
        <v>0.267172966976704</v>
      </c>
      <c r="E171">
        <v>0.103925066904549</v>
      </c>
      <c r="F171">
        <v>0.16015625</v>
      </c>
      <c r="G171">
        <v>-0.047893825735718</v>
      </c>
      <c r="H171">
        <v>-0.040108593775249</v>
      </c>
      <c r="I171">
        <v>-0.131451966661792</v>
      </c>
    </row>
    <row r="172" spans="1:9">
      <c r="A172" s="1" t="s">
        <v>184</v>
      </c>
      <c r="B172">
        <f>HYPERLINK("https://www.suredividend.com/sure-analysis-research-database/","OceanFirst Financial Corp.")</f>
        <v>0</v>
      </c>
      <c r="C172">
        <v>0.039888682745825</v>
      </c>
      <c r="D172">
        <v>0.074171493730805</v>
      </c>
      <c r="E172">
        <v>0.14495825141077</v>
      </c>
      <c r="F172">
        <v>0.055058823529411</v>
      </c>
      <c r="G172">
        <v>0.034395257099356</v>
      </c>
      <c r="H172">
        <v>0.221139548690352</v>
      </c>
      <c r="I172">
        <v>-0.060466246767995</v>
      </c>
    </row>
    <row r="173" spans="1:9">
      <c r="A173" s="1" t="s">
        <v>185</v>
      </c>
      <c r="B173">
        <f>HYPERLINK("https://www.suredividend.com/sure-analysis-research-database/","OFG Bancorp")</f>
        <v>0</v>
      </c>
      <c r="C173">
        <v>0.039034402244525</v>
      </c>
      <c r="D173">
        <v>0.01549560160477</v>
      </c>
      <c r="E173">
        <v>0.04681648650597001</v>
      </c>
      <c r="F173">
        <v>0.001088534107402</v>
      </c>
      <c r="G173">
        <v>0.04761145348020401</v>
      </c>
      <c r="H173">
        <v>0.5006146047493171</v>
      </c>
      <c r="I173">
        <v>2.353143496068351</v>
      </c>
    </row>
    <row r="174" spans="1:9">
      <c r="A174" s="1" t="s">
        <v>186</v>
      </c>
      <c r="B174">
        <f>HYPERLINK("https://www.suredividend.com/sure-analysis-research-database/","Old National Bancorp")</f>
        <v>0</v>
      </c>
      <c r="C174">
        <v>0.014639639639639</v>
      </c>
      <c r="D174">
        <v>0.008636661311899</v>
      </c>
      <c r="E174">
        <v>0.154262508247019</v>
      </c>
      <c r="F174">
        <v>0.00222469410456</v>
      </c>
      <c r="G174">
        <v>-0.009541816902647</v>
      </c>
      <c r="H174">
        <v>0.074332864331195</v>
      </c>
      <c r="I174">
        <v>0.12662319393299</v>
      </c>
    </row>
    <row r="175" spans="1:9">
      <c r="A175" s="1" t="s">
        <v>187</v>
      </c>
      <c r="B175">
        <f>HYPERLINK("https://www.suredividend.com/sure-analysis-ORI/","Old Republic International Corp.")</f>
        <v>0</v>
      </c>
      <c r="C175">
        <v>-0.005813953488371</v>
      </c>
      <c r="D175">
        <v>0.05581625092615401</v>
      </c>
      <c r="E175">
        <v>0.09213833752275201</v>
      </c>
      <c r="F175">
        <v>-0.008695652173912001</v>
      </c>
      <c r="G175">
        <v>0.02526766595289</v>
      </c>
      <c r="H175">
        <v>0.474573765645018</v>
      </c>
      <c r="I175">
        <v>0.606894746380459</v>
      </c>
    </row>
    <row r="176" spans="1:9">
      <c r="A176" s="1" t="s">
        <v>188</v>
      </c>
      <c r="B176">
        <f>HYPERLINK("https://www.suredividend.com/sure-analysis-research-database/","Oscar Health Inc")</f>
        <v>0</v>
      </c>
      <c r="C176">
        <v>0.441860465116279</v>
      </c>
      <c r="D176">
        <v>-0.119318181818181</v>
      </c>
      <c r="E176">
        <v>-0.411764705882352</v>
      </c>
      <c r="F176">
        <v>0.260162601626016</v>
      </c>
      <c r="G176">
        <v>-0.4967532467532461</v>
      </c>
      <c r="H176">
        <v>-0.9109195402298851</v>
      </c>
      <c r="I176">
        <v>-0.9109195402298851</v>
      </c>
    </row>
    <row r="177" spans="1:9">
      <c r="A177" s="1" t="s">
        <v>189</v>
      </c>
      <c r="B177">
        <f>HYPERLINK("https://www.suredividend.com/sure-analysis-OZK/","Bank OZK")</f>
        <v>0</v>
      </c>
      <c r="C177">
        <v>0.09495629568135801</v>
      </c>
      <c r="D177">
        <v>0.084578515638752</v>
      </c>
      <c r="E177">
        <v>0.110215891042851</v>
      </c>
      <c r="F177">
        <v>0.08538914711515</v>
      </c>
      <c r="G177">
        <v>-0.07456877222118501</v>
      </c>
      <c r="H177">
        <v>0.343048873526709</v>
      </c>
      <c r="I177">
        <v>-0.155649785535437</v>
      </c>
    </row>
    <row r="178" spans="1:9">
      <c r="A178" s="1" t="s">
        <v>190</v>
      </c>
      <c r="B178">
        <f>HYPERLINK("https://www.suredividend.com/sure-analysis-PACW/","Pacwest Bancorp")</f>
        <v>0</v>
      </c>
      <c r="C178">
        <v>0.100757913508693</v>
      </c>
      <c r="D178">
        <v>0.133317420681551</v>
      </c>
      <c r="E178">
        <v>-0.08838493859798101</v>
      </c>
      <c r="F178">
        <v>0.075816993464052</v>
      </c>
      <c r="G178">
        <v>-0.471448816807456</v>
      </c>
      <c r="H178">
        <v>-0.140338293768236</v>
      </c>
      <c r="I178">
        <v>-0.4443856849988631</v>
      </c>
    </row>
    <row r="179" spans="1:9">
      <c r="A179" s="1" t="s">
        <v>191</v>
      </c>
      <c r="B179">
        <f>HYPERLINK("https://www.suredividend.com/sure-analysis-PB/","Prosperity Bancshares Inc.")</f>
        <v>0</v>
      </c>
      <c r="C179">
        <v>0.036583649922611</v>
      </c>
      <c r="D179">
        <v>0.027043002807743</v>
      </c>
      <c r="E179">
        <v>0.064292390750032</v>
      </c>
      <c r="F179">
        <v>0.013621353880021</v>
      </c>
      <c r="G179">
        <v>0.018376955679106</v>
      </c>
      <c r="H179">
        <v>0.127813218087264</v>
      </c>
      <c r="I179">
        <v>0.115373900826045</v>
      </c>
    </row>
    <row r="180" spans="1:9">
      <c r="A180" s="1" t="s">
        <v>192</v>
      </c>
      <c r="B180">
        <f>HYPERLINK("https://www.suredividend.com/sure-analysis-PBCT/","People`s United Financial Inc")</f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>
      <c r="A181" s="1" t="s">
        <v>193</v>
      </c>
      <c r="B181">
        <f>HYPERLINK("https://www.suredividend.com/sure-analysis-research-database/","Peoples Bancorp, Inc. (Marietta, OH)")</f>
        <v>0</v>
      </c>
      <c r="C181">
        <v>-0.007015082427218</v>
      </c>
      <c r="D181">
        <v>-0.052901680422062</v>
      </c>
      <c r="E181">
        <v>0.04183917182802</v>
      </c>
      <c r="F181">
        <v>0.002123893805309</v>
      </c>
      <c r="G181">
        <v>-0.083154131150089</v>
      </c>
      <c r="H181">
        <v>0.010176700636578</v>
      </c>
      <c r="I181">
        <v>0.03834656788131</v>
      </c>
    </row>
    <row r="182" spans="1:9">
      <c r="A182" s="1" t="s">
        <v>194</v>
      </c>
      <c r="B182">
        <f>HYPERLINK("https://www.suredividend.com/sure-analysis-research-database/","Preferred Bank (Los Angeles, CA)")</f>
        <v>0</v>
      </c>
      <c r="C182">
        <v>-0.06784321972209101</v>
      </c>
      <c r="D182">
        <v>-0.038115122944605</v>
      </c>
      <c r="E182">
        <v>-0.030971088885805</v>
      </c>
      <c r="F182">
        <v>-0.066344241511023</v>
      </c>
      <c r="G182">
        <v>-0.07378882653129501</v>
      </c>
      <c r="H182">
        <v>0.445470337025571</v>
      </c>
      <c r="I182">
        <v>0.14059221725189</v>
      </c>
    </row>
    <row r="183" spans="1:9">
      <c r="A183" s="1" t="s">
        <v>195</v>
      </c>
      <c r="B183">
        <f>HYPERLINK("https://www.suredividend.com/sure-analysis-PFG/","Principal Financial Group Inc")</f>
        <v>0</v>
      </c>
      <c r="C183">
        <v>0.02018093249826</v>
      </c>
      <c r="D183">
        <v>0.123681628648515</v>
      </c>
      <c r="E183">
        <v>0.381776138441527</v>
      </c>
      <c r="F183">
        <v>0.048141086749284</v>
      </c>
      <c r="G183">
        <v>0.264563469699932</v>
      </c>
      <c r="H183">
        <v>0.7673297166968051</v>
      </c>
      <c r="I183">
        <v>0.452091384687006</v>
      </c>
    </row>
    <row r="184" spans="1:9">
      <c r="A184" s="1" t="s">
        <v>196</v>
      </c>
      <c r="B184">
        <f>HYPERLINK("https://www.suredividend.com/sure-analysis-research-database/","Provident Financial Services Inc")</f>
        <v>0</v>
      </c>
      <c r="C184">
        <v>0.049417249417249</v>
      </c>
      <c r="D184">
        <v>0.104227065581571</v>
      </c>
      <c r="E184">
        <v>-0.01013610078934</v>
      </c>
      <c r="F184">
        <v>0.05383895131086101</v>
      </c>
      <c r="G184">
        <v>-0.025169761640798</v>
      </c>
      <c r="H184">
        <v>0.27151435043184</v>
      </c>
      <c r="I184">
        <v>-0.0067773875289</v>
      </c>
    </row>
    <row r="185" spans="1:9">
      <c r="A185" s="1" t="s">
        <v>197</v>
      </c>
      <c r="B185">
        <f>HYPERLINK("https://www.suredividend.com/sure-analysis-PGR/","Progressive Corp.")</f>
        <v>0</v>
      </c>
      <c r="C185">
        <v>-0.010785790906328</v>
      </c>
      <c r="D185">
        <v>0.043097762525468</v>
      </c>
      <c r="E185">
        <v>0.14863703411712</v>
      </c>
      <c r="F185">
        <v>-0.01528571604923</v>
      </c>
      <c r="G185">
        <v>0.185457227220839</v>
      </c>
      <c r="H185">
        <v>0.38286645473477</v>
      </c>
      <c r="I185">
        <v>1.605986233989508</v>
      </c>
    </row>
    <row r="186" spans="1:9">
      <c r="A186" s="1" t="s">
        <v>198</v>
      </c>
      <c r="B186">
        <f>HYPERLINK("https://www.suredividend.com/sure-analysis-research-database/","Piper Sandler Co`s")</f>
        <v>0</v>
      </c>
      <c r="C186">
        <v>0.015983068165231</v>
      </c>
      <c r="D186">
        <v>0.218170792427932</v>
      </c>
      <c r="E186">
        <v>0.198984381594155</v>
      </c>
      <c r="F186">
        <v>0.06928335509639701</v>
      </c>
      <c r="G186">
        <v>-0.019636840978489</v>
      </c>
      <c r="H186">
        <v>0.5017243778593551</v>
      </c>
      <c r="I186">
        <v>0.572983685986309</v>
      </c>
    </row>
    <row r="187" spans="1:9">
      <c r="A187" s="1" t="s">
        <v>199</v>
      </c>
      <c r="B187">
        <f>HYPERLINK("https://www.suredividend.com/sure-analysis-research-database/","Palomar Holdings Inc")</f>
        <v>0</v>
      </c>
      <c r="C187">
        <v>0.04015215553677001</v>
      </c>
      <c r="D187">
        <v>-0.3925706528446251</v>
      </c>
      <c r="E187">
        <v>-0.186580730457775</v>
      </c>
      <c r="F187">
        <v>0.08990256864481801</v>
      </c>
      <c r="G187">
        <v>0.073266463148713</v>
      </c>
      <c r="H187">
        <v>-0.49585168493291</v>
      </c>
      <c r="I187">
        <v>1.59189046866772</v>
      </c>
    </row>
    <row r="188" spans="1:9">
      <c r="A188" s="1" t="s">
        <v>200</v>
      </c>
      <c r="B188">
        <f>HYPERLINK("https://www.suredividend.com/sure-analysis-PMT/","Pennymac Mortgage Investment Trust")</f>
        <v>0</v>
      </c>
      <c r="C188">
        <v>0.132977829388665</v>
      </c>
      <c r="D188">
        <v>0.272240619048436</v>
      </c>
      <c r="E188">
        <v>0.09102680115061701</v>
      </c>
      <c r="F188">
        <v>0.196933010492332</v>
      </c>
      <c r="G188">
        <v>-0.01196567530114</v>
      </c>
      <c r="H188">
        <v>0.059505183216523</v>
      </c>
      <c r="I188">
        <v>0.562961089330129</v>
      </c>
    </row>
    <row r="189" spans="1:9">
      <c r="A189" s="1" t="s">
        <v>201</v>
      </c>
      <c r="B189">
        <f>HYPERLINK("https://www.suredividend.com/sure-analysis-PNC/","PNC Financial Services Group Inc")</f>
        <v>0</v>
      </c>
      <c r="C189">
        <v>0.015323937309139</v>
      </c>
      <c r="D189">
        <v>-0.0007136377069130001</v>
      </c>
      <c r="E189">
        <v>-0.023539217948669</v>
      </c>
      <c r="F189">
        <v>-0.010647343402537</v>
      </c>
      <c r="G189">
        <v>-0.200802964155597</v>
      </c>
      <c r="H189">
        <v>0.07128874230272701</v>
      </c>
      <c r="I189">
        <v>0.170636945323159</v>
      </c>
    </row>
    <row r="190" spans="1:9">
      <c r="A190" s="1" t="s">
        <v>202</v>
      </c>
      <c r="B190">
        <f>HYPERLINK("https://www.suredividend.com/sure-analysis-research-database/","Pinnacle Financial Partners Inc.")</f>
        <v>0</v>
      </c>
      <c r="C190">
        <v>-0.013465723612622</v>
      </c>
      <c r="D190">
        <v>-0.08884771206934401</v>
      </c>
      <c r="E190">
        <v>-0.07109046013872801</v>
      </c>
      <c r="F190">
        <v>-0.011852861035422</v>
      </c>
      <c r="G190">
        <v>-0.280258563117047</v>
      </c>
      <c r="H190">
        <v>0.04167713897119101</v>
      </c>
      <c r="I190">
        <v>0.195694642041698</v>
      </c>
    </row>
    <row r="191" spans="1:9">
      <c r="A191" s="1" t="s">
        <v>203</v>
      </c>
      <c r="B191">
        <f>HYPERLINK("https://www.suredividend.com/sure-analysis-research-database/","Pacific Premier Bancorp, Inc.")</f>
        <v>0</v>
      </c>
      <c r="C191">
        <v>-0.05272952853598</v>
      </c>
      <c r="D191">
        <v>-0.09332731655761201</v>
      </c>
      <c r="E191">
        <v>-0.034866780645507</v>
      </c>
      <c r="F191">
        <v>-0.03231939163498</v>
      </c>
      <c r="G191">
        <v>-0.208910762854552</v>
      </c>
      <c r="H191">
        <v>-0.06979294212248001</v>
      </c>
      <c r="I191">
        <v>-0.15255177925278</v>
      </c>
    </row>
    <row r="192" spans="1:9">
      <c r="A192" s="1" t="s">
        <v>204</v>
      </c>
      <c r="B192">
        <f>HYPERLINK("https://www.suredividend.com/sure-analysis-research-database/","Proassurance Corporation")</f>
        <v>0</v>
      </c>
      <c r="C192">
        <v>0.05426356589147201</v>
      </c>
      <c r="D192">
        <v>-0.061315243274156</v>
      </c>
      <c r="E192">
        <v>-0.152591405745821</v>
      </c>
      <c r="F192">
        <v>0.089868345735546</v>
      </c>
      <c r="G192">
        <v>-0.190193860104288</v>
      </c>
      <c r="H192">
        <v>0.002838918998635</v>
      </c>
      <c r="I192">
        <v>-0.6179246324230281</v>
      </c>
    </row>
    <row r="193" spans="1:9">
      <c r="A193" s="1" t="s">
        <v>205</v>
      </c>
      <c r="B193">
        <f>HYPERLINK("https://www.suredividend.com/sure-analysis-research-database/","PRA Group Inc")</f>
        <v>0</v>
      </c>
      <c r="C193">
        <v>0.103927492447129</v>
      </c>
      <c r="D193">
        <v>0.197247706422018</v>
      </c>
      <c r="E193">
        <v>-0.06451612903225801</v>
      </c>
      <c r="F193">
        <v>0.081705150976909</v>
      </c>
      <c r="G193">
        <v>-0.229439055250949</v>
      </c>
      <c r="H193">
        <v>0.05302593659942301</v>
      </c>
      <c r="I193">
        <v>0.04699140401146101</v>
      </c>
    </row>
    <row r="194" spans="1:9">
      <c r="A194" s="1" t="s">
        <v>206</v>
      </c>
      <c r="B194">
        <f>HYPERLINK("https://www.suredividend.com/sure-analysis-PRI/","Primerica Inc")</f>
        <v>0</v>
      </c>
      <c r="C194">
        <v>0.06881539217751501</v>
      </c>
      <c r="D194">
        <v>0.130489420740221</v>
      </c>
      <c r="E194">
        <v>0.24020914321193</v>
      </c>
      <c r="F194">
        <v>0.07326188125793201</v>
      </c>
      <c r="G194">
        <v>0.034031111286231</v>
      </c>
      <c r="H194">
        <v>0.137443804103496</v>
      </c>
      <c r="I194">
        <v>0.5452587935387651</v>
      </c>
    </row>
    <row r="195" spans="1:9">
      <c r="A195" s="1" t="s">
        <v>207</v>
      </c>
      <c r="B195">
        <f>HYPERLINK("https://www.suredividend.com/sure-analysis-research-database/","Park National Corp.")</f>
        <v>0</v>
      </c>
      <c r="C195">
        <v>-0.037786394078251</v>
      </c>
      <c r="D195">
        <v>0.01928189503241</v>
      </c>
      <c r="E195">
        <v>0.106013263407645</v>
      </c>
      <c r="F195">
        <v>-0.030266429840142</v>
      </c>
      <c r="G195">
        <v>0.068974672450778</v>
      </c>
      <c r="H195">
        <v>0.304290905894011</v>
      </c>
      <c r="I195">
        <v>0.5050486226969141</v>
      </c>
    </row>
    <row r="196" spans="1:9">
      <c r="A196" s="1" t="s">
        <v>208</v>
      </c>
      <c r="B196">
        <f>HYPERLINK("https://www.suredividend.com/sure-analysis-PRU/","Prudential Financial Inc.")</f>
        <v>0</v>
      </c>
      <c r="C196">
        <v>-0.017237943403746</v>
      </c>
      <c r="D196">
        <v>0.014804853530827</v>
      </c>
      <c r="E196">
        <v>0.050446570259464</v>
      </c>
      <c r="F196">
        <v>-0.008345063342046001</v>
      </c>
      <c r="G196">
        <v>-0.061979894813927</v>
      </c>
      <c r="H196">
        <v>0.30529436286998</v>
      </c>
      <c r="I196">
        <v>-0.024330890615849</v>
      </c>
    </row>
    <row r="197" spans="1:9">
      <c r="A197" s="1" t="s">
        <v>209</v>
      </c>
      <c r="B197">
        <f>HYPERLINK("https://www.suredividend.com/sure-analysis-research-database/","QCR Holding, Inc.")</f>
        <v>0</v>
      </c>
      <c r="C197">
        <v>0.0010042177144</v>
      </c>
      <c r="D197">
        <v>-0.09857932194499901</v>
      </c>
      <c r="E197">
        <v>-0.118581241201728</v>
      </c>
      <c r="F197">
        <v>0.004029008863819</v>
      </c>
      <c r="G197">
        <v>-0.137338662078729</v>
      </c>
      <c r="H197">
        <v>0.270430376133038</v>
      </c>
      <c r="I197">
        <v>0.16006796545865</v>
      </c>
    </row>
    <row r="198" spans="1:9">
      <c r="A198" s="1" t="s">
        <v>210</v>
      </c>
      <c r="B198">
        <f>HYPERLINK("https://www.suredividend.com/sure-analysis-research-database/","Ready Capital Corp")</f>
        <v>0</v>
      </c>
      <c r="C198">
        <v>0.06744298884036801</v>
      </c>
      <c r="D198">
        <v>0.196085538238492</v>
      </c>
      <c r="E198">
        <v>0.030487303804749</v>
      </c>
      <c r="F198">
        <v>0.125673249551166</v>
      </c>
      <c r="G198">
        <v>0.023289213846229</v>
      </c>
      <c r="H198">
        <v>0.301099813239261</v>
      </c>
      <c r="I198">
        <v>-0.126686212924208</v>
      </c>
    </row>
    <row r="199" spans="1:9">
      <c r="A199" s="1" t="s">
        <v>211</v>
      </c>
      <c r="B199">
        <f>HYPERLINK("https://www.suredividend.com/sure-analysis-RE/","Everest Re Group Ltd")</f>
        <v>0</v>
      </c>
      <c r="C199">
        <v>0.009217552128389001</v>
      </c>
      <c r="D199">
        <v>0.214990291066883</v>
      </c>
      <c r="E199">
        <v>0.265936460706278</v>
      </c>
      <c r="F199">
        <v>0.021281733933045</v>
      </c>
      <c r="G199">
        <v>0.218704330557339</v>
      </c>
      <c r="H199">
        <v>0.5288908491598601</v>
      </c>
      <c r="I199">
        <v>0.649131563964779</v>
      </c>
    </row>
    <row r="200" spans="1:9">
      <c r="A200" s="1" t="s">
        <v>212</v>
      </c>
      <c r="B200">
        <f>HYPERLINK("https://www.suredividend.com/sure-analysis-RF/","Regions Financial Corp.")</f>
        <v>0</v>
      </c>
      <c r="C200">
        <v>0.078422053231939</v>
      </c>
      <c r="D200">
        <v>0.173258597777582</v>
      </c>
      <c r="E200">
        <v>0.13477802061505</v>
      </c>
      <c r="F200">
        <v>0.052411873840445</v>
      </c>
      <c r="G200">
        <v>0.06228083727767701</v>
      </c>
      <c r="H200">
        <v>0.360222047706686</v>
      </c>
      <c r="I200">
        <v>0.434568744230745</v>
      </c>
    </row>
    <row r="201" spans="1:9">
      <c r="A201" s="1" t="s">
        <v>213</v>
      </c>
      <c r="B201">
        <f>HYPERLINK("https://www.suredividend.com/sure-analysis-research-database/","B. Riley Financial Inc")</f>
        <v>0</v>
      </c>
      <c r="C201">
        <v>0.158399098083427</v>
      </c>
      <c r="D201">
        <v>-0.03389364367835</v>
      </c>
      <c r="E201">
        <v>-0.116079608752317</v>
      </c>
      <c r="F201">
        <v>0.201754385964912</v>
      </c>
      <c r="G201">
        <v>-0.268502352005211</v>
      </c>
      <c r="H201">
        <v>-0.035899264374718</v>
      </c>
      <c r="I201">
        <v>1.556478901273885</v>
      </c>
    </row>
    <row r="202" spans="1:9">
      <c r="A202" s="1" t="s">
        <v>214</v>
      </c>
      <c r="B202">
        <f>HYPERLINK("https://www.suredividend.com/sure-analysis-RJF/","Raymond James Financial, Inc.")</f>
        <v>0</v>
      </c>
      <c r="C202">
        <v>0.06917570578481601</v>
      </c>
      <c r="D202">
        <v>0.130051333436715</v>
      </c>
      <c r="E202">
        <v>0.18735148967282</v>
      </c>
      <c r="F202">
        <v>0.063921385119326</v>
      </c>
      <c r="G202">
        <v>0.174713890826422</v>
      </c>
      <c r="H202">
        <v>0.7067710827817001</v>
      </c>
      <c r="I202">
        <v>0.9156946078117471</v>
      </c>
    </row>
    <row r="203" spans="1:9">
      <c r="A203" s="1" t="s">
        <v>215</v>
      </c>
      <c r="B203">
        <f>HYPERLINK("https://www.suredividend.com/sure-analysis-RLI/","RLI Corp.")</f>
        <v>0</v>
      </c>
      <c r="C203">
        <v>0.002335216572504</v>
      </c>
      <c r="D203">
        <v>0.09947951139018101</v>
      </c>
      <c r="E203">
        <v>0.153899853702911</v>
      </c>
      <c r="F203">
        <v>0.013636017368781</v>
      </c>
      <c r="G203">
        <v>0.280745693148501</v>
      </c>
      <c r="H203">
        <v>0.366839002472554</v>
      </c>
      <c r="I203">
        <v>1.448188053813771</v>
      </c>
    </row>
    <row r="204" spans="1:9">
      <c r="A204" s="1" t="s">
        <v>216</v>
      </c>
      <c r="B204">
        <f>HYPERLINK("https://www.suredividend.com/sure-analysis-research-database/","Renasant Corp.")</f>
        <v>0</v>
      </c>
      <c r="C204">
        <v>-0.038174052322477</v>
      </c>
      <c r="D204">
        <v>0.049595805112519</v>
      </c>
      <c r="E204">
        <v>0.176912523681975</v>
      </c>
      <c r="F204">
        <v>-0.04150039904229801</v>
      </c>
      <c r="G204">
        <v>-0.011883181171204</v>
      </c>
      <c r="H204">
        <v>0.017210421113256</v>
      </c>
      <c r="I204">
        <v>-0.070764278971883</v>
      </c>
    </row>
    <row r="205" spans="1:9">
      <c r="A205" s="1" t="s">
        <v>217</v>
      </c>
      <c r="B205">
        <f>HYPERLINK("https://www.suredividend.com/sure-analysis-research-database/","Root Inc")</f>
        <v>0</v>
      </c>
      <c r="C205">
        <v>0.078224101479915</v>
      </c>
      <c r="D205">
        <v>-0.251101321585903</v>
      </c>
      <c r="E205">
        <v>-0.74006116207951</v>
      </c>
      <c r="F205">
        <v>0.135857461024498</v>
      </c>
      <c r="G205">
        <v>-0.8508771929824561</v>
      </c>
      <c r="H205">
        <v>-0.9840644919385071</v>
      </c>
      <c r="I205">
        <v>-0.989506172839506</v>
      </c>
    </row>
    <row r="206" spans="1:9">
      <c r="A206" s="1" t="s">
        <v>218</v>
      </c>
      <c r="B206">
        <f>HYPERLINK("https://www.suredividend.com/sure-analysis-research-database/","Redwood Trust Inc.")</f>
        <v>0</v>
      </c>
      <c r="C206">
        <v>0.108416547788873</v>
      </c>
      <c r="D206">
        <v>0.252458170798542</v>
      </c>
      <c r="E206">
        <v>-0.0001672821793</v>
      </c>
      <c r="F206">
        <v>0.149408284023668</v>
      </c>
      <c r="G206">
        <v>-0.253128784820347</v>
      </c>
      <c r="H206">
        <v>-0.003143242029636</v>
      </c>
      <c r="I206">
        <v>-0.215492260937168</v>
      </c>
    </row>
    <row r="207" spans="1:9">
      <c r="A207" s="1" t="s">
        <v>219</v>
      </c>
      <c r="B207">
        <f>HYPERLINK("https://www.suredividend.com/sure-analysis-research-database/","Safety Insurance Group, Inc.")</f>
        <v>0</v>
      </c>
      <c r="C207">
        <v>-0.027996800365672</v>
      </c>
      <c r="D207">
        <v>0.064532761978183</v>
      </c>
      <c r="E207">
        <v>-0.05758210979290201</v>
      </c>
      <c r="F207">
        <v>0.009494422027058001</v>
      </c>
      <c r="G207">
        <v>0.08669545442931201</v>
      </c>
      <c r="H207">
        <v>0.181116575900556</v>
      </c>
      <c r="I207">
        <v>0.272591262716936</v>
      </c>
    </row>
    <row r="208" spans="1:9">
      <c r="A208" s="1" t="s">
        <v>220</v>
      </c>
      <c r="B208">
        <f>HYPERLINK("https://www.suredividend.com/sure-analysis-research-database/","Sandy Spring Bancorp")</f>
        <v>0</v>
      </c>
      <c r="C208">
        <v>-0.003170028818443</v>
      </c>
      <c r="D208">
        <v>0.053404149054098</v>
      </c>
      <c r="E208">
        <v>-0.111114537478895</v>
      </c>
      <c r="F208">
        <v>-0.018166335509508</v>
      </c>
      <c r="G208">
        <v>-0.243410188042862</v>
      </c>
      <c r="H208">
        <v>0.05597039985834901</v>
      </c>
      <c r="I208">
        <v>0.011865061256011</v>
      </c>
    </row>
    <row r="209" spans="1:9">
      <c r="A209" s="1" t="s">
        <v>221</v>
      </c>
      <c r="B209">
        <f>HYPERLINK("https://www.suredividend.com/sure-analysis-research-database/","Seacoast Banking Corp. Of Florida")</f>
        <v>0</v>
      </c>
      <c r="C209">
        <v>0.012369172216936</v>
      </c>
      <c r="D209">
        <v>0.047673750717978</v>
      </c>
      <c r="E209">
        <v>-0.053001646566685</v>
      </c>
      <c r="F209">
        <v>0.023404937479961</v>
      </c>
      <c r="G209">
        <v>-0.123534418847304</v>
      </c>
      <c r="H209">
        <v>0.011204987597532</v>
      </c>
      <c r="I209">
        <v>0.221542311975477</v>
      </c>
    </row>
    <row r="210" spans="1:9">
      <c r="A210" s="1" t="s">
        <v>222</v>
      </c>
      <c r="B210">
        <f>HYPERLINK("https://www.suredividend.com/sure-analysis-research-database/","Signature Bank")</f>
        <v>0</v>
      </c>
      <c r="C210">
        <v>0.108903158625477</v>
      </c>
      <c r="D210">
        <v>-0.098792230670824</v>
      </c>
      <c r="E210">
        <v>-0.291457682075803</v>
      </c>
      <c r="F210">
        <v>0.109095643117514</v>
      </c>
      <c r="G210">
        <v>-0.6041474223272131</v>
      </c>
      <c r="H210">
        <v>-0.140309970090133</v>
      </c>
      <c r="I210">
        <v>-0.142364534333941</v>
      </c>
    </row>
    <row r="211" spans="1:9">
      <c r="A211" s="1" t="s">
        <v>223</v>
      </c>
      <c r="B211">
        <f>HYPERLINK("https://www.suredividend.com/sure-analysis-SBSI/","Southside Bancshares Inc")</f>
        <v>0</v>
      </c>
      <c r="C211">
        <v>0.029854990048336</v>
      </c>
      <c r="D211">
        <v>0.020224212720409</v>
      </c>
      <c r="E211">
        <v>-0.016397004111471</v>
      </c>
      <c r="F211">
        <v>0.006390664073353001</v>
      </c>
      <c r="G211">
        <v>-0.113291568435921</v>
      </c>
      <c r="H211">
        <v>0.169028176742084</v>
      </c>
      <c r="I211">
        <v>0.212072536952818</v>
      </c>
    </row>
    <row r="212" spans="1:9">
      <c r="A212" s="1" t="s">
        <v>224</v>
      </c>
      <c r="B212">
        <f>HYPERLINK("https://www.suredividend.com/sure-analysis-SCHW/","Charles Schwab Corp.")</f>
        <v>0</v>
      </c>
      <c r="C212">
        <v>-0.051938461538461</v>
      </c>
      <c r="D212">
        <v>0.10155215462629</v>
      </c>
      <c r="E212">
        <v>0.230880839613174</v>
      </c>
      <c r="F212">
        <v>-0.07482584674513501</v>
      </c>
      <c r="G212">
        <v>-0.124324742174284</v>
      </c>
      <c r="H212">
        <v>0.344691845088985</v>
      </c>
      <c r="I212">
        <v>0.485465463843967</v>
      </c>
    </row>
    <row r="213" spans="1:9">
      <c r="A213" s="1" t="s">
        <v>225</v>
      </c>
      <c r="B213">
        <f>HYPERLINK("https://www.suredividend.com/sure-analysis-research-database/","ServisFirst Bancshares Inc")</f>
        <v>0</v>
      </c>
      <c r="C213">
        <v>0.046922613499277</v>
      </c>
      <c r="D213">
        <v>0.025615376370976</v>
      </c>
      <c r="E213">
        <v>-0.11231881817316</v>
      </c>
      <c r="F213">
        <v>0.041503410245247</v>
      </c>
      <c r="G213">
        <v>-0.122619354696743</v>
      </c>
      <c r="H213">
        <v>0.745566159803091</v>
      </c>
      <c r="I213">
        <v>0.825033756894416</v>
      </c>
    </row>
    <row r="214" spans="1:9">
      <c r="A214" s="1" t="s">
        <v>226</v>
      </c>
      <c r="B214">
        <f>HYPERLINK("https://www.suredividend.com/sure-analysis-research-database/","Simmons First National Corp.")</f>
        <v>0</v>
      </c>
      <c r="C214">
        <v>0.08285984848484801</v>
      </c>
      <c r="D214">
        <v>-0.036659182908387</v>
      </c>
      <c r="E214">
        <v>0.05118010709443101</v>
      </c>
      <c r="F214">
        <v>0.05977757182576401</v>
      </c>
      <c r="G214">
        <v>-0.18880573191927</v>
      </c>
      <c r="H214">
        <v>-0.072037783927223</v>
      </c>
      <c r="I214">
        <v>-0.108302108961037</v>
      </c>
    </row>
    <row r="215" spans="1:9">
      <c r="A215" s="1" t="s">
        <v>227</v>
      </c>
      <c r="B215">
        <f>HYPERLINK("https://www.suredividend.com/sure-analysis-research-database/","Silvergate Capital Corp")</f>
        <v>0</v>
      </c>
      <c r="C215">
        <v>-0.182251340083382</v>
      </c>
      <c r="D215">
        <v>-0.745552260934025</v>
      </c>
      <c r="E215">
        <v>-0.8532178747060081</v>
      </c>
      <c r="F215">
        <v>-0.210919540229885</v>
      </c>
      <c r="G215">
        <v>-0.8548932572394841</v>
      </c>
      <c r="H215">
        <v>-0.7968634413374761</v>
      </c>
      <c r="I215">
        <v>0.09664536741214001</v>
      </c>
    </row>
    <row r="216" spans="1:9">
      <c r="A216" s="1" t="s">
        <v>228</v>
      </c>
      <c r="B216">
        <f>HYPERLINK("https://www.suredividend.com/sure-analysis-research-database/","Selective Insurance Group Inc.")</f>
        <v>0</v>
      </c>
      <c r="C216">
        <v>-0.017864923747276</v>
      </c>
      <c r="D216">
        <v>-0.016770304194866</v>
      </c>
      <c r="E216">
        <v>0.11200598924255</v>
      </c>
      <c r="F216">
        <v>0.017492382349621</v>
      </c>
      <c r="G216">
        <v>0.186446923080972</v>
      </c>
      <c r="H216">
        <v>0.373284917018009</v>
      </c>
      <c r="I216">
        <v>0.5949335739178111</v>
      </c>
    </row>
    <row r="217" spans="1:9">
      <c r="A217" s="1" t="s">
        <v>229</v>
      </c>
      <c r="B217">
        <f>HYPERLINK("https://www.suredividend.com/sure-analysis-research-database/","SVB Financial Group")</f>
        <v>0</v>
      </c>
      <c r="C217">
        <v>0.340878766965723</v>
      </c>
      <c r="D217">
        <v>0.266965178454984</v>
      </c>
      <c r="E217">
        <v>-0.331820161863493</v>
      </c>
      <c r="F217">
        <v>0.26635960719562</v>
      </c>
      <c r="G217">
        <v>-0.499037403740374</v>
      </c>
      <c r="H217">
        <v>-0.360302025944379</v>
      </c>
      <c r="I217">
        <v>0.137016229712858</v>
      </c>
    </row>
    <row r="218" spans="1:9">
      <c r="A218" s="1" t="s">
        <v>230</v>
      </c>
      <c r="B218">
        <f>HYPERLINK("https://www.suredividend.com/sure-analysis-research-database/","SelectQuote Inc")</f>
        <v>0</v>
      </c>
      <c r="C218">
        <v>0.005082776648271</v>
      </c>
      <c r="D218">
        <v>0.309555345316934</v>
      </c>
      <c r="E218">
        <v>-0.633809523809523</v>
      </c>
      <c r="F218">
        <v>0.030063997618693</v>
      </c>
      <c r="G218">
        <v>-0.906346414073071</v>
      </c>
      <c r="H218">
        <v>-0.972304921968787</v>
      </c>
      <c r="I218">
        <v>-0.974366666666666</v>
      </c>
    </row>
    <row r="219" spans="1:9">
      <c r="A219" s="1" t="s">
        <v>231</v>
      </c>
      <c r="B219">
        <f>HYPERLINK("https://www.suredividend.com/sure-analysis-research-database/","StoneX Group Inc")</f>
        <v>0</v>
      </c>
      <c r="C219">
        <v>-0.07214611872146101</v>
      </c>
      <c r="D219">
        <v>-0.004138531910259</v>
      </c>
      <c r="E219">
        <v>0.101686746987951</v>
      </c>
      <c r="F219">
        <v>-0.040503672612801</v>
      </c>
      <c r="G219">
        <v>0.479611650485436</v>
      </c>
      <c r="H219">
        <v>0.603929135239431</v>
      </c>
      <c r="I219">
        <v>1.060851926977687</v>
      </c>
    </row>
    <row r="220" spans="1:9">
      <c r="A220" s="1" t="s">
        <v>232</v>
      </c>
      <c r="B220">
        <f>HYPERLINK("https://www.suredividend.com/sure-analysis-SNV/","Synovus Financial Corp.")</f>
        <v>0</v>
      </c>
      <c r="C220">
        <v>0.08276051690954001</v>
      </c>
      <c r="D220">
        <v>0.108175113054685</v>
      </c>
      <c r="E220">
        <v>0.014378519285556</v>
      </c>
      <c r="F220">
        <v>0.048735019973368</v>
      </c>
      <c r="G220">
        <v>-0.17014196936395</v>
      </c>
      <c r="H220">
        <v>0.130040776738033</v>
      </c>
      <c r="I220">
        <v>-0.069208969440839</v>
      </c>
    </row>
    <row r="221" spans="1:9">
      <c r="A221" s="1" t="s">
        <v>233</v>
      </c>
      <c r="B221">
        <f>HYPERLINK("https://www.suredividend.com/sure-analysis-SPGI/","S&amp;P Global Inc")</f>
        <v>0</v>
      </c>
      <c r="C221">
        <v>0.090680100755667</v>
      </c>
      <c r="D221">
        <v>0.243664256268162</v>
      </c>
      <c r="E221">
        <v>0.020088863168403</v>
      </c>
      <c r="F221">
        <v>0.09885352600465701</v>
      </c>
      <c r="G221">
        <v>-0.111356098842408</v>
      </c>
      <c r="H221">
        <v>0.175246664493181</v>
      </c>
      <c r="I221">
        <v>1.111073254614764</v>
      </c>
    </row>
    <row r="222" spans="1:9">
      <c r="A222" s="1" t="s">
        <v>234</v>
      </c>
      <c r="B222">
        <f>HYPERLINK("https://www.suredividend.com/sure-analysis-research-database/","SiriusPoint Ltd")</f>
        <v>0</v>
      </c>
      <c r="C222">
        <v>0.003124999999999</v>
      </c>
      <c r="D222">
        <v>0.134275618374558</v>
      </c>
      <c r="E222">
        <v>0.410989010989011</v>
      </c>
      <c r="F222">
        <v>0.08813559322033801</v>
      </c>
      <c r="G222">
        <v>-0.216117216117216</v>
      </c>
      <c r="H222">
        <v>-0.345565749235474</v>
      </c>
      <c r="I222">
        <v>-0.554166666666666</v>
      </c>
    </row>
    <row r="223" spans="1:9">
      <c r="A223" s="1" t="s">
        <v>235</v>
      </c>
      <c r="B223">
        <f>HYPERLINK("https://www.suredividend.com/sure-analysis-SRCE/","1st Source Corp.")</f>
        <v>0</v>
      </c>
      <c r="C223">
        <v>-0.137011664506572</v>
      </c>
      <c r="D223">
        <v>-0.161468949524424</v>
      </c>
      <c r="E223">
        <v>0.047714741060931</v>
      </c>
      <c r="F223">
        <v>-0.122056884535694</v>
      </c>
      <c r="G223">
        <v>-0.015902641713397</v>
      </c>
      <c r="H223">
        <v>0.185990000127224</v>
      </c>
      <c r="I223">
        <v>-0.005492090450931001</v>
      </c>
    </row>
    <row r="224" spans="1:9">
      <c r="A224" s="1" t="s">
        <v>236</v>
      </c>
      <c r="B224">
        <f>HYPERLINK("https://www.suredividend.com/sure-analysis-research-database/","SouthState Corporation")</f>
        <v>0</v>
      </c>
      <c r="C224">
        <v>0.010951760104302</v>
      </c>
      <c r="D224">
        <v>-0.080455953436964</v>
      </c>
      <c r="E224">
        <v>-0.012241882269015</v>
      </c>
      <c r="F224">
        <v>0.015453116815086</v>
      </c>
      <c r="G224">
        <v>-0.034118511690479</v>
      </c>
      <c r="H224">
        <v>0.055168406456204</v>
      </c>
      <c r="I224">
        <v>-0.027534786889152</v>
      </c>
    </row>
    <row r="225" spans="1:9">
      <c r="A225" s="1" t="s">
        <v>237</v>
      </c>
      <c r="B225">
        <f>HYPERLINK("https://www.suredividend.com/sure-analysis-research-database/","S &amp; T Bancorp, Inc.")</f>
        <v>0</v>
      </c>
      <c r="C225">
        <v>-0.065442020665901</v>
      </c>
      <c r="D225">
        <v>-0.05932928097626301</v>
      </c>
      <c r="E225">
        <v>0.127002367535686</v>
      </c>
      <c r="F225">
        <v>-0.047396138092451</v>
      </c>
      <c r="G225">
        <v>0.054694459290931</v>
      </c>
      <c r="H225">
        <v>0.261927462425102</v>
      </c>
      <c r="I225">
        <v>-0.077105353412527</v>
      </c>
    </row>
    <row r="226" spans="1:9">
      <c r="A226" s="1" t="s">
        <v>238</v>
      </c>
      <c r="B226">
        <f>HYPERLINK("https://www.suredividend.com/sure-analysis-research-database/","Stewart Information Services Corp.")</f>
        <v>0</v>
      </c>
      <c r="C226">
        <v>0.07167630057803401</v>
      </c>
      <c r="D226">
        <v>0.143019198283621</v>
      </c>
      <c r="E226">
        <v>-0.082067338827066</v>
      </c>
      <c r="F226">
        <v>0.08471799672361301</v>
      </c>
      <c r="G226">
        <v>-0.302330832160516</v>
      </c>
      <c r="H226">
        <v>-0.02823262035449</v>
      </c>
      <c r="I226">
        <v>0.138146699374571</v>
      </c>
    </row>
    <row r="227" spans="1:9">
      <c r="A227" s="1" t="s">
        <v>239</v>
      </c>
      <c r="B227">
        <f>HYPERLINK("https://www.suredividend.com/sure-analysis-research-database/","State Auto Financial Corp.")</f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>
      <c r="A228" s="1" t="s">
        <v>240</v>
      </c>
      <c r="B228">
        <f>HYPERLINK("https://www.suredividend.com/sure-analysis-research-database/","Sterling Bancorp.")</f>
        <v>0</v>
      </c>
      <c r="C228">
        <v>0.021927318383418</v>
      </c>
      <c r="D228">
        <v>0.035577544235587</v>
      </c>
      <c r="E228">
        <v>0.217276153611082</v>
      </c>
      <c r="F228">
        <v>0.021927318383418</v>
      </c>
      <c r="G228">
        <v>0.440161271768128</v>
      </c>
      <c r="H228">
        <v>0.3583755296062821</v>
      </c>
      <c r="I228">
        <v>0.187717134479938</v>
      </c>
    </row>
    <row r="229" spans="1:9">
      <c r="A229" s="1" t="s">
        <v>241</v>
      </c>
      <c r="B229">
        <f>HYPERLINK("https://www.suredividend.com/sure-analysis-STT/","State Street Corp.")</f>
        <v>0</v>
      </c>
      <c r="C229">
        <v>0.079447212367278</v>
      </c>
      <c r="D229">
        <v>0.229214705655</v>
      </c>
      <c r="E229">
        <v>0.265695419137711</v>
      </c>
      <c r="F229">
        <v>0.08650251385845001</v>
      </c>
      <c r="G229">
        <v>-0.042211777113088</v>
      </c>
      <c r="H229">
        <v>0.19826885126566</v>
      </c>
      <c r="I229">
        <v>-0.09399822196613501</v>
      </c>
    </row>
    <row r="230" spans="1:9">
      <c r="A230" s="1" t="s">
        <v>242</v>
      </c>
      <c r="B230">
        <f>HYPERLINK("https://www.suredividend.com/sure-analysis-SYF/","Synchrony Financial")</f>
        <v>0</v>
      </c>
      <c r="C230">
        <v>0.06400240384615301</v>
      </c>
      <c r="D230">
        <v>0.09956309368178101</v>
      </c>
      <c r="E230">
        <v>0.09888404771658001</v>
      </c>
      <c r="F230">
        <v>0.07760194765672501</v>
      </c>
      <c r="G230">
        <v>-0.183258294276119</v>
      </c>
      <c r="H230">
        <v>-0.02999057658171</v>
      </c>
      <c r="I230">
        <v>0.047162222905675</v>
      </c>
    </row>
    <row r="231" spans="1:9">
      <c r="A231" s="1" t="s">
        <v>243</v>
      </c>
      <c r="B231">
        <f>HYPERLINK("https://www.suredividend.com/sure-analysis-research-database/","Bancorp Inc. (The)")</f>
        <v>0</v>
      </c>
      <c r="C231">
        <v>-0.010027662517289</v>
      </c>
      <c r="D231">
        <v>0.18501655629139</v>
      </c>
      <c r="E231">
        <v>0.242082429501084</v>
      </c>
      <c r="F231">
        <v>0.008809020436927001</v>
      </c>
      <c r="G231">
        <v>0.00104895104895</v>
      </c>
      <c r="H231">
        <v>0.7021403091557661</v>
      </c>
      <c r="I231">
        <v>1.638709677419354</v>
      </c>
    </row>
    <row r="232" spans="1:9">
      <c r="A232" s="1" t="s">
        <v>244</v>
      </c>
      <c r="B232">
        <f>HYPERLINK("https://www.suredividend.com/sure-analysis-research-database/","Triumph Bancorp Inc")</f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>
      <c r="A233" s="1" t="s">
        <v>245</v>
      </c>
      <c r="B233">
        <f>HYPERLINK("https://www.suredividend.com/sure-analysis-research-database/","Texas Capital Bancshares, Inc.")</f>
        <v>0</v>
      </c>
      <c r="C233">
        <v>0.118557607739665</v>
      </c>
      <c r="D233">
        <v>0.13533297625424</v>
      </c>
      <c r="E233">
        <v>0.142472152353575</v>
      </c>
      <c r="F233">
        <v>0.05438567401757501</v>
      </c>
      <c r="G233">
        <v>0.008404693942277001</v>
      </c>
      <c r="H233">
        <v>-0.04519519519519501</v>
      </c>
      <c r="I233">
        <v>-0.363781890945472</v>
      </c>
    </row>
    <row r="234" spans="1:9">
      <c r="A234" s="1" t="s">
        <v>246</v>
      </c>
      <c r="B234">
        <f>HYPERLINK("https://www.suredividend.com/sure-analysis-research-database/","Trico Bancshares")</f>
        <v>0</v>
      </c>
      <c r="C234">
        <v>-0.024809923969587</v>
      </c>
      <c r="D234">
        <v>-0.030152043665046</v>
      </c>
      <c r="E234">
        <v>0.04897964454354101</v>
      </c>
      <c r="F234">
        <v>-0.044126299274367</v>
      </c>
      <c r="G234">
        <v>0.147401279703191</v>
      </c>
      <c r="H234">
        <v>0.281538898412932</v>
      </c>
      <c r="I234">
        <v>0.379747659609401</v>
      </c>
    </row>
    <row r="235" spans="1:9">
      <c r="A235" s="1" t="s">
        <v>247</v>
      </c>
      <c r="B235">
        <f>HYPERLINK("https://www.suredividend.com/sure-analysis-TFC/","Truist Financial Corporation")</f>
        <v>0</v>
      </c>
      <c r="C235">
        <v>0.147784431137724</v>
      </c>
      <c r="D235">
        <v>0.168073945515883</v>
      </c>
      <c r="E235">
        <v>0.013178509282888</v>
      </c>
      <c r="F235">
        <v>0.113641645363699</v>
      </c>
      <c r="G235">
        <v>-0.188878563678618</v>
      </c>
      <c r="H235">
        <v>0.007664728580290001</v>
      </c>
      <c r="I235">
        <v>-0.071759463278614</v>
      </c>
    </row>
    <row r="236" spans="1:9">
      <c r="A236" s="1" t="s">
        <v>248</v>
      </c>
      <c r="B236">
        <f>HYPERLINK("https://www.suredividend.com/sure-analysis-THFF/","First Financial Corp. - Indiana")</f>
        <v>0</v>
      </c>
      <c r="C236">
        <v>-0.022329854739893</v>
      </c>
      <c r="D236">
        <v>-0.05687079657981001</v>
      </c>
      <c r="E236">
        <v>0.005284215124067001</v>
      </c>
      <c r="F236">
        <v>-0.026785733746885</v>
      </c>
      <c r="G236">
        <v>0.021795247336238</v>
      </c>
      <c r="H236">
        <v>0.147941803335587</v>
      </c>
      <c r="I236">
        <v>0.052720924036695</v>
      </c>
    </row>
    <row r="237" spans="1:9">
      <c r="A237" s="1" t="s">
        <v>249</v>
      </c>
      <c r="B237">
        <f>HYPERLINK("https://www.suredividend.com/sure-analysis-THG/","Hanover Insurance Group Inc")</f>
        <v>0</v>
      </c>
      <c r="C237">
        <v>-0.056934838005096</v>
      </c>
      <c r="D237">
        <v>-0.022861996701885</v>
      </c>
      <c r="E237">
        <v>-0.06049176760716601</v>
      </c>
      <c r="F237">
        <v>-0.04144157477984101</v>
      </c>
      <c r="G237">
        <v>-0.005475146092192001</v>
      </c>
      <c r="H237">
        <v>0.136122430721354</v>
      </c>
      <c r="I237">
        <v>0.338721429568039</v>
      </c>
    </row>
    <row r="238" spans="1:9">
      <c r="A238" s="1" t="s">
        <v>250</v>
      </c>
      <c r="B238">
        <f>HYPERLINK("https://www.suredividend.com/sure-analysis-TMP/","Tompkins Financial Corp")</f>
        <v>0</v>
      </c>
      <c r="C238">
        <v>-0.031652084405558</v>
      </c>
      <c r="D238">
        <v>-0.035832788859423</v>
      </c>
      <c r="E238">
        <v>0.01822688357091</v>
      </c>
      <c r="F238">
        <v>-0.029904614591389</v>
      </c>
      <c r="G238">
        <v>-0.044358719750512</v>
      </c>
      <c r="H238">
        <v>0.079321372743048</v>
      </c>
      <c r="I238">
        <v>0.007090850942257001</v>
      </c>
    </row>
    <row r="239" spans="1:9">
      <c r="A239" s="1" t="s">
        <v>251</v>
      </c>
      <c r="B239">
        <f>HYPERLINK("https://www.suredividend.com/sure-analysis-research-database/","LendingTree Inc.")</f>
        <v>0</v>
      </c>
      <c r="C239">
        <v>0.5943983402489621</v>
      </c>
      <c r="D239">
        <v>0.391579900407424</v>
      </c>
      <c r="E239">
        <v>-0.403222675208697</v>
      </c>
      <c r="F239">
        <v>0.44116268166901</v>
      </c>
      <c r="G239">
        <v>-0.7602932002495321</v>
      </c>
      <c r="H239">
        <v>-0.9021673403138021</v>
      </c>
      <c r="I239">
        <v>-0.9198853270784461</v>
      </c>
    </row>
    <row r="240" spans="1:9">
      <c r="A240" s="1" t="s">
        <v>252</v>
      </c>
      <c r="B240">
        <f>HYPERLINK("https://www.suredividend.com/sure-analysis-research-database/","Trustmark Corp.")</f>
        <v>0</v>
      </c>
      <c r="C240">
        <v>-0.033120278907611</v>
      </c>
      <c r="D240">
        <v>-0.015218542772005</v>
      </c>
      <c r="E240">
        <v>0.106074101647146</v>
      </c>
      <c r="F240">
        <v>-0.046691492409051</v>
      </c>
      <c r="G240">
        <v>0.033418416460169</v>
      </c>
      <c r="H240">
        <v>0.166197104130748</v>
      </c>
      <c r="I240">
        <v>0.141352063213345</v>
      </c>
    </row>
    <row r="241" spans="1:9">
      <c r="A241" s="1" t="s">
        <v>253</v>
      </c>
      <c r="B241">
        <f>HYPERLINK("https://www.suredividend.com/sure-analysis-TROW/","T. Rowe Price Group Inc.")</f>
        <v>0</v>
      </c>
      <c r="C241">
        <v>0.042105263157894</v>
      </c>
      <c r="D241">
        <v>0.160889808587687</v>
      </c>
      <c r="E241">
        <v>-0.019754676571462</v>
      </c>
      <c r="F241">
        <v>0.08023106546854901</v>
      </c>
      <c r="G241">
        <v>-0.231657711043037</v>
      </c>
      <c r="H241">
        <v>-0.186493345072246</v>
      </c>
      <c r="I241">
        <v>0.180089631118065</v>
      </c>
    </row>
    <row r="242" spans="1:9">
      <c r="A242" s="1" t="s">
        <v>254</v>
      </c>
      <c r="B242">
        <f>HYPERLINK("https://www.suredividend.com/sure-analysis-TRST/","Trustco Bank Corp.")</f>
        <v>0</v>
      </c>
      <c r="C242">
        <v>-0.004784688995215</v>
      </c>
      <c r="D242">
        <v>0.127395036932425</v>
      </c>
      <c r="E242">
        <v>0.195341234164282</v>
      </c>
      <c r="F242">
        <v>-0.003990422984836</v>
      </c>
      <c r="G242">
        <v>0.162415240555376</v>
      </c>
      <c r="H242">
        <v>0.136660331647368</v>
      </c>
      <c r="I242">
        <v>-0.020062031329747</v>
      </c>
    </row>
    <row r="243" spans="1:9">
      <c r="A243" s="1" t="s">
        <v>255</v>
      </c>
      <c r="B243">
        <f>HYPERLINK("https://www.suredividend.com/sure-analysis-research-database/","Trupanion Inc")</f>
        <v>0</v>
      </c>
      <c r="C243">
        <v>0.020228507211088</v>
      </c>
      <c r="D243">
        <v>0.110499490316004</v>
      </c>
      <c r="E243">
        <v>-0.239139544629138</v>
      </c>
      <c r="F243">
        <v>0.146013044393015</v>
      </c>
      <c r="G243">
        <v>-0.413796814464055</v>
      </c>
      <c r="H243">
        <v>-0.5290506657444231</v>
      </c>
      <c r="I243">
        <v>0.613447867298578</v>
      </c>
    </row>
    <row r="244" spans="1:9">
      <c r="A244" s="1" t="s">
        <v>256</v>
      </c>
      <c r="B244">
        <f>HYPERLINK("https://www.suredividend.com/sure-analysis-TRV/","Travelers Companies Inc.")</f>
        <v>0</v>
      </c>
      <c r="C244">
        <v>-0.021592228909301</v>
      </c>
      <c r="D244">
        <v>0.056863511035963</v>
      </c>
      <c r="E244">
        <v>0.194370546808137</v>
      </c>
      <c r="F244">
        <v>-0.011520614432769</v>
      </c>
      <c r="G244">
        <v>0.164118541224356</v>
      </c>
      <c r="H244">
        <v>0.301645651500583</v>
      </c>
      <c r="I244">
        <v>0.5107360650432481</v>
      </c>
    </row>
    <row r="245" spans="1:9">
      <c r="A245" s="1" t="s">
        <v>257</v>
      </c>
      <c r="B245">
        <f>HYPERLINK("https://www.suredividend.com/sure-analysis-research-database/","Tristate Capital Holdings Inc")</f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 s="1" t="s">
        <v>258</v>
      </c>
      <c r="B246">
        <f>HYPERLINK("https://www.suredividend.com/sure-analysis-TWO/","Two Harbors Investment Corp")</f>
        <v>0</v>
      </c>
      <c r="C246">
        <v>0.151114535248836</v>
      </c>
      <c r="D246">
        <v>0.429088132459912</v>
      </c>
      <c r="E246">
        <v>-0.048281768547264</v>
      </c>
      <c r="F246">
        <v>0.170822934432598</v>
      </c>
      <c r="G246">
        <v>-0.05732902822180801</v>
      </c>
      <c r="H246">
        <v>-0.116420758645708</v>
      </c>
      <c r="I246">
        <v>-0.486241501168815</v>
      </c>
    </row>
    <row r="247" spans="1:9">
      <c r="A247" s="1" t="s">
        <v>259</v>
      </c>
      <c r="B247">
        <f>HYPERLINK("https://www.suredividend.com/sure-analysis-UBSI/","United Bankshares, Inc.")</f>
        <v>0</v>
      </c>
      <c r="C247">
        <v>-0.01251877816725</v>
      </c>
      <c r="D247">
        <v>0.034017172445434</v>
      </c>
      <c r="E247">
        <v>0.105979411509028</v>
      </c>
      <c r="F247">
        <v>-0.025932328970116</v>
      </c>
      <c r="G247">
        <v>0.121856866537717</v>
      </c>
      <c r="H247">
        <v>0.214379185590023</v>
      </c>
      <c r="I247">
        <v>0.313156536649519</v>
      </c>
    </row>
    <row r="248" spans="1:9">
      <c r="A248" s="1" t="s">
        <v>260</v>
      </c>
      <c r="B248">
        <f>HYPERLINK("https://www.suredividend.com/sure-analysis-research-database/","United Community Banks Inc")</f>
        <v>0</v>
      </c>
      <c r="C248">
        <v>-0.04345220257716401</v>
      </c>
      <c r="D248">
        <v>-0.111820961804405</v>
      </c>
      <c r="E248">
        <v>0.008103993885685001</v>
      </c>
      <c r="F248">
        <v>-0.05562130177514701</v>
      </c>
      <c r="G248">
        <v>-0.06796932941677901</v>
      </c>
      <c r="H248">
        <v>0.107625683591039</v>
      </c>
      <c r="I248">
        <v>0.176032805125616</v>
      </c>
    </row>
    <row r="249" spans="1:9">
      <c r="A249" s="1" t="s">
        <v>261</v>
      </c>
      <c r="B249">
        <f>HYPERLINK("https://www.suredividend.com/sure-analysis-research-database/","United Fire Group Inc")</f>
        <v>0</v>
      </c>
      <c r="C249">
        <v>0.06198788742429601</v>
      </c>
      <c r="D249">
        <v>-0.08469840490044001</v>
      </c>
      <c r="E249">
        <v>-0.07828829385937701</v>
      </c>
      <c r="F249">
        <v>0.08954678362573</v>
      </c>
      <c r="G249">
        <v>0.271632902914816</v>
      </c>
      <c r="H249">
        <v>0.02002408912978</v>
      </c>
      <c r="I249">
        <v>-0.2080928080163</v>
      </c>
    </row>
    <row r="250" spans="1:9">
      <c r="A250" s="1" t="s">
        <v>262</v>
      </c>
      <c r="B250">
        <f>HYPERLINK("https://www.suredividend.com/sure-analysis-UMBF/","UMB Financial Corp.")</f>
        <v>0</v>
      </c>
      <c r="C250">
        <v>0.042238001958863</v>
      </c>
      <c r="D250">
        <v>-0.022306749678141</v>
      </c>
      <c r="E250">
        <v>-0.04713188151438</v>
      </c>
      <c r="F250">
        <v>0.019276819923371</v>
      </c>
      <c r="G250">
        <v>-0.138949463727247</v>
      </c>
      <c r="H250">
        <v>0.215811114395929</v>
      </c>
      <c r="I250">
        <v>0.22812762832729</v>
      </c>
    </row>
    <row r="251" spans="1:9">
      <c r="A251" s="1" t="s">
        <v>263</v>
      </c>
      <c r="B251">
        <f>HYPERLINK("https://www.suredividend.com/sure-analysis-research-database/","Umpqua Holdings Corp")</f>
        <v>0</v>
      </c>
      <c r="C251">
        <v>-0.07277806976293801</v>
      </c>
      <c r="D251">
        <v>-0.076812911399377</v>
      </c>
      <c r="E251">
        <v>-0.011728355023026</v>
      </c>
      <c r="F251">
        <v>-0.048883743629904</v>
      </c>
      <c r="G251">
        <v>-0.121542646588639</v>
      </c>
      <c r="H251">
        <v>0.179625419660892</v>
      </c>
      <c r="I251">
        <v>-0.039370891103863</v>
      </c>
    </row>
    <row r="252" spans="1:9">
      <c r="A252" s="1" t="s">
        <v>264</v>
      </c>
      <c r="B252">
        <f>HYPERLINK("https://www.suredividend.com/sure-analysis-UNM/","Unum Group")</f>
        <v>0</v>
      </c>
      <c r="C252">
        <v>-0.012496937025239</v>
      </c>
      <c r="D252">
        <v>-0.06855697981334101</v>
      </c>
      <c r="E252">
        <v>0.262661866671679</v>
      </c>
      <c r="F252">
        <v>-0.017791859614916</v>
      </c>
      <c r="G252">
        <v>0.6297512506217721</v>
      </c>
      <c r="H252">
        <v>0.7163397245338621</v>
      </c>
      <c r="I252">
        <v>-0.119354747071253</v>
      </c>
    </row>
    <row r="253" spans="1:9">
      <c r="A253" s="1" t="s">
        <v>265</v>
      </c>
      <c r="B253">
        <f>HYPERLINK("https://www.suredividend.com/sure-analysis-USB/","U.S. Bancorp.")</f>
        <v>0</v>
      </c>
      <c r="C253">
        <v>0.09998082254700201</v>
      </c>
      <c r="D253">
        <v>0.159719830060856</v>
      </c>
      <c r="E253">
        <v>-0.001658887943408</v>
      </c>
      <c r="F253">
        <v>0.06535198349002501</v>
      </c>
      <c r="G253">
        <v>-0.121717546934045</v>
      </c>
      <c r="H253">
        <v>0.09268026519721601</v>
      </c>
      <c r="I253">
        <v>-0.022191167309278</v>
      </c>
    </row>
    <row r="254" spans="1:9">
      <c r="A254" s="1" t="s">
        <v>266</v>
      </c>
      <c r="B254">
        <f>HYPERLINK("https://www.suredividend.com/sure-analysis-research-database/","Universal Insurance Holdings Inc")</f>
        <v>0</v>
      </c>
      <c r="C254">
        <v>0.115770282588878</v>
      </c>
      <c r="D254">
        <v>0.360045334844494</v>
      </c>
      <c r="E254">
        <v>0.07766400478961701</v>
      </c>
      <c r="F254">
        <v>0.155807365439093</v>
      </c>
      <c r="G254">
        <v>-0.257713953037065</v>
      </c>
      <c r="H254">
        <v>-0.135825131673703</v>
      </c>
      <c r="I254">
        <v>-0.513869030597655</v>
      </c>
    </row>
    <row r="255" spans="1:9">
      <c r="A255" s="1" t="s">
        <v>267</v>
      </c>
      <c r="B255">
        <f>HYPERLINK("https://www.suredividend.com/sure-analysis-research-database/","Univest Financial Corp")</f>
        <v>0</v>
      </c>
      <c r="C255">
        <v>-0.035538752362948</v>
      </c>
      <c r="D255">
        <v>-0.020890985365179</v>
      </c>
      <c r="E255">
        <v>-0.016455383856142</v>
      </c>
      <c r="F255">
        <v>-0.023727516264829</v>
      </c>
      <c r="G255">
        <v>-0.128953173123544</v>
      </c>
      <c r="H255">
        <v>0.172630949918407</v>
      </c>
      <c r="I255">
        <v>0.031912010387887</v>
      </c>
    </row>
    <row r="256" spans="1:9">
      <c r="A256" s="1" t="s">
        <v>268</v>
      </c>
      <c r="B256">
        <f>HYPERLINK("https://www.suredividend.com/sure-analysis-research-database/","Veritex Holdings Inc")</f>
        <v>0</v>
      </c>
      <c r="C256">
        <v>0.007798652959943001</v>
      </c>
      <c r="D256">
        <v>0.050958357207548</v>
      </c>
      <c r="E256">
        <v>-0.05833176002199301</v>
      </c>
      <c r="F256">
        <v>0.012464387464387</v>
      </c>
      <c r="G256">
        <v>-0.262439682457323</v>
      </c>
      <c r="H256">
        <v>0.06617964170663701</v>
      </c>
      <c r="I256">
        <v>0.08559929434136601</v>
      </c>
    </row>
    <row r="257" spans="1:9">
      <c r="A257" s="1" t="s">
        <v>269</v>
      </c>
      <c r="B257">
        <f>HYPERLINK("https://www.suredividend.com/sure-analysis-research-database/","Valley National Bancorp")</f>
        <v>0</v>
      </c>
      <c r="C257">
        <v>-0.034001743679163</v>
      </c>
      <c r="D257">
        <v>0.003205186244861</v>
      </c>
      <c r="E257">
        <v>0.026553264031722</v>
      </c>
      <c r="F257">
        <v>-0.020335985853227</v>
      </c>
      <c r="G257">
        <v>-0.189951894255092</v>
      </c>
      <c r="H257">
        <v>0.116282818513369</v>
      </c>
      <c r="I257">
        <v>0.104807107459442</v>
      </c>
    </row>
    <row r="258" spans="1:9">
      <c r="A258" s="1" t="s">
        <v>270</v>
      </c>
      <c r="B258">
        <f>HYPERLINK("https://www.suredividend.com/sure-analysis-research-database/","Voya Financial Inc")</f>
        <v>0</v>
      </c>
      <c r="C258">
        <v>0.09102584684540001</v>
      </c>
      <c r="D258">
        <v>0.074636306135357</v>
      </c>
      <c r="E258">
        <v>0.145646845425335</v>
      </c>
      <c r="F258">
        <v>0.105220361034314</v>
      </c>
      <c r="G258">
        <v>-0.016429505956998</v>
      </c>
      <c r="H258">
        <v>0.183466987087392</v>
      </c>
      <c r="I258">
        <v>0.297469019013381</v>
      </c>
    </row>
    <row r="259" spans="1:9">
      <c r="A259" s="1" t="s">
        <v>271</v>
      </c>
      <c r="B259">
        <f>HYPERLINK("https://www.suredividend.com/sure-analysis-research-database/","Virtus Investment Partners Inc")</f>
        <v>0</v>
      </c>
      <c r="C259">
        <v>0.125167750593579</v>
      </c>
      <c r="D259">
        <v>0.35923141290481</v>
      </c>
      <c r="E259">
        <v>0.157665317411341</v>
      </c>
      <c r="F259">
        <v>0.138685750104471</v>
      </c>
      <c r="G259">
        <v>-0.139662811284668</v>
      </c>
      <c r="H259">
        <v>0.03869606216071</v>
      </c>
      <c r="I259">
        <v>0.8537557709299051</v>
      </c>
    </row>
    <row r="260" spans="1:9">
      <c r="A260" s="1" t="s">
        <v>272</v>
      </c>
      <c r="B260">
        <f>HYPERLINK("https://www.suredividend.com/sure-analysis-WABC/","Westamerica Bancorporation")</f>
        <v>0</v>
      </c>
      <c r="C260">
        <v>-0.042749658002736</v>
      </c>
      <c r="D260">
        <v>-0.022354173943415</v>
      </c>
      <c r="E260">
        <v>0.002218199981738</v>
      </c>
      <c r="F260">
        <v>-0.051347229283172</v>
      </c>
      <c r="G260">
        <v>-0.016030373338958</v>
      </c>
      <c r="H260">
        <v>-0.013743809471794</v>
      </c>
      <c r="I260">
        <v>0.026978833008618</v>
      </c>
    </row>
    <row r="261" spans="1:9">
      <c r="A261" s="1" t="s">
        <v>273</v>
      </c>
      <c r="B261">
        <f>HYPERLINK("https://www.suredividend.com/sure-analysis-research-database/","Western Alliance Bancorp")</f>
        <v>0</v>
      </c>
      <c r="C261">
        <v>0.137120302042217</v>
      </c>
      <c r="D261">
        <v>0.07401217948614</v>
      </c>
      <c r="E261">
        <v>-0.139543098164289</v>
      </c>
      <c r="F261">
        <v>0.112491605104096</v>
      </c>
      <c r="G261">
        <v>-0.3899727577632081</v>
      </c>
      <c r="H261">
        <v>-0.016225012174697</v>
      </c>
      <c r="I261">
        <v>0.185929216527837</v>
      </c>
    </row>
    <row r="262" spans="1:9">
      <c r="A262" s="1" t="s">
        <v>274</v>
      </c>
      <c r="B262">
        <f>HYPERLINK("https://www.suredividend.com/sure-analysis-WASH/","Washington Trust Bancorp, Inc.")</f>
        <v>0</v>
      </c>
      <c r="C262">
        <v>-3.8101850479E-05</v>
      </c>
      <c r="D262">
        <v>-0.000454915734794</v>
      </c>
      <c r="E262">
        <v>-0.034399023770054</v>
      </c>
      <c r="F262">
        <v>0.001271725307333</v>
      </c>
      <c r="G262">
        <v>-0.152101259642963</v>
      </c>
      <c r="H262">
        <v>0.120105466323332</v>
      </c>
      <c r="I262">
        <v>0.048089189638915</v>
      </c>
    </row>
    <row r="263" spans="1:9">
      <c r="A263" s="1" t="s">
        <v>275</v>
      </c>
      <c r="B263">
        <f>HYPERLINK("https://www.suredividend.com/sure-analysis-research-database/","Webster Financial Corp.")</f>
        <v>0</v>
      </c>
      <c r="C263">
        <v>0.007579038544824001</v>
      </c>
      <c r="D263">
        <v>-0.07831636746118001</v>
      </c>
      <c r="E263">
        <v>0.032155881491734</v>
      </c>
      <c r="F263">
        <v>-0.017110266159695</v>
      </c>
      <c r="G263">
        <v>-0.206542739772279</v>
      </c>
      <c r="H263">
        <v>0.008655840904213001</v>
      </c>
      <c r="I263">
        <v>-0.06908348838605101</v>
      </c>
    </row>
    <row r="264" spans="1:9">
      <c r="A264" s="1" t="s">
        <v>276</v>
      </c>
      <c r="B264">
        <f>HYPERLINK("https://www.suredividend.com/sure-analysis-research-database/","Walker &amp; Dunlop Inc")</f>
        <v>0</v>
      </c>
      <c r="C264">
        <v>0.179451358902718</v>
      </c>
      <c r="D264">
        <v>0.119806110883353</v>
      </c>
      <c r="E264">
        <v>-0.108513328143313</v>
      </c>
      <c r="F264">
        <v>0.183358817533129</v>
      </c>
      <c r="G264">
        <v>-0.282007749708535</v>
      </c>
      <c r="H264">
        <v>0.07509081605956701</v>
      </c>
      <c r="I264">
        <v>1.198673740681028</v>
      </c>
    </row>
    <row r="265" spans="1:9">
      <c r="A265" s="1" t="s">
        <v>277</v>
      </c>
      <c r="B265">
        <f>HYPERLINK("https://www.suredividend.com/sure-analysis-research-database/","Wisdomtree Investments Inc")</f>
        <v>0</v>
      </c>
      <c r="C265">
        <v>0.062626262626262</v>
      </c>
      <c r="D265">
        <v>-0.018620097764841</v>
      </c>
      <c r="E265">
        <v>-0.039830601292395</v>
      </c>
      <c r="F265">
        <v>-0.126216817834479</v>
      </c>
      <c r="G265">
        <v>-0.200705081449064</v>
      </c>
      <c r="H265">
        <v>0.457063711911357</v>
      </c>
      <c r="I265">
        <v>-0.5244466946332991</v>
      </c>
    </row>
    <row r="266" spans="1:9">
      <c r="A266" s="1" t="s">
        <v>278</v>
      </c>
      <c r="B266">
        <f>HYPERLINK("https://www.suredividend.com/sure-analysis-WFC/","Wells Fargo &amp; Co.")</f>
        <v>0</v>
      </c>
      <c r="C266">
        <v>0.068093385214007</v>
      </c>
      <c r="D266">
        <v>-0.013988698586313</v>
      </c>
      <c r="E266">
        <v>0.028352271529955</v>
      </c>
      <c r="F266">
        <v>0.06369581012351601</v>
      </c>
      <c r="G266">
        <v>-0.162449035634055</v>
      </c>
      <c r="H266">
        <v>0.423870580797847</v>
      </c>
      <c r="I266">
        <v>-0.209921315934332</v>
      </c>
    </row>
    <row r="267" spans="1:9">
      <c r="A267" s="1" t="s">
        <v>279</v>
      </c>
      <c r="B267">
        <f>HYPERLINK("https://www.suredividend.com/sure-analysis-WRB/","W.R. Berkley Corp.")</f>
        <v>0</v>
      </c>
      <c r="C267">
        <v>-0.04694140706997101</v>
      </c>
      <c r="D267">
        <v>-0.011908816367945</v>
      </c>
      <c r="E267">
        <v>0.09676710953553601</v>
      </c>
      <c r="F267">
        <v>-0.029868452271109</v>
      </c>
      <c r="G267">
        <v>0.287025924589705</v>
      </c>
      <c r="H267">
        <v>0.6062559442037411</v>
      </c>
      <c r="I267">
        <v>1.379785438109241</v>
      </c>
    </row>
    <row r="268" spans="1:9">
      <c r="A268" s="1" t="s">
        <v>280</v>
      </c>
      <c r="B268">
        <f>HYPERLINK("https://www.suredividend.com/sure-analysis-research-database/","World Acceptance Corp.")</f>
        <v>0</v>
      </c>
      <c r="C268">
        <v>0.208654864578604</v>
      </c>
      <c r="D268">
        <v>-0.242628235517208</v>
      </c>
      <c r="E268">
        <v>-0.326872840650543</v>
      </c>
      <c r="F268">
        <v>0.211404306945708</v>
      </c>
      <c r="G268">
        <v>-0.6169376108953141</v>
      </c>
      <c r="H268">
        <v>-0.331548117154811</v>
      </c>
      <c r="I268">
        <v>-0.06518431831480401</v>
      </c>
    </row>
    <row r="269" spans="1:9">
      <c r="A269" s="1" t="s">
        <v>281</v>
      </c>
      <c r="B269">
        <f>HYPERLINK("https://www.suredividend.com/sure-analysis-WSBC/","Wesbanco, Inc.")</f>
        <v>0</v>
      </c>
      <c r="C269">
        <v>-0.021998913633894</v>
      </c>
      <c r="D269">
        <v>-0.039515623541336</v>
      </c>
      <c r="E269">
        <v>0.131575060726709</v>
      </c>
      <c r="F269">
        <v>-0.026230394808004</v>
      </c>
      <c r="G269">
        <v>0.033098751158327</v>
      </c>
      <c r="H269">
        <v>0.254935580438199</v>
      </c>
      <c r="I269">
        <v>0.022479790336273</v>
      </c>
    </row>
    <row r="270" spans="1:9">
      <c r="A270" s="1" t="s">
        <v>282</v>
      </c>
      <c r="B270">
        <f>HYPERLINK("https://www.suredividend.com/sure-analysis-research-database/","WSFS Financial Corp.")</f>
        <v>0</v>
      </c>
      <c r="C270">
        <v>0.04786771105308901</v>
      </c>
      <c r="D270">
        <v>-0.011530772672602</v>
      </c>
      <c r="E270">
        <v>0.136454808459225</v>
      </c>
      <c r="F270">
        <v>0.06219673577415</v>
      </c>
      <c r="G270">
        <v>-0.057539779609904</v>
      </c>
      <c r="H270">
        <v>0.06643991532254501</v>
      </c>
      <c r="I270">
        <v>0.003337513906307</v>
      </c>
    </row>
    <row r="271" spans="1:9">
      <c r="A271" s="1" t="s">
        <v>283</v>
      </c>
      <c r="B271">
        <f>HYPERLINK("https://www.suredividend.com/sure-analysis-research-database/","Wintrust Financial Corp.")</f>
        <v>0</v>
      </c>
      <c r="C271">
        <v>0.045923261390887</v>
      </c>
      <c r="D271">
        <v>-0.03975817273344701</v>
      </c>
      <c r="E271">
        <v>0.021587671147848</v>
      </c>
      <c r="F271">
        <v>0.03206341694273501</v>
      </c>
      <c r="G271">
        <v>-0.09145543153002701</v>
      </c>
      <c r="H271">
        <v>0.379739046947191</v>
      </c>
      <c r="I271">
        <v>0.073861691833825</v>
      </c>
    </row>
    <row r="272" spans="1:9">
      <c r="A272" s="1" t="s">
        <v>284</v>
      </c>
      <c r="B272">
        <f>HYPERLINK("https://www.suredividend.com/sure-analysis-research-database/","White Mountains Insurance Group, Ltd.")</f>
        <v>0</v>
      </c>
      <c r="C272">
        <v>0.07067816939061501</v>
      </c>
      <c r="D272">
        <v>0.11081626074767</v>
      </c>
      <c r="E272">
        <v>0.205541860900267</v>
      </c>
      <c r="F272">
        <v>0.047732848769382</v>
      </c>
      <c r="G272">
        <v>0.450356246738303</v>
      </c>
      <c r="H272">
        <v>0.4553990379775421</v>
      </c>
      <c r="I272">
        <v>0.7708601346261921</v>
      </c>
    </row>
    <row r="273" spans="1:9">
      <c r="A273" s="1" t="s">
        <v>285</v>
      </c>
      <c r="B273">
        <f>HYPERLINK("https://www.suredividend.com/sure-analysis-research-database/","Alleghany Corp.")</f>
        <v>0</v>
      </c>
      <c r="C273">
        <v>0.005682087781731001</v>
      </c>
      <c r="D273">
        <v>0.016120526404103</v>
      </c>
      <c r="E273">
        <v>0.010103537429555</v>
      </c>
      <c r="F273">
        <v>0.269926152279093</v>
      </c>
      <c r="G273">
        <v>0.299534013918268</v>
      </c>
      <c r="H273">
        <v>0.548814352004092</v>
      </c>
      <c r="I273">
        <v>0.572164460949666</v>
      </c>
    </row>
    <row r="274" spans="1:9">
      <c r="A274" s="1" t="s">
        <v>286</v>
      </c>
      <c r="B274">
        <f>HYPERLINK("https://www.suredividend.com/sure-analysis-ZION/","Zions Bancorporation N.A")</f>
        <v>0</v>
      </c>
      <c r="C274">
        <v>0.082194660500315</v>
      </c>
      <c r="D274">
        <v>0.08531119422179301</v>
      </c>
      <c r="E274">
        <v>-0.014836772537905</v>
      </c>
      <c r="F274">
        <v>0.047192839707078</v>
      </c>
      <c r="G274">
        <v>-0.143357777921993</v>
      </c>
      <c r="H274">
        <v>0.144704629294032</v>
      </c>
      <c r="I274">
        <v>0.117929875307821</v>
      </c>
    </row>
  </sheetData>
  <autoFilter ref="A1:I274"/>
  <conditionalFormatting sqref="A1:I1">
    <cfRule type="cellIs" dxfId="8" priority="10" operator="notEqual">
      <formula>-13.345</formula>
    </cfRule>
  </conditionalFormatting>
  <conditionalFormatting sqref="A2:A274">
    <cfRule type="cellIs" dxfId="0" priority="1" operator="notEqual">
      <formula>"None"</formula>
    </cfRule>
  </conditionalFormatting>
  <conditionalFormatting sqref="B2:B274">
    <cfRule type="cellIs" dxfId="0" priority="2" operator="notEqual">
      <formula>"None"</formula>
    </cfRule>
  </conditionalFormatting>
  <conditionalFormatting sqref="C2:C274">
    <cfRule type="cellIs" dxfId="3" priority="3" operator="notEqual">
      <formula>"None"</formula>
    </cfRule>
  </conditionalFormatting>
  <conditionalFormatting sqref="D2:D274">
    <cfRule type="cellIs" dxfId="3" priority="4" operator="notEqual">
      <formula>"None"</formula>
    </cfRule>
  </conditionalFormatting>
  <conditionalFormatting sqref="E2:E274">
    <cfRule type="cellIs" dxfId="3" priority="5" operator="notEqual">
      <formula>"None"</formula>
    </cfRule>
  </conditionalFormatting>
  <conditionalFormatting sqref="F2:F274">
    <cfRule type="cellIs" dxfId="3" priority="6" operator="notEqual">
      <formula>"None"</formula>
    </cfRule>
  </conditionalFormatting>
  <conditionalFormatting sqref="G2:G274">
    <cfRule type="cellIs" dxfId="3" priority="7" operator="notEqual">
      <formula>"None"</formula>
    </cfRule>
  </conditionalFormatting>
  <conditionalFormatting sqref="H2:H274">
    <cfRule type="cellIs" dxfId="3" priority="8" operator="notEqual">
      <formula>"None"</formula>
    </cfRule>
  </conditionalFormatting>
  <conditionalFormatting sqref="I2:I274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297</v>
      </c>
      <c r="B1" s="1"/>
    </row>
    <row r="2" spans="1:2">
      <c r="A2" s="1" t="s">
        <v>298</v>
      </c>
    </row>
    <row r="3" spans="1:2">
      <c r="A3" s="1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2023-01-22T12:41:00Z</dcterms:created>
  <dcterms:modified xsi:type="dcterms:W3CDTF">2023-01-22T12:41:00Z</dcterms:modified>
</cp:coreProperties>
</file>