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GitProjects\excelCPU\"/>
    </mc:Choice>
  </mc:AlternateContent>
  <xr:revisionPtr revIDLastSave="0" documentId="13_ncr:1_{9F6FA10B-69D0-4FF1-AB31-A65D022C998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S" sheetId="1" r:id="rId1"/>
  </sheets>
  <externalReferences>
    <externalReference r:id="rId2"/>
  </externalReferences>
  <definedNames>
    <definedName name="_00_RegisterFile">SOS!$C$53</definedName>
    <definedName name="_01_RegisterFile">SOS!$C$54</definedName>
    <definedName name="_02_RegisterFile">SOS!$C$55</definedName>
    <definedName name="_03_RegisterFile">SOS!$C$56</definedName>
    <definedName name="_04_RegisterFile">SOS!$C$57</definedName>
    <definedName name="_05_RegisterFile">SOS!$C$58</definedName>
    <definedName name="_06_RegisterFile">SOS!$C$59</definedName>
    <definedName name="_07_RegisterFile">SOS!$C$60</definedName>
    <definedName name="_08_RegisterFile">SOS!$C$61</definedName>
    <definedName name="_09_RegisterFile">SOS!$C$62</definedName>
    <definedName name="_0A_RegisterFile">SOS!$C$63</definedName>
    <definedName name="_0b_RegisterFile">SOS!$C$64</definedName>
    <definedName name="_0C_RegisterFile">SOS!$C$65</definedName>
    <definedName name="_0D_RegisterFile">SOS!$C$66</definedName>
    <definedName name="_0E_RegisterFile">SOS!$C$67</definedName>
    <definedName name="_0F_RegisterFile">SOS!$C$68</definedName>
    <definedName name="_REG2__Mux">SOS!$F$28</definedName>
    <definedName name="Address_X_MemoryManagementUnit">SOS!$J$137</definedName>
    <definedName name="Address_Y_MemoryManagementUnit">SOS!$L$137</definedName>
    <definedName name="b16_Val_ControlUnit">SOS!$M$17</definedName>
    <definedName name="B2_4_PC">SOS!$G$75</definedName>
    <definedName name="CF_RegisterFile">SOS!$L$60</definedName>
    <definedName name="Clock">SOS!$B$2</definedName>
    <definedName name="Imd_b16_Mux">SOS!$J$28</definedName>
    <definedName name="Imd_b4_Mux">SOS!$H$28</definedName>
    <definedName name="IN__Reg2_RegisterFile">SOS!$Q$51</definedName>
    <definedName name="IN_Address_MemoryManagementUnit">SOS!$J$133</definedName>
    <definedName name="IN_B2_4_Inst_PC">SOS!$F$71</definedName>
    <definedName name="IN_Clock_ALU">SOS!$B$33</definedName>
    <definedName name="IN_Clock_ControlUnit">SOS!$C$13</definedName>
    <definedName name="IN_Clock_FetchUnit">SOS!$B$5</definedName>
    <definedName name="IN_Clock_MemoryManagementUnit">SOS!$B$133</definedName>
    <definedName name="IN_Clock_Mux">SOS!$C$24</definedName>
    <definedName name="IN_Clock_Mux2">SOS!$P$43</definedName>
    <definedName name="IN_Clock_PC">SOS!$B$71</definedName>
    <definedName name="IN_Clock_RegisterFile">SOS!$B$51</definedName>
    <definedName name="IN_High16_Mux">SOS!$C$43</definedName>
    <definedName name="IN_Input_Reg1_RegisterFile">SOS!$H$51</definedName>
    <definedName name="IN_Input_Reg2_RegisterFile">SOS!$L$51</definedName>
    <definedName name="IN_Inst_bus_ControlUnit">SOS!$T$13</definedName>
    <definedName name="IN_Low_High_Mux">SOS!$R$43</definedName>
    <definedName name="IN_Low16_Mux">SOS!$G$43</definedName>
    <definedName name="IN_MEMR_MemoryManagementUnit">SOS!$H$133</definedName>
    <definedName name="IN_MEMW_MemoryManagementUnit">SOS!$F$133</definedName>
    <definedName name="IN_Mux_Sel_Mux">SOS!$L$24</definedName>
    <definedName name="IN_OPcode_ALU">SOS!$D$33</definedName>
    <definedName name="IN_Opcode_PC">SOS!$J$71</definedName>
    <definedName name="IN_Operand1_ALU">SOS!$F$33</definedName>
    <definedName name="IN_Operand2_ALU">SOS!$H$33</definedName>
    <definedName name="IN_Operand2_PC">SOS!$L$71</definedName>
    <definedName name="IN_PC_FetchUnit">SOS!$D$5</definedName>
    <definedName name="IN_PC_Set_IMD_PC">SOS!$H$71</definedName>
    <definedName name="IN_Read_ROM_MemoryManagementUnit">SOS!$P$133</definedName>
    <definedName name="IN_Reg1_RegisterFile">SOS!$O$51</definedName>
    <definedName name="IN_Reg1_W_RegisterFile">SOS!$D$51</definedName>
    <definedName name="IN_Reg2_W_RegisterFile">SOS!$F$51</definedName>
    <definedName name="IN_Reset_PC">SOS!$D$71</definedName>
    <definedName name="IN_Reset_RAM_MemoryManagementUnit">SOS!$D$133</definedName>
    <definedName name="IN_Value_MemoryManagementUnit">SOS!$M$133</definedName>
    <definedName name="Inmediate_PC">SOS!$I$75</definedName>
    <definedName name="Manual">SOS!$J$2</definedName>
    <definedName name="Mem_Val_Mux">SOS!$L$28</definedName>
    <definedName name="OF_RegisterFile">SOS!$N$63</definedName>
    <definedName name="Opcode_ControlUnit">SOS!$J$17</definedName>
    <definedName name="Operand1_ALU">SOS!$C$37</definedName>
    <definedName name="Operand2_ALU">SOS!$G$37</definedName>
    <definedName name="Out_ALU_OP_ControlUnit">SOS!$D$20</definedName>
    <definedName name="Out_b16_Val_ControlUnit">SOS!$X$20</definedName>
    <definedName name="Out_b2_4_ControlUnit">SOS!$B$20</definedName>
    <definedName name="OUT_High16_ALU">SOS!$C$40</definedName>
    <definedName name="OUT_Inst_Bus_FetchUnit">SOS!$C$11</definedName>
    <definedName name="OUT_L_H_b16_ControlUnit">SOS!$H$20</definedName>
    <definedName name="OUT_Low16_ALU">SOS!$G$40</definedName>
    <definedName name="OUT_Mem_R_ControlUnit">SOS!$V$20</definedName>
    <definedName name="OUT_Mem_W_ControlUnit">SOS!$T$20</definedName>
    <definedName name="OUT_Mux_Sel_ControlUnit">SOS!$N$20</definedName>
    <definedName name="OUT_Operand2_Mux">SOS!$G$31</definedName>
    <definedName name="OUT_Output_Mux">SOS!$J$49</definedName>
    <definedName name="OUT_PC">SOS!$C$78</definedName>
    <definedName name="OUT_PC_Set_Imd_ControlUnit">SOS!$F$20</definedName>
    <definedName name="OUT_Reg1_ControlUnit">SOS!$J$20</definedName>
    <definedName name="OUT_Reg1_W_ControlUnit">SOS!$P$20</definedName>
    <definedName name="OUT_Reg2_ControlUnit">SOS!$L$20</definedName>
    <definedName name="OUT_Reg2_W_ControlUnit">SOS!$R$20</definedName>
    <definedName name="OUT_Value_Out_MemoryManagementUnit">SOS!$Q$135</definedName>
    <definedName name="Override_FetchUnit">SOS!$D$8</definedName>
    <definedName name="PC_FetchUnit">SOS!$B$8</definedName>
    <definedName name="PC_PC">SOS!$E$75</definedName>
    <definedName name="Reg1_ControlUnit">SOS!$K$17</definedName>
    <definedName name="Reg2_ControlUnit">SOS!$L$17</definedName>
    <definedName name="REG2_Mux">SOS!$D$28</definedName>
    <definedName name="Reset">SOS!$F$2</definedName>
    <definedName name="Reset_RAM">SOS!$N$2</definedName>
    <definedName name="SF_RegisterFile">SOS!$L$63</definedName>
    <definedName name="Zero_Mux">SOS!$B$28</definedName>
    <definedName name="ZF_RegisterFile">SOS!$N$60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3" i="1" l="1"/>
  <c r="P133" i="1"/>
  <c r="D71" i="1" l="1"/>
  <c r="B2" i="1" l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<sst xmlns="http://schemas.openxmlformats.org/spreadsheetml/2006/main" count="94" uniqueCount="64">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</sst>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 vertical="center"/>
    </xf>
    <xf numFmtId="164" fontId="1" fillId="3" borderId="12" xfId="0" quotePrefix="1" applyNumberFormat="1" applyFont="1" applyFill="1" applyBorder="1" applyAlignment="1">
      <alignment horizontal="center" vertical="center"/>
    </xf>
    <xf numFmtId="164" fontId="1" fillId="3" borderId="30" xfId="0" applyNumberFormat="1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1" fillId="5" borderId="12" xfId="0" quotePrefix="1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RCHIVE\inkboxSoftware\projects\excelCPU\compiler\ROM.xlsx" TargetMode="External"/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autoPageBreaks="0" fitToPage="1"/>
  </sheetPr>
  <dimension ref="A1:IV399"/>
  <sheetViews>
    <sheetView tabSelected="1" zoomScale="160" zoomScaleNormal="160" workbookViewId="0">
      <selection activeCell="G31" sqref="G31:H31"/>
    </sheetView>
  </sheetViews>
  <sheetFormatPr baseColWidth="10" defaultColWidth="9.140625" defaultRowHeight="15" x14ac:dyDescent="0.25"/>
  <cols>
    <col min="3" max="3" width="9.7109375" bestFit="1" customWidth="1"/>
    <col min="11" max="11" width="10.7109375" bestFit="1" customWidth="1"/>
    <col min="50" max="111" width="2.7109375" customWidth="1"/>
    <col min="112" max="112" width="3.140625" customWidth="1"/>
    <col min="113" max="177" width="2.7109375" customWidth="1"/>
  </cols>
  <sheetData>
    <row r="1" spans="2:178" ht="15.75" thickBot="1" x14ac:dyDescent="0.3"/>
    <row r="2" spans="2:178" x14ac:dyDescent="0.25">
      <c r="B2" s="85">
        <f ca="1">IF(B2=0, 1, 0)</f>
        <v>0</v>
      </c>
      <c r="C2" s="86"/>
      <c r="D2" s="89" t="s">
        <v>1</v>
      </c>
      <c r="F2" s="85">
        <v>0</v>
      </c>
      <c r="G2" s="86"/>
      <c r="H2" s="105" t="s">
        <v>36</v>
      </c>
      <c r="J2" s="85">
        <v>0</v>
      </c>
      <c r="K2" s="86"/>
      <c r="L2" s="105" t="s">
        <v>55</v>
      </c>
      <c r="N2" s="85">
        <v>0</v>
      </c>
      <c r="O2" s="86"/>
      <c r="P2" s="93" t="s">
        <v>63</v>
      </c>
      <c r="Q2" s="94"/>
      <c r="S2" s="85">
        <v>0</v>
      </c>
      <c r="T2" s="86"/>
      <c r="U2" s="91" t="s">
        <v>62</v>
      </c>
      <c r="V2" s="89"/>
    </row>
    <row r="3" spans="2:178" ht="15.75" thickBot="1" x14ac:dyDescent="0.3">
      <c r="B3" s="87"/>
      <c r="C3" s="88"/>
      <c r="D3" s="90"/>
      <c r="F3" s="87"/>
      <c r="G3" s="88"/>
      <c r="H3" s="106"/>
      <c r="J3" s="87"/>
      <c r="K3" s="88"/>
      <c r="L3" s="106"/>
      <c r="N3" s="87"/>
      <c r="O3" s="88"/>
      <c r="P3" s="93"/>
      <c r="Q3" s="94"/>
      <c r="S3" s="87"/>
      <c r="T3" s="88"/>
      <c r="U3" s="178"/>
      <c r="V3" s="9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  <c r="BL3" s="180"/>
      <c r="BM3" s="180"/>
      <c r="BN3" s="180"/>
      <c r="BO3" s="180"/>
      <c r="BP3" s="180"/>
      <c r="BQ3" s="180"/>
      <c r="BR3" s="180"/>
      <c r="BS3" s="180"/>
      <c r="BT3" s="180"/>
      <c r="BU3" s="180"/>
      <c r="BV3" s="180"/>
      <c r="BW3" s="180"/>
      <c r="BX3" s="180"/>
      <c r="BY3" s="180"/>
      <c r="BZ3" s="180"/>
      <c r="CA3" s="180"/>
      <c r="CB3" s="180"/>
      <c r="CC3" s="180"/>
      <c r="CD3" s="180"/>
      <c r="CE3" s="180"/>
      <c r="CF3" s="180"/>
      <c r="CG3" s="180"/>
      <c r="CH3" s="180"/>
      <c r="CI3" s="180"/>
      <c r="CJ3" s="180"/>
      <c r="CK3" s="180"/>
      <c r="CL3" s="180"/>
      <c r="CM3" s="180"/>
      <c r="CN3" s="180"/>
      <c r="CO3" s="180"/>
      <c r="CP3" s="180"/>
      <c r="CQ3" s="180"/>
      <c r="CR3" s="180"/>
      <c r="CS3" s="180"/>
      <c r="CT3" s="180"/>
      <c r="CU3" s="180"/>
      <c r="CV3" s="180"/>
      <c r="CW3" s="180"/>
      <c r="CX3" s="180"/>
      <c r="CY3" s="180"/>
      <c r="CZ3" s="180"/>
      <c r="DA3" s="180"/>
      <c r="DB3" s="180"/>
      <c r="DC3" s="180"/>
      <c r="DD3" s="180"/>
      <c r="DE3" s="180"/>
      <c r="DF3" s="180"/>
      <c r="DG3" s="180"/>
      <c r="DH3" s="180"/>
      <c r="DI3" s="180"/>
      <c r="DJ3" s="180"/>
      <c r="DK3" s="180"/>
      <c r="DL3" s="180"/>
      <c r="DM3" s="180"/>
      <c r="DN3" s="180"/>
      <c r="DO3" s="180"/>
      <c r="DP3" s="180"/>
      <c r="DQ3" s="180"/>
      <c r="DR3" s="180"/>
      <c r="DS3" s="180"/>
      <c r="DT3" s="180"/>
      <c r="DU3" s="180"/>
      <c r="DV3" s="180"/>
      <c r="DW3" s="180"/>
      <c r="DX3" s="180"/>
      <c r="DY3" s="180"/>
      <c r="DZ3" s="180"/>
      <c r="EA3" s="180"/>
      <c r="EB3" s="180"/>
      <c r="EC3" s="180"/>
      <c r="ED3" s="180"/>
      <c r="EE3" s="180"/>
      <c r="EF3" s="180"/>
      <c r="EG3" s="180"/>
      <c r="EH3" s="180"/>
      <c r="EI3" s="180"/>
      <c r="EJ3" s="180"/>
      <c r="EK3" s="180"/>
      <c r="EL3" s="180"/>
      <c r="EM3" s="180"/>
      <c r="EN3" s="180"/>
      <c r="EO3" s="180"/>
      <c r="EP3" s="180"/>
      <c r="EQ3" s="180"/>
      <c r="ER3" s="180"/>
      <c r="ES3" s="180"/>
      <c r="ET3" s="180"/>
      <c r="EU3" s="180"/>
      <c r="EV3" s="180"/>
      <c r="EW3" s="180"/>
      <c r="EX3" s="180"/>
      <c r="EY3" s="180"/>
      <c r="EZ3" s="180"/>
      <c r="FA3" s="180"/>
      <c r="FB3" s="180"/>
      <c r="FC3" s="180"/>
      <c r="FD3" s="180"/>
      <c r="FE3" s="180"/>
      <c r="FF3" s="180"/>
      <c r="FG3" s="180"/>
      <c r="FH3" s="180"/>
      <c r="FI3" s="180"/>
      <c r="FJ3" s="180"/>
      <c r="FK3" s="180"/>
      <c r="FL3" s="180"/>
      <c r="FM3" s="180"/>
      <c r="FN3" s="180"/>
      <c r="FO3" s="180"/>
      <c r="FP3" s="180"/>
      <c r="FQ3" s="180"/>
      <c r="FR3" s="180"/>
      <c r="FS3" s="180"/>
      <c r="FT3" s="180"/>
      <c r="FU3" s="180"/>
      <c r="FV3" s="180"/>
    </row>
    <row r="4" spans="2:178" ht="15.75" thickBot="1" x14ac:dyDescent="0.3">
      <c r="AQ4" s="177"/>
      <c r="AR4" s="177"/>
      <c r="AS4" s="177"/>
      <c r="AT4" s="177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0"/>
      <c r="BP4" s="180"/>
      <c r="BQ4" s="180"/>
      <c r="BR4" s="180"/>
      <c r="BS4" s="180"/>
      <c r="BT4" s="180"/>
      <c r="BU4" s="180"/>
      <c r="BV4" s="180"/>
      <c r="BW4" s="180"/>
      <c r="BX4" s="180"/>
      <c r="BY4" s="180"/>
      <c r="BZ4" s="180"/>
      <c r="CA4" s="180"/>
      <c r="CB4" s="180"/>
      <c r="CC4" s="180"/>
      <c r="CD4" s="180"/>
      <c r="CE4" s="180"/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0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0"/>
      <c r="EW4" s="180"/>
      <c r="EX4" s="180"/>
      <c r="EY4" s="180"/>
      <c r="EZ4" s="180"/>
      <c r="FA4" s="180"/>
      <c r="FB4" s="180"/>
      <c r="FC4" s="180"/>
      <c r="FD4" s="180"/>
      <c r="FE4" s="180"/>
      <c r="FF4" s="180"/>
      <c r="FG4" s="180"/>
      <c r="FH4" s="180"/>
      <c r="FI4" s="180"/>
      <c r="FJ4" s="180"/>
      <c r="FK4" s="180"/>
      <c r="FL4" s="180"/>
      <c r="FM4" s="180"/>
      <c r="FN4" s="180"/>
      <c r="FO4" s="180"/>
      <c r="FP4" s="180"/>
      <c r="FQ4" s="180"/>
      <c r="FR4" s="180"/>
      <c r="FS4" s="180"/>
      <c r="FT4" s="180"/>
      <c r="FU4" s="180"/>
      <c r="FV4" s="180"/>
    </row>
    <row r="5" spans="2:178" ht="15.75" thickBot="1" x14ac:dyDescent="0.3">
      <c r="B5" s="2">
        <f ca="1">Clock</f>
        <v>0</v>
      </c>
      <c r="D5" s="95">
        <f ca="1">OUT_PC</f>
        <v>0</v>
      </c>
      <c r="E5" s="96"/>
      <c r="AQ5" s="53"/>
      <c r="AR5" s="53"/>
      <c r="AS5" s="53"/>
      <c r="AT5" s="53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0"/>
      <c r="CL5" s="180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</row>
    <row r="6" spans="2:178" x14ac:dyDescent="0.25">
      <c r="B6" s="8" t="s">
        <v>11</v>
      </c>
      <c r="C6" s="9"/>
      <c r="D6" s="122" t="s">
        <v>14</v>
      </c>
      <c r="E6" s="123"/>
      <c r="F6" s="91" t="s">
        <v>0</v>
      </c>
      <c r="G6" s="92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179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25">
      <c r="B7" s="100" t="s">
        <v>40</v>
      </c>
      <c r="C7" s="101"/>
      <c r="D7" s="101" t="s">
        <v>41</v>
      </c>
      <c r="E7" s="119"/>
      <c r="F7" s="93"/>
      <c r="G7" s="9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179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25">
      <c r="B8" s="102" t="str">
        <f ca="1">DEC2HEX(INDIRECT(ADDRESS(_xlfn.FLOOR.MATH(D5 / 256) + 140, MOD(D5, 256) + 1)) * POWER(2, 16) + INDIRECT(ADDRESS(_xlfn.FLOOR.MATH((D5+1) / 256) + 140, MOD((D5+1), 256) + 1)), 8)</f>
        <v>00000000</v>
      </c>
      <c r="C8" s="103"/>
      <c r="D8" s="120">
        <v>0</v>
      </c>
      <c r="E8" s="121"/>
      <c r="F8" s="93"/>
      <c r="G8" s="9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179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25">
      <c r="B9" s="34"/>
      <c r="C9" s="12"/>
      <c r="D9" s="14"/>
      <c r="E9" s="30"/>
      <c r="F9" s="93"/>
      <c r="G9" s="9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179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.75" thickBot="1" x14ac:dyDescent="0.3">
      <c r="B10" s="34"/>
      <c r="C10" s="99" t="s">
        <v>2</v>
      </c>
      <c r="D10" s="99"/>
      <c r="E10" s="30"/>
      <c r="F10" s="93"/>
      <c r="G10" s="9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179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.75" thickBot="1" x14ac:dyDescent="0.3">
      <c r="B11" s="74"/>
      <c r="C11" s="97">
        <f ca="1">IF(B5, IF(J2, HEX2DEC(D8), HEX2DEC(B8)), C11)</f>
        <v>0</v>
      </c>
      <c r="D11" s="98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179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.75" thickBot="1" x14ac:dyDescent="0.3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179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.75" thickBot="1" x14ac:dyDescent="0.3">
      <c r="B13" s="72"/>
      <c r="C13" s="1">
        <f ca="1">Clock</f>
        <v>0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107">
        <f ca="1">C11</f>
        <v>0</v>
      </c>
      <c r="U13" s="108"/>
      <c r="V13" s="80"/>
      <c r="W13" s="57"/>
      <c r="X13" s="57"/>
      <c r="Y13" s="62"/>
      <c r="AW13" s="179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25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04" t="s">
        <v>2</v>
      </c>
      <c r="U14" s="104"/>
      <c r="V14" s="4"/>
      <c r="W14" s="13"/>
      <c r="X14" s="13"/>
      <c r="Y14" s="17"/>
      <c r="AW14" s="179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5" customHeight="1" x14ac:dyDescent="0.25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179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25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29" t="s">
        <v>13</v>
      </c>
      <c r="N16" s="130"/>
      <c r="O16" s="126"/>
      <c r="P16" s="126"/>
      <c r="Q16" s="149" t="s">
        <v>15</v>
      </c>
      <c r="R16" s="150"/>
      <c r="S16" s="126"/>
      <c r="T16" s="126"/>
      <c r="U16" s="10"/>
      <c r="V16" s="44"/>
      <c r="W16" s="45"/>
      <c r="X16" s="14"/>
      <c r="Y16" s="21"/>
      <c r="AW16" s="179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25">
      <c r="B17" s="5"/>
      <c r="C17" s="11"/>
      <c r="D17" s="11"/>
      <c r="E17" s="11"/>
      <c r="F17" s="11"/>
      <c r="G17" s="10"/>
      <c r="H17" s="14"/>
      <c r="I17" s="14"/>
      <c r="J17" s="31">
        <f ca="1">_xlfn.FLOOR.MATH(IN_Inst_bus_ControlUnit/POWER(2, 24))</f>
        <v>0</v>
      </c>
      <c r="K17" s="31">
        <f ca="1">_xlfn.FLOOR.MATH((IN_Inst_bus_ControlUnit - (Opcode_ControlUnit*POWER(2, 24))) / POWER(2, 20))</f>
        <v>0</v>
      </c>
      <c r="L17" s="31">
        <f ca="1">_xlfn.FLOOR.MATH((IN_Inst_bus_ControlUnit - (Opcode_ControlUnit*POWER(2, 24)) - (Reg1_ControlUnit * POWER(2, 20))) / POWER(2, 16))</f>
        <v>0</v>
      </c>
      <c r="M17" s="124">
        <f ca="1">MOD(IN_Inst_bus_ControlUnit, POWER(2, 16))</f>
        <v>0</v>
      </c>
      <c r="N17" s="125"/>
      <c r="O17" s="126"/>
      <c r="P17" s="126"/>
      <c r="Q17" s="137"/>
      <c r="R17" s="138"/>
      <c r="S17" s="126"/>
      <c r="T17" s="126"/>
      <c r="U17" s="10"/>
      <c r="V17" s="44"/>
      <c r="W17" s="45"/>
      <c r="X17" s="14"/>
      <c r="Y17" s="21"/>
      <c r="AW17" s="179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25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179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.75" thickBot="1" x14ac:dyDescent="0.3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9" t="s">
        <v>13</v>
      </c>
      <c r="Y19" s="159"/>
      <c r="AW19" s="179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.75" thickBot="1" x14ac:dyDescent="0.3">
      <c r="B20" s="1">
        <f ca="1">IF(IN_Clock_ControlUnit, IF(Opcode_ControlUnit &lt;= 6, 1, 0), Out_b2_4_ControlUnit)</f>
        <v>1</v>
      </c>
      <c r="C20" s="78"/>
      <c r="D20" s="1">
        <f ca="1">IF(IN_Clock_ControlUnit, IF(AND(Opcode_ControlUnit &gt;= 6, Opcode_ControlUnit &lt;= 8), 12, IF(Opcode_ControlUnit = 21, 1, IF(AND(Opcode_ControlUnit &gt;= 9, Opcode_ControlUnit &lt;= 24), Opcode_ControlUnit - 9, 15))), Out_ALU_OP_ControlUnit)</f>
        <v>15</v>
      </c>
      <c r="E20" s="78"/>
      <c r="F20" s="1">
        <f ca="1">IF(IN_Clock_ControlUnit, IF(Opcode_ControlUnit &lt;= 3, 1, 0), OUT_PC_Set_Imd_ControlUnit)</f>
        <v>1</v>
      </c>
      <c r="G20" s="78"/>
      <c r="H20" s="22">
        <f ca="1">IF(IN_Clock_ControlUnit, INT(OR(Opcode_ControlUnit = 4, Opcode_ControlUnit = 5, Opcode_ControlUnit = 25)), OUT_L_H_b16_ControlUnit)</f>
        <v>0</v>
      </c>
      <c r="I20" s="77"/>
      <c r="J20" s="1">
        <f ca="1">IF(IN_Clock_ControlUnit, Reg1_ControlUnit, OUT_Reg1_ControlUnit)</f>
        <v>0</v>
      </c>
      <c r="K20" s="78"/>
      <c r="L20" s="1">
        <f ca="1">IF(IN_Clock_ControlUnit, Reg2_ControlUnit, OUT_Reg2_ControlUnit)</f>
        <v>0</v>
      </c>
      <c r="M20" s="78"/>
      <c r="N20" s="1">
        <f ca="1">IF(IN_Clock_ControlUnit, IF(Opcode_ControlUnit = 25, 2, IF(Opcode_ControlUnit = 4, 5, IF(Opcode_ControlUnit &lt;= 6, 4, IF(OR(Opcode_ControlUnit = 19, Opcode_ControlUnit = 20), 3, IF(OR(Opcode_ControlUnit = 13, Opcode_ControlUnit = 14, Opcode_ControlUnit = 18, Opcode_ControlUnit &gt;= 22), 0, 1))))), OUT_Mux_Sel_ControlUnit)</f>
        <v>4</v>
      </c>
      <c r="O20" s="78"/>
      <c r="P20" s="1">
        <f ca="1">IF(IN_Clock_ControlUnit, IF(AND(Opcode_ControlUnit &gt;= 9, Opcode_ControlUnit &lt;= 20), 1, IF(OR(Opcode_ControlUnit = 4, Opcode_ControlUnit = 5, Opcode_ControlUnit = 25), 1, 0)), OUT_Reg1_W_ControlUnit)</f>
        <v>0</v>
      </c>
      <c r="Q20" s="78"/>
      <c r="R20" s="1">
        <f ca="1">IF(IN_Clock_ControlUnit, IF(OR(Opcode_ControlUnit = 8, Opcode_ControlUnit = 11, Opcode_ControlUnit = 12), 1, 0), OUT_Reg2_W_ControlUnit)</f>
        <v>0</v>
      </c>
      <c r="S20" s="77"/>
      <c r="T20" s="1">
        <f ca="1">IF(C13, INT(OR(Opcode_ControlUnit = 6, Opcode_ControlUnit = 7)), OUT_Mem_W_ControlUnit)</f>
        <v>0</v>
      </c>
      <c r="U20" s="78"/>
      <c r="V20" s="1">
        <f ca="1">IF(IN_Clock_ControlUnit, IF(OR(Opcode_ControlUnit = 4, Opcode_ControlUnit = 25), 1, 0), OUT_Mem_R_ControlUnit)</f>
        <v>0</v>
      </c>
      <c r="W20" s="77"/>
      <c r="X20" s="107">
        <f ca="1">IF(IN_Clock_ControlUnit,b16_Val_ControlUnit,Out_b16_Val_ControlUnit)</f>
        <v>0</v>
      </c>
      <c r="Y20" s="108"/>
      <c r="AW20" s="179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25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179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25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179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.75" thickBot="1" x14ac:dyDescent="0.3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179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.75" thickBot="1" x14ac:dyDescent="0.3">
      <c r="B24" s="72"/>
      <c r="C24" s="1">
        <f ca="1">Clock</f>
        <v>0</v>
      </c>
      <c r="D24" s="56"/>
      <c r="E24" s="57"/>
      <c r="F24" s="57"/>
      <c r="G24" s="57"/>
      <c r="H24" s="57"/>
      <c r="I24" s="57"/>
      <c r="J24" s="57"/>
      <c r="K24" s="70"/>
      <c r="L24" s="1">
        <f ca="1">OUT_Mux_Sel_ControlUnit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179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25">
      <c r="B25" s="16"/>
      <c r="C25" s="10" t="s">
        <v>11</v>
      </c>
      <c r="D25" s="13"/>
      <c r="E25" s="13"/>
      <c r="F25" s="13"/>
      <c r="G25" s="109" t="s">
        <v>29</v>
      </c>
      <c r="H25" s="109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179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25">
      <c r="B26" s="20"/>
      <c r="C26" s="14"/>
      <c r="D26" s="14"/>
      <c r="E26" s="14"/>
      <c r="F26" s="14"/>
      <c r="G26" s="110"/>
      <c r="H26" s="110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179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25">
      <c r="B27" s="155">
        <v>0</v>
      </c>
      <c r="C27" s="117"/>
      <c r="D27" s="130" t="s">
        <v>6</v>
      </c>
      <c r="E27" s="117"/>
      <c r="F27" s="117" t="s">
        <v>28</v>
      </c>
      <c r="G27" s="117"/>
      <c r="H27" s="117" t="s">
        <v>26</v>
      </c>
      <c r="I27" s="117"/>
      <c r="J27" s="117" t="s">
        <v>27</v>
      </c>
      <c r="K27" s="117"/>
      <c r="L27" s="117" t="s">
        <v>25</v>
      </c>
      <c r="M27" s="118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179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25">
      <c r="B28" s="153">
        <v>0</v>
      </c>
      <c r="C28" s="154"/>
      <c r="D28" s="128">
        <f ca="1">INDIRECT(ADDRESS(ROW(_00_RegisterFile) + OUT_Reg2_ControlUnit, COLUMN(_00_RegisterFile)))</f>
        <v>0</v>
      </c>
      <c r="E28" s="115"/>
      <c r="F28" s="115">
        <f ca="1">INDIRECT(ADDRESS(_xlfn.FLOOR.MATH(REG2_Mux / 256) + 140, MOD(REG2_Mux, 256) + 1))</f>
        <v>0</v>
      </c>
      <c r="G28" s="115"/>
      <c r="H28" s="115">
        <f ca="1">OUT_Reg2_ControlUnit</f>
        <v>0</v>
      </c>
      <c r="I28" s="115"/>
      <c r="J28" s="115">
        <f ca="1">Out_b16_Val_ControlUnit</f>
        <v>0</v>
      </c>
      <c r="K28" s="115"/>
      <c r="L28" s="115">
        <f ca="1">INDIRECT(ADDRESS(_xlfn.FLOOR.MATH(Imd_b16_Mux / 256) + 140, MOD(Imd_b16_Mux, 256) + 1))</f>
        <v>0</v>
      </c>
      <c r="M28" s="116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179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25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179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.75" thickBot="1" x14ac:dyDescent="0.3">
      <c r="B30" s="6"/>
      <c r="C30" s="15"/>
      <c r="D30" s="7"/>
      <c r="E30" s="15"/>
      <c r="F30" s="15"/>
      <c r="G30" s="104" t="s">
        <v>19</v>
      </c>
      <c r="H30" s="104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179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.75" thickBot="1" x14ac:dyDescent="0.3">
      <c r="B31" s="68"/>
      <c r="C31" s="67"/>
      <c r="D31" s="67"/>
      <c r="E31" s="67"/>
      <c r="F31" s="71"/>
      <c r="G31" s="107">
        <f ca="1">IF(IN_Clock_Mux, INDIRECT(ADDRESS(ROW(Zero_Mux), 2 + IN_Mux_Sel_Mux * 2)),OUT_Operand2_Mux)</f>
        <v>0</v>
      </c>
      <c r="H31" s="108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179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.75" thickBot="1" x14ac:dyDescent="0.3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179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.75" thickBot="1" x14ac:dyDescent="0.3">
      <c r="B33" s="1">
        <f ca="1">Clock</f>
        <v>0</v>
      </c>
      <c r="C33" s="75"/>
      <c r="D33" s="1">
        <f ca="1">Out_ALU_OP_ControlUnit</f>
        <v>15</v>
      </c>
      <c r="E33" s="75"/>
      <c r="F33" s="1">
        <f ca="1">OUT_Reg1_ControlUnit</f>
        <v>0</v>
      </c>
      <c r="G33" s="75"/>
      <c r="H33" s="107">
        <f ca="1">OUT_Operand2_Mux</f>
        <v>0</v>
      </c>
      <c r="I33" s="108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179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25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179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.75" thickBot="1" x14ac:dyDescent="0.3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179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25">
      <c r="B36" s="24"/>
      <c r="C36" s="165" t="s">
        <v>21</v>
      </c>
      <c r="D36" s="166"/>
      <c r="E36" s="111" t="s">
        <v>30</v>
      </c>
      <c r="F36" s="112"/>
      <c r="G36" s="167" t="s">
        <v>22</v>
      </c>
      <c r="H36" s="130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179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.75" thickBot="1" x14ac:dyDescent="0.3">
      <c r="B37" s="20"/>
      <c r="C37" s="161">
        <f ca="1">INDIRECT(ADDRESS(ROW(_00_RegisterFile) + IN_Operand1_ALU, COLUMN(_00_RegisterFile)))</f>
        <v>0</v>
      </c>
      <c r="D37" s="127"/>
      <c r="E37" s="113"/>
      <c r="F37" s="114"/>
      <c r="G37" s="127">
        <f ca="1">IN_Operand2_ALU</f>
        <v>0</v>
      </c>
      <c r="H37" s="128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179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25">
      <c r="B38" s="20"/>
      <c r="C38" s="14"/>
      <c r="D38" s="14"/>
      <c r="E38" s="14"/>
      <c r="F38" s="14"/>
      <c r="G38" s="132">
        <f ca="1">IF(B33, IF(D33 = 0, (C37 + G37) + L60, IF(D33 = 1, (C37 - G37) - (L60 * INT(J17 = 10)), IF(D33 = 2, C37 * G37, IF(D33 = 3, _xlfn.FLOOR.MATH(C37 / G37), IF(D33 = 4, C37 + 1, IF(D33 = 5, C37 - 1, IF(D33 = 6, _xlfn.BITAND(C37, G37), IF(D33 = 7, _xlfn.BITOR(C37, G37), IF(D33 = 8, _xlfn.BITXOR(C37, G37), IF(D33 = 9, _xlfn.BITXOR(C37, POWER(2, 16)-1), IF(D33 = 10, MOD(_xlfn.BITLSHIFT(C37, G37), POWER(2, 16)) + _xlfn.FLOOR.MATH(_xlfn.BITLSHIFT(C37, G37) / POWER(2, 16)),
IF(D33 = 11, MOD(_xlfn.BITRSHIFT(_xlfn.BITLSHIFT(C37, 16), G37), POWER(2, 16)) + _xlfn.FLOOR.MATH(_xlfn.BITRSHIFT(_xlfn.BITLSHIFT(C37, 16), G37) / POWER(2, 16)), G40)))))))))))), G40)</f>
        <v>0</v>
      </c>
      <c r="H38" s="133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179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.75" thickBot="1" x14ac:dyDescent="0.3">
      <c r="B39" s="18"/>
      <c r="C39" s="99" t="s">
        <v>24</v>
      </c>
      <c r="D39" s="99"/>
      <c r="E39" s="15"/>
      <c r="F39" s="15"/>
      <c r="G39" s="99" t="s">
        <v>23</v>
      </c>
      <c r="H39" s="99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179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.75" thickBot="1" x14ac:dyDescent="0.3">
      <c r="B40" s="73"/>
      <c r="C40" s="107">
        <f ca="1">IF(IN_OPcode_ALU = 15, Operand2_ALU, IF(IN_OPcode_ALU = 12, Operand1_ALU, IF(IN_OPcode_ALU = 2, _xlfn.FLOOR.MATH((Operand1_ALU * Operand2_ALU) / POWER(2, 16)), IF(IN_OPcode_ALU = 3, MOD(Operand1_ALU, Operand2_ALU), 0))))</f>
        <v>0</v>
      </c>
      <c r="D40" s="108"/>
      <c r="E40" s="76"/>
      <c r="F40" s="71"/>
      <c r="G40" s="107">
        <f ca="1">MOD(G38, POWER(2, 16))</f>
        <v>0</v>
      </c>
      <c r="H40" s="108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179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25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179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.75" thickBot="1" x14ac:dyDescent="0.3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179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.75" thickBot="1" x14ac:dyDescent="0.3">
      <c r="B43" s="72"/>
      <c r="C43" s="107">
        <f ca="1">OUT_High16_ALU</f>
        <v>0</v>
      </c>
      <c r="D43" s="108"/>
      <c r="E43" s="56"/>
      <c r="F43" s="70"/>
      <c r="G43" s="107">
        <f ca="1">OUT_Low16_ALU</f>
        <v>0</v>
      </c>
      <c r="H43" s="108"/>
      <c r="I43" s="56"/>
      <c r="J43" s="57"/>
      <c r="K43" s="57"/>
      <c r="L43" s="57"/>
      <c r="M43" s="57"/>
      <c r="N43" s="57"/>
      <c r="O43" s="70"/>
      <c r="P43" s="22">
        <f ca="1">Clock</f>
        <v>0</v>
      </c>
      <c r="Q43" s="75"/>
      <c r="R43" s="22">
        <f ca="1">OUT_L_H_b16_ControlUnit</f>
        <v>0</v>
      </c>
      <c r="S43" s="56"/>
      <c r="T43" s="54"/>
      <c r="U43" s="54"/>
      <c r="V43" s="54"/>
      <c r="W43" s="54"/>
      <c r="X43" s="54"/>
      <c r="Y43" s="60"/>
      <c r="AW43" s="179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25">
      <c r="B44" s="16"/>
      <c r="C44" s="104" t="s">
        <v>49</v>
      </c>
      <c r="D44" s="104"/>
      <c r="E44" s="4"/>
      <c r="F44" s="4"/>
      <c r="G44" s="104" t="s">
        <v>48</v>
      </c>
      <c r="H44" s="104"/>
      <c r="I44" s="4"/>
      <c r="J44" s="135" t="s">
        <v>29</v>
      </c>
      <c r="K44" s="109"/>
      <c r="L44" s="109"/>
      <c r="M44" s="109"/>
      <c r="N44" s="136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179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25">
      <c r="B45" s="20"/>
      <c r="C45" s="14"/>
      <c r="D45" s="14"/>
      <c r="E45" s="14"/>
      <c r="F45" s="14"/>
      <c r="G45" s="14"/>
      <c r="H45" s="14"/>
      <c r="I45" s="14"/>
      <c r="J45" s="137"/>
      <c r="K45" s="110"/>
      <c r="L45" s="110"/>
      <c r="M45" s="110"/>
      <c r="N45" s="138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179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25">
      <c r="B46" s="20"/>
      <c r="C46" s="23">
        <f ca="1">MOD(_xlfn.FLOOR.MATH(G43 / 32768), 2)</f>
        <v>0</v>
      </c>
      <c r="D46" s="23">
        <f ca="1">MOD(_xlfn.FLOOR.MATH(G43 / 16384), 2)</f>
        <v>0</v>
      </c>
      <c r="E46" s="23">
        <f ca="1">MOD(_xlfn.FLOOR.MATH(G43 / 8192), 2)</f>
        <v>0</v>
      </c>
      <c r="F46" s="23">
        <f ca="1">MOD(_xlfn.FLOOR.MATH(G43 / 4096), 2)</f>
        <v>0</v>
      </c>
      <c r="G46" s="23">
        <f ca="1">MOD(_xlfn.FLOOR.MATH(G43 / 2048), 2)</f>
        <v>0</v>
      </c>
      <c r="H46" s="23">
        <f ca="1">MOD(_xlfn.FLOOR.MATH(G43 / 1024), 2)</f>
        <v>0</v>
      </c>
      <c r="I46" s="23">
        <f ca="1">MOD(_xlfn.FLOOR.MATH(G43 / 512), 2)</f>
        <v>0</v>
      </c>
      <c r="J46" s="23">
        <f ca="1">MOD(_xlfn.FLOOR.MATH(G43 / 256), 2)</f>
        <v>0</v>
      </c>
      <c r="K46" s="23">
        <f ca="1">MOD(_xlfn.FLOOR.MATH(G43 / 128), 2)</f>
        <v>0</v>
      </c>
      <c r="L46" s="23">
        <f ca="1">MOD(_xlfn.FLOOR.MATH(G43 / 64), 2)</f>
        <v>0</v>
      </c>
      <c r="M46" s="23">
        <f ca="1">MOD(_xlfn.FLOOR.MATH(G43 / 32), 2)</f>
        <v>0</v>
      </c>
      <c r="N46" s="23">
        <f ca="1">MOD(_xlfn.FLOOR.MATH(G43 / 16), 2)</f>
        <v>0</v>
      </c>
      <c r="O46" s="23">
        <f ca="1">MOD(_xlfn.FLOOR.MATH(G43 / 8), 2)</f>
        <v>0</v>
      </c>
      <c r="P46" s="23">
        <f ca="1">MOD(_xlfn.FLOOR.MATH(G43 / 4), 2)</f>
        <v>0</v>
      </c>
      <c r="Q46" s="23">
        <f ca="1">MOD(_xlfn.FLOOR.MATH(G43 / 2), 2)</f>
        <v>0</v>
      </c>
      <c r="R46" s="23">
        <f ca="1">MOD(G43, 2)</f>
        <v>0</v>
      </c>
      <c r="S46" s="21"/>
      <c r="T46" s="55"/>
      <c r="U46" s="54"/>
      <c r="V46" s="54"/>
      <c r="W46" s="54"/>
      <c r="X46" s="54"/>
      <c r="Y46" s="60"/>
      <c r="AW46" s="179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25">
      <c r="B47" s="20"/>
      <c r="C47" s="23">
        <f ca="1">MOD(_xlfn.FLOOR.MATH(C43 / 32768), 2)</f>
        <v>0</v>
      </c>
      <c r="D47" s="23">
        <f ca="1">MOD(_xlfn.FLOOR.MATH(C43 / 16384), 2)</f>
        <v>0</v>
      </c>
      <c r="E47" s="23">
        <f ca="1">MOD(_xlfn.FLOOR.MATH(C43 / 8192), 2)</f>
        <v>0</v>
      </c>
      <c r="F47" s="23">
        <f ca="1">MOD(_xlfn.FLOOR.MATH(C43 / 4096), 2)</f>
        <v>0</v>
      </c>
      <c r="G47" s="23">
        <f ca="1">MOD(_xlfn.FLOOR.MATH(C43 / 2048), 2)</f>
        <v>0</v>
      </c>
      <c r="H47" s="23">
        <f ca="1">MOD(_xlfn.FLOOR.MATH(C43 / 1024), 2)</f>
        <v>0</v>
      </c>
      <c r="I47" s="23">
        <f ca="1">MOD(_xlfn.FLOOR.MATH(C43 / 512), 2)</f>
        <v>0</v>
      </c>
      <c r="J47" s="23">
        <f ca="1">MOD(_xlfn.FLOOR.MATH(C43 / 256), 2)</f>
        <v>0</v>
      </c>
      <c r="K47" s="23">
        <f ca="1">MOD(_xlfn.FLOOR.MATH(C43 / 128), 2)</f>
        <v>0</v>
      </c>
      <c r="L47" s="23">
        <f ca="1">MOD(_xlfn.FLOOR.MATH(C43 / 64), 2)</f>
        <v>0</v>
      </c>
      <c r="M47" s="23">
        <f ca="1">MOD(_xlfn.FLOOR.MATH(C43 / 32), 2)</f>
        <v>0</v>
      </c>
      <c r="N47" s="23">
        <f ca="1">MOD(_xlfn.FLOOR.MATH(C43 / 16), 2)</f>
        <v>0</v>
      </c>
      <c r="O47" s="23">
        <f ca="1">MOD(_xlfn.FLOOR.MATH(C43 / 8), 2)</f>
        <v>0</v>
      </c>
      <c r="P47" s="23">
        <f ca="1">MOD(_xlfn.FLOOR.MATH(C43 / 4), 2)</f>
        <v>0</v>
      </c>
      <c r="Q47" s="23">
        <f ca="1">MOD(_xlfn.FLOOR.MATH(C43 / 2), 2)</f>
        <v>0</v>
      </c>
      <c r="R47" s="23">
        <f ca="1">MOD(C43, 2)</f>
        <v>0</v>
      </c>
      <c r="S47" s="21"/>
      <c r="T47" s="55"/>
      <c r="U47" s="54"/>
      <c r="V47" s="54"/>
      <c r="W47" s="54"/>
      <c r="X47" s="54"/>
      <c r="Y47" s="60"/>
      <c r="AW47" s="179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.75" thickBot="1" x14ac:dyDescent="0.3">
      <c r="B48" s="18"/>
      <c r="C48" s="15"/>
      <c r="D48" s="15"/>
      <c r="E48" s="15"/>
      <c r="F48" s="15"/>
      <c r="G48" s="15"/>
      <c r="H48" s="15"/>
      <c r="I48" s="15"/>
      <c r="J48" s="134" t="s">
        <v>52</v>
      </c>
      <c r="K48" s="134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179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.75" thickBot="1" x14ac:dyDescent="0.3">
      <c r="B49" s="68"/>
      <c r="C49" s="67"/>
      <c r="D49" s="67"/>
      <c r="E49" s="67"/>
      <c r="F49" s="67"/>
      <c r="G49" s="67"/>
      <c r="H49" s="67"/>
      <c r="I49" s="71"/>
      <c r="J49" s="107">
        <f ca="1">IF(IN_Low_High_Mux, IN_High16_Mux, IN_Low16_Mux)</f>
        <v>0</v>
      </c>
      <c r="K49" s="108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179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.75" thickBot="1" x14ac:dyDescent="0.3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179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.75" thickBot="1" x14ac:dyDescent="0.3">
      <c r="B51" s="22">
        <f ca="1">Clock</f>
        <v>0</v>
      </c>
      <c r="C51" s="75"/>
      <c r="D51" s="22">
        <f ca="1">OUT_Reg1_W_ControlUnit</f>
        <v>0</v>
      </c>
      <c r="E51" s="75"/>
      <c r="F51" s="22">
        <f ca="1">OUT_Reg2_W_ControlUnit</f>
        <v>0</v>
      </c>
      <c r="G51" s="75"/>
      <c r="H51" s="107">
        <f ca="1">OUT_Output_Mux</f>
        <v>0</v>
      </c>
      <c r="I51" s="108"/>
      <c r="J51" s="56"/>
      <c r="K51" s="70"/>
      <c r="L51" s="107">
        <f ca="1">OUT_High16_ALU</f>
        <v>0</v>
      </c>
      <c r="M51" s="108"/>
      <c r="N51" s="75"/>
      <c r="O51" s="22">
        <f ca="1">OUT_Reg1_ControlUnit</f>
        <v>0</v>
      </c>
      <c r="P51" s="75"/>
      <c r="Q51" s="22">
        <f ca="1">OUT_Reg2_ControlUnit</f>
        <v>0</v>
      </c>
      <c r="R51" s="55"/>
      <c r="S51" s="54"/>
      <c r="T51" s="54"/>
      <c r="U51" s="54"/>
      <c r="V51" s="54"/>
      <c r="W51" s="54"/>
      <c r="X51" s="54"/>
      <c r="Y51" s="60"/>
      <c r="AW51" s="179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25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04" t="s">
        <v>53</v>
      </c>
      <c r="I52" s="104"/>
      <c r="J52" s="13"/>
      <c r="K52" s="13"/>
      <c r="L52" s="104" t="s">
        <v>54</v>
      </c>
      <c r="M52" s="104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179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5" customHeight="1" x14ac:dyDescent="0.25">
      <c r="B53" s="46">
        <v>0</v>
      </c>
      <c r="C53" s="164">
        <f ca="1">IF(AND(B51, O51 = 0, D51), H51, IF(AND(B51, Q51 = 0, F51), L51, C53))</f>
        <v>0</v>
      </c>
      <c r="D53" s="164"/>
      <c r="E53" s="164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179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25">
      <c r="B54" s="46">
        <v>1</v>
      </c>
      <c r="C54" s="164">
        <f ca="1">IF(AND(B51, O51 = 1, D51), H51, IF(AND(B51, Q51 = 1, F51), L51, C54))</f>
        <v>0</v>
      </c>
      <c r="D54" s="164"/>
      <c r="E54" s="164"/>
      <c r="F54" s="14"/>
      <c r="G54" s="140" t="s">
        <v>18</v>
      </c>
      <c r="H54" s="141"/>
      <c r="I54" s="141"/>
      <c r="J54" s="141"/>
      <c r="K54" s="141"/>
      <c r="L54" s="142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179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25">
      <c r="B55" s="46">
        <v>2</v>
      </c>
      <c r="C55" s="164">
        <f ca="1">IF(AND(B51, O51 = 2, D51), H51, IF(AND(B51, Q51 = 2, F51), L51, C55))</f>
        <v>0</v>
      </c>
      <c r="D55" s="164"/>
      <c r="E55" s="164"/>
      <c r="F55" s="14"/>
      <c r="G55" s="143"/>
      <c r="H55" s="144"/>
      <c r="I55" s="144"/>
      <c r="J55" s="144"/>
      <c r="K55" s="144"/>
      <c r="L55" s="145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179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25">
      <c r="B56" s="46">
        <v>3</v>
      </c>
      <c r="C56" s="164">
        <f ca="1">IF(AND(B51, O51 = 3, D51), H51, IF(AND(B51, Q51 = 3, F51), L51, C56))</f>
        <v>0</v>
      </c>
      <c r="D56" s="164"/>
      <c r="E56" s="164"/>
      <c r="F56" s="14"/>
      <c r="G56" s="146"/>
      <c r="H56" s="147"/>
      <c r="I56" s="147"/>
      <c r="J56" s="147"/>
      <c r="K56" s="147"/>
      <c r="L56" s="148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179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5" customHeight="1" x14ac:dyDescent="0.25">
      <c r="B57" s="46">
        <v>4</v>
      </c>
      <c r="C57" s="164">
        <f ca="1">IF(AND(B51, O51 = 4, D51), H51, IF(AND(B51, Q51 = 4, F51), L51, C57))</f>
        <v>0</v>
      </c>
      <c r="D57" s="164"/>
      <c r="E57" s="16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179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25">
      <c r="B58" s="46">
        <v>5</v>
      </c>
      <c r="C58" s="164">
        <f ca="1">IF(AND(B51, O51 = 5, D51), H51, IF(AND(B51, Q51 = 5, F51), L51, C58))</f>
        <v>0</v>
      </c>
      <c r="D58" s="164"/>
      <c r="E58" s="16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179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25">
      <c r="B59" s="46">
        <v>6</v>
      </c>
      <c r="C59" s="164">
        <f ca="1">IF(AND(B51, O51 = 6, D51), H51, IF(AND(B51, Q51 = 6, F51), L51, C59))</f>
        <v>0</v>
      </c>
      <c r="D59" s="164"/>
      <c r="E59" s="164"/>
      <c r="F59" s="14"/>
      <c r="G59" s="14"/>
      <c r="H59" s="14"/>
      <c r="I59" s="14"/>
      <c r="J59" s="149" t="s">
        <v>35</v>
      </c>
      <c r="K59" s="150"/>
      <c r="L59" s="117" t="s">
        <v>31</v>
      </c>
      <c r="M59" s="117"/>
      <c r="N59" s="139" t="s">
        <v>32</v>
      </c>
      <c r="O59" s="139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179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25">
      <c r="B60" s="46">
        <v>7</v>
      </c>
      <c r="C60" s="164">
        <f ca="1">IF(AND(B51, O51 = 7, D51), H51, IF(AND(B51, Q51 = 7, F51), L51, C60))</f>
        <v>0</v>
      </c>
      <c r="D60" s="164"/>
      <c r="E60" s="164"/>
      <c r="F60" s="14"/>
      <c r="G60" s="14"/>
      <c r="H60" s="14"/>
      <c r="I60" s="14"/>
      <c r="J60" s="151"/>
      <c r="K60" s="152"/>
      <c r="L60" s="131">
        <f ca="1">IF(AND(B51, NOT(D33 = 15)), IF(OR(D33 = 4, D33 = 5), L60, IF(D33 = 13, 0, IF(OR(D33 = 14, G38 &gt;= POWER(2, 16), G38 &lt; 0), 1, 0))), L60)</f>
        <v>0</v>
      </c>
      <c r="M60" s="131"/>
      <c r="N60" s="131">
        <f ca="1">IF(AND(B51, NOT(D33 = 15)), INT(G40 = 0), N60)</f>
        <v>0</v>
      </c>
      <c r="O60" s="131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179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5" customHeight="1" x14ac:dyDescent="0.25">
      <c r="B61" s="46">
        <v>8</v>
      </c>
      <c r="C61" s="164">
        <f ca="1">IF(AND(B51, O51 = 8, D51), H51, IF(AND(B51, Q51 = 8, F51), L51, C61))</f>
        <v>0</v>
      </c>
      <c r="D61" s="164"/>
      <c r="E61" s="164"/>
      <c r="F61" s="14"/>
      <c r="G61" s="14"/>
      <c r="H61" s="14"/>
      <c r="I61" s="14"/>
      <c r="J61" s="151"/>
      <c r="K61" s="152"/>
      <c r="L61" s="131"/>
      <c r="M61" s="131"/>
      <c r="N61" s="131"/>
      <c r="O61" s="131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179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25">
      <c r="B62" s="46">
        <v>9</v>
      </c>
      <c r="C62" s="164">
        <f ca="1">IF(AND(B51, O51 = 9, D51), H51, IF(AND(B51, Q51 = 9, F51), L51, C62))</f>
        <v>0</v>
      </c>
      <c r="D62" s="164"/>
      <c r="E62" s="164"/>
      <c r="F62" s="14"/>
      <c r="G62" s="14"/>
      <c r="H62" s="14"/>
      <c r="I62" s="14"/>
      <c r="J62" s="151"/>
      <c r="K62" s="152"/>
      <c r="L62" s="139" t="s">
        <v>33</v>
      </c>
      <c r="M62" s="139"/>
      <c r="N62" s="139" t="s">
        <v>34</v>
      </c>
      <c r="O62" s="139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179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25">
      <c r="B63" s="46" t="s">
        <v>56</v>
      </c>
      <c r="C63" s="164">
        <f ca="1">IF(AND(B51, O51 = 10, D51), H51, IF(AND(B51, Q51 = 10, F51), L51, C63))</f>
        <v>0</v>
      </c>
      <c r="D63" s="164"/>
      <c r="E63" s="164"/>
      <c r="F63" s="14"/>
      <c r="G63" s="14"/>
      <c r="H63" s="14"/>
      <c r="I63" s="14"/>
      <c r="J63" s="151"/>
      <c r="K63" s="152"/>
      <c r="L63" s="131">
        <f ca="1">IF(AND(B51, NOT(D33 = 15)), INT(G40 &gt;= POWER(2, 15)), L63)</f>
        <v>0</v>
      </c>
      <c r="M63" s="131"/>
      <c r="N63" s="131">
        <f ca="1">IF(AND(B51, NOT(D33 = 15)), INT(OR(AND(C37 &lt; POWER(2, 15), G37 &lt; POWER(2, 15), G40 &gt;= POWER(2, 15)), AND(C37 &gt;= POWER(2, 15), G37 &gt;= POWER(2, 15), G40 &lt; POWER(2, 15)))), N63)</f>
        <v>0</v>
      </c>
      <c r="O63" s="131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179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25">
      <c r="B64" s="46" t="s">
        <v>57</v>
      </c>
      <c r="C64" s="164">
        <f ca="1">IF(AND(B51, O51 = 11, D51), H51, IF(AND(B51, Q51 = 11, F51), L51, C64))</f>
        <v>2</v>
      </c>
      <c r="D64" s="164"/>
      <c r="E64" s="164"/>
      <c r="F64" s="14"/>
      <c r="G64" s="14"/>
      <c r="H64" s="14"/>
      <c r="I64" s="14"/>
      <c r="J64" s="137"/>
      <c r="K64" s="138"/>
      <c r="L64" s="131"/>
      <c r="M64" s="131"/>
      <c r="N64" s="131"/>
      <c r="O64" s="131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179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25">
      <c r="B65" s="46" t="s">
        <v>61</v>
      </c>
      <c r="C65" s="164">
        <f ca="1">IF(AND(B51, O51 = 12, D51), H51, IF(AND(B51, Q51 = 12, F51), L51, C65))</f>
        <v>0</v>
      </c>
      <c r="D65" s="164"/>
      <c r="E65" s="16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179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25">
      <c r="B66" s="46" t="s">
        <v>58</v>
      </c>
      <c r="C66" s="164">
        <f ca="1">IF(AND(B51, O51 = 13, D51), H51, IF(AND(B51, Q51 = 13, F51), L51, C66))</f>
        <v>0</v>
      </c>
      <c r="D66" s="164"/>
      <c r="E66" s="16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179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25">
      <c r="B67" s="46" t="s">
        <v>59</v>
      </c>
      <c r="C67" s="164">
        <f ca="1">IF(AND(B51, O51 = 14, D51), H51, IF(AND(B51, Q51 = 14, F51), L51, C67))</f>
        <v>0</v>
      </c>
      <c r="D67" s="164"/>
      <c r="E67" s="16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179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25">
      <c r="B68" s="47" t="s">
        <v>60</v>
      </c>
      <c r="C68" s="164">
        <f ca="1">IF(AND(B51, O51 = 15, D51), H51, IF(AND(B51, Q51 = 15, F51), L51, C68))</f>
        <v>0</v>
      </c>
      <c r="D68" s="164"/>
      <c r="E68" s="16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179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.75" thickBot="1" x14ac:dyDescent="0.3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179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.75" thickBot="1" x14ac:dyDescent="0.3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179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.75" thickBot="1" x14ac:dyDescent="0.3">
      <c r="B71" s="32">
        <f ca="1">$B$2</f>
        <v>0</v>
      </c>
      <c r="C71" s="75"/>
      <c r="D71" s="32">
        <f>$F$2</f>
        <v>0</v>
      </c>
      <c r="E71" s="75"/>
      <c r="F71" s="32">
        <f ca="1">B20</f>
        <v>1</v>
      </c>
      <c r="G71" s="75"/>
      <c r="H71" s="32">
        <f ca="1">F20</f>
        <v>1</v>
      </c>
      <c r="I71" s="75"/>
      <c r="J71" s="1">
        <f ca="1">J17</f>
        <v>0</v>
      </c>
      <c r="K71" s="75"/>
      <c r="L71" s="107">
        <f ca="1">G31</f>
        <v>0</v>
      </c>
      <c r="M71" s="108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179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25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9" t="s">
        <v>37</v>
      </c>
      <c r="M72" s="159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179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25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179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25">
      <c r="B74" s="20"/>
      <c r="C74" s="14"/>
      <c r="D74" s="14"/>
      <c r="E74" s="117" t="s">
        <v>14</v>
      </c>
      <c r="F74" s="117"/>
      <c r="G74" s="160" t="s">
        <v>39</v>
      </c>
      <c r="H74" s="117"/>
      <c r="I74" s="117" t="s">
        <v>38</v>
      </c>
      <c r="J74" s="117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179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25">
      <c r="B75" s="20"/>
      <c r="C75" s="14"/>
      <c r="D75" s="14"/>
      <c r="E75" s="161">
        <f ca="1">IF(NOT(IN_Clock_PC),OUT_PC, PC_PC)</f>
        <v>0</v>
      </c>
      <c r="F75" s="128"/>
      <c r="G75" s="161">
        <f ca="1">IF(IN_Clock_PC, PC_PC + 1 + IN_B2_4_Inst_PC, B2_4_PC)</f>
        <v>2</v>
      </c>
      <c r="H75" s="128"/>
      <c r="I75" s="161">
        <f ca="1">IN_Operand2_PC</f>
        <v>0</v>
      </c>
      <c r="J75" s="128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179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25">
      <c r="B76" s="20"/>
      <c r="C76" s="14"/>
      <c r="D76" s="14"/>
      <c r="E76" s="14"/>
      <c r="F76" s="14"/>
      <c r="G76" s="162" t="s">
        <v>14</v>
      </c>
      <c r="H76" s="162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179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.75" thickBot="1" x14ac:dyDescent="0.3">
      <c r="B77" s="18"/>
      <c r="C77" s="15"/>
      <c r="D77" s="15"/>
      <c r="E77" s="15"/>
      <c r="F77" s="15"/>
      <c r="G77" s="163"/>
      <c r="H77" s="163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179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.75" thickBot="1" x14ac:dyDescent="0.3">
      <c r="C78" s="156">
        <f ca="1">IF(D71, 0, IF(B71, IF(AND(H71, OR(J71 = 0, AND(J71 = 1, N60), AND(J71 = 2, NOT(L60)), AND(J71 = 3, OR(L60, N60)))), I75, G75), C78))</f>
        <v>0</v>
      </c>
      <c r="D78" s="157"/>
      <c r="E78" s="157"/>
      <c r="F78" s="157"/>
      <c r="G78" s="157"/>
      <c r="H78" s="157"/>
      <c r="I78" s="157"/>
      <c r="J78" s="157"/>
      <c r="K78" s="157"/>
      <c r="L78" s="158"/>
      <c r="AW78" s="179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25">
      <c r="AW79" s="179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25">
      <c r="AW80" s="179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25">
      <c r="AW81" s="179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25">
      <c r="AW82" s="179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25">
      <c r="AW83" s="179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25">
      <c r="AW84" s="179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25">
      <c r="AW85" s="179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25">
      <c r="AW86" s="179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25">
      <c r="AW87" s="179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25">
      <c r="AW88" s="179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25">
      <c r="AW89" s="179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25">
      <c r="AW90" s="179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25">
      <c r="AW91" s="179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25">
      <c r="AW92" s="179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25">
      <c r="AW93" s="179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25">
      <c r="AW94" s="179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25">
      <c r="AW95" s="179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25">
      <c r="AW96" s="179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25">
      <c r="AW97" s="179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25">
      <c r="AW98" s="179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25">
      <c r="AW99" s="179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25">
      <c r="AW100" s="179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25">
      <c r="AW101" s="179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25">
      <c r="AW102" s="179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25">
      <c r="AW103" s="179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25">
      <c r="AW104" s="179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25">
      <c r="AW105" s="179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25">
      <c r="AW106" s="179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25">
      <c r="AW107" s="179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25">
      <c r="AW108" s="179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25">
      <c r="AW109" s="179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25">
      <c r="AW110" s="179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25">
      <c r="AW111" s="179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25">
      <c r="AW112" s="179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25">
      <c r="AW113" s="179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25">
      <c r="AW114" s="179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25">
      <c r="AW115" s="179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25">
      <c r="AW116" s="179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25">
      <c r="AW117" s="179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25">
      <c r="AW118" s="179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25">
      <c r="AW119" s="179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25">
      <c r="AW120" s="179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25">
      <c r="AW121" s="179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25">
      <c r="AW122" s="179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25">
      <c r="AW123" s="179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25">
      <c r="AW124" s="179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25">
      <c r="AW125" s="179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25">
      <c r="AW126" s="179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25">
      <c r="AW127" s="179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25">
      <c r="AW128" s="179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25">
      <c r="AW129" s="179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25">
      <c r="AW130" s="179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25">
      <c r="AW131" s="179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.75" thickBot="1" x14ac:dyDescent="0.3">
      <c r="AW132" s="179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.75" thickBot="1" x14ac:dyDescent="0.3">
      <c r="B133" s="2">
        <f ca="1">$B$2</f>
        <v>0</v>
      </c>
      <c r="D133" s="2">
        <f>N2</f>
        <v>0</v>
      </c>
      <c r="F133" s="2">
        <f ca="1">T20</f>
        <v>0</v>
      </c>
      <c r="H133" s="2">
        <f ca="1">V20</f>
        <v>0</v>
      </c>
      <c r="J133" s="169">
        <f ca="1">G31</f>
        <v>0</v>
      </c>
      <c r="K133" s="170"/>
      <c r="M133" s="169">
        <f ca="1">C40</f>
        <v>0</v>
      </c>
      <c r="N133" s="170"/>
      <c r="P133" s="1">
        <f>S2</f>
        <v>0</v>
      </c>
      <c r="AW133" s="179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.75" thickBot="1" x14ac:dyDescent="0.3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68" t="s">
        <v>42</v>
      </c>
      <c r="K134" s="168"/>
      <c r="L134" s="13"/>
      <c r="M134" s="176" t="s">
        <v>43</v>
      </c>
      <c r="N134" s="168"/>
      <c r="O134" s="13"/>
      <c r="P134" s="50" t="s">
        <v>62</v>
      </c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180"/>
      <c r="BT134" s="180"/>
      <c r="BU134" s="180"/>
      <c r="BV134" s="180"/>
      <c r="BW134" s="180"/>
      <c r="BX134" s="180"/>
      <c r="BY134" s="180"/>
      <c r="BZ134" s="180"/>
      <c r="CA134" s="180"/>
      <c r="CB134" s="180"/>
      <c r="CC134" s="180"/>
      <c r="CD134" s="180"/>
      <c r="CE134" s="180"/>
      <c r="CF134" s="180"/>
      <c r="CG134" s="180"/>
      <c r="CH134" s="180"/>
      <c r="CI134" s="180"/>
      <c r="CJ134" s="180"/>
      <c r="CK134" s="180"/>
      <c r="CL134" s="180"/>
      <c r="CM134" s="180"/>
      <c r="CN134" s="180"/>
      <c r="CO134" s="180"/>
      <c r="CP134" s="180"/>
      <c r="CQ134" s="180"/>
      <c r="CR134" s="180"/>
      <c r="CS134" s="180"/>
      <c r="CT134" s="180"/>
      <c r="CU134" s="180"/>
      <c r="CV134" s="180"/>
      <c r="CW134" s="180"/>
      <c r="CX134" s="180"/>
      <c r="CY134" s="180"/>
      <c r="CZ134" s="180"/>
      <c r="DA134" s="180"/>
      <c r="DB134" s="180"/>
      <c r="DC134" s="180"/>
      <c r="DD134" s="180"/>
      <c r="DE134" s="180"/>
      <c r="DF134" s="180"/>
      <c r="DG134" s="180"/>
      <c r="DH134" s="180"/>
      <c r="DI134" s="180"/>
      <c r="DJ134" s="180"/>
      <c r="DK134" s="180"/>
      <c r="DL134" s="180"/>
      <c r="DM134" s="180"/>
      <c r="DN134" s="180"/>
      <c r="DO134" s="180"/>
      <c r="DP134" s="180"/>
      <c r="DQ134" s="180"/>
      <c r="DR134" s="180"/>
      <c r="DS134" s="180"/>
      <c r="DT134" s="180"/>
      <c r="DU134" s="180"/>
      <c r="DV134" s="180"/>
      <c r="DW134" s="180"/>
      <c r="DX134" s="180"/>
      <c r="DY134" s="180"/>
      <c r="DZ134" s="180"/>
      <c r="EA134" s="180"/>
      <c r="EB134" s="180"/>
      <c r="EC134" s="180"/>
      <c r="ED134" s="180"/>
      <c r="EE134" s="180"/>
      <c r="EF134" s="180"/>
      <c r="EG134" s="180"/>
      <c r="EH134" s="180"/>
      <c r="EI134" s="180"/>
      <c r="EJ134" s="180"/>
      <c r="EK134" s="180"/>
      <c r="EL134" s="180"/>
      <c r="EM134" s="180"/>
      <c r="EN134" s="180"/>
      <c r="EO134" s="180"/>
      <c r="EP134" s="180"/>
      <c r="EQ134" s="180"/>
      <c r="ER134" s="180"/>
      <c r="ES134" s="180"/>
      <c r="ET134" s="180"/>
      <c r="EU134" s="180"/>
      <c r="EV134" s="180"/>
      <c r="EW134" s="180"/>
      <c r="EX134" s="180"/>
      <c r="EY134" s="180"/>
      <c r="EZ134" s="180"/>
      <c r="FA134" s="180"/>
      <c r="FB134" s="180"/>
      <c r="FC134" s="180"/>
      <c r="FD134" s="180"/>
      <c r="FE134" s="180"/>
      <c r="FF134" s="180"/>
      <c r="FG134" s="180"/>
      <c r="FH134" s="180"/>
      <c r="FI134" s="180"/>
      <c r="FJ134" s="180"/>
      <c r="FK134" s="180"/>
      <c r="FL134" s="180"/>
      <c r="FM134" s="180"/>
      <c r="FN134" s="180"/>
      <c r="FO134" s="180"/>
      <c r="FP134" s="180"/>
      <c r="FQ134" s="180"/>
      <c r="FR134" s="180"/>
      <c r="FS134" s="180"/>
      <c r="FT134" s="180"/>
      <c r="FU134" s="180"/>
      <c r="FV134" s="180"/>
    </row>
    <row r="135" spans="1:256" x14ac:dyDescent="0.25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75" t="s">
        <v>46</v>
      </c>
      <c r="Q135" s="172">
        <f ca="1">INDIRECT(ADDRESS(L137, J137))</f>
        <v>0</v>
      </c>
      <c r="AW135" s="180"/>
      <c r="AX135" s="180"/>
      <c r="AY135" s="180"/>
      <c r="AZ135" s="180"/>
      <c r="BA135" s="180"/>
      <c r="BB135" s="180"/>
      <c r="BC135" s="180"/>
      <c r="BD135" s="180"/>
      <c r="BE135" s="180"/>
      <c r="BF135" s="180"/>
      <c r="BG135" s="180"/>
      <c r="BH135" s="180"/>
      <c r="BI135" s="180"/>
      <c r="BJ135" s="180"/>
      <c r="BK135" s="180"/>
      <c r="BL135" s="180"/>
      <c r="BM135" s="180"/>
      <c r="BN135" s="180"/>
      <c r="BO135" s="180"/>
      <c r="BP135" s="180"/>
      <c r="BQ135" s="180"/>
      <c r="BR135" s="180"/>
      <c r="BS135" s="180"/>
      <c r="BT135" s="180"/>
      <c r="BU135" s="180"/>
      <c r="BV135" s="180"/>
      <c r="BW135" s="180"/>
      <c r="BX135" s="180"/>
      <c r="BY135" s="180"/>
      <c r="BZ135" s="180"/>
      <c r="CA135" s="180"/>
      <c r="CB135" s="180"/>
      <c r="CC135" s="180"/>
      <c r="CD135" s="180"/>
      <c r="CE135" s="180"/>
      <c r="CF135" s="180"/>
      <c r="CG135" s="180"/>
      <c r="CH135" s="180"/>
      <c r="CI135" s="180"/>
      <c r="CJ135" s="180"/>
      <c r="CK135" s="180"/>
      <c r="CL135" s="180"/>
      <c r="CM135" s="180"/>
      <c r="CN135" s="180"/>
      <c r="CO135" s="180"/>
      <c r="CP135" s="180"/>
      <c r="CQ135" s="180"/>
      <c r="CR135" s="180"/>
      <c r="CS135" s="180"/>
      <c r="CT135" s="180"/>
      <c r="CU135" s="180"/>
      <c r="CV135" s="180"/>
      <c r="CW135" s="180"/>
      <c r="CX135" s="180"/>
      <c r="CY135" s="180"/>
      <c r="CZ135" s="180"/>
      <c r="DA135" s="180"/>
      <c r="DB135" s="180"/>
      <c r="DC135" s="180"/>
      <c r="DD135" s="180"/>
      <c r="DE135" s="180"/>
      <c r="DF135" s="180"/>
      <c r="DG135" s="180"/>
      <c r="DH135" s="180"/>
      <c r="DI135" s="180"/>
      <c r="DJ135" s="180"/>
      <c r="DK135" s="180"/>
      <c r="DL135" s="180"/>
      <c r="DM135" s="180"/>
      <c r="DN135" s="180"/>
      <c r="DO135" s="180"/>
      <c r="DP135" s="180"/>
      <c r="DQ135" s="180"/>
      <c r="DR135" s="180"/>
      <c r="DS135" s="180"/>
      <c r="DT135" s="180"/>
      <c r="DU135" s="180"/>
      <c r="DV135" s="180"/>
      <c r="DW135" s="180"/>
      <c r="DX135" s="180"/>
      <c r="DY135" s="180"/>
      <c r="DZ135" s="180"/>
      <c r="EA135" s="180"/>
      <c r="EB135" s="180"/>
      <c r="EC135" s="180"/>
      <c r="ED135" s="180"/>
      <c r="EE135" s="180"/>
      <c r="EF135" s="180"/>
      <c r="EG135" s="180"/>
      <c r="EH135" s="180"/>
      <c r="EI135" s="180"/>
      <c r="EJ135" s="180"/>
      <c r="EK135" s="180"/>
      <c r="EL135" s="180"/>
      <c r="EM135" s="180"/>
      <c r="EN135" s="180"/>
      <c r="EO135" s="180"/>
      <c r="EP135" s="180"/>
      <c r="EQ135" s="180"/>
      <c r="ER135" s="180"/>
      <c r="ES135" s="180"/>
      <c r="ET135" s="180"/>
      <c r="EU135" s="180"/>
      <c r="EV135" s="180"/>
      <c r="EW135" s="180"/>
      <c r="EX135" s="180"/>
      <c r="EY135" s="180"/>
      <c r="EZ135" s="180"/>
      <c r="FA135" s="180"/>
      <c r="FB135" s="180"/>
      <c r="FC135" s="180"/>
      <c r="FD135" s="180"/>
      <c r="FE135" s="180"/>
      <c r="FF135" s="180"/>
      <c r="FG135" s="180"/>
      <c r="FH135" s="180"/>
      <c r="FI135" s="180"/>
      <c r="FJ135" s="180"/>
      <c r="FK135" s="180"/>
      <c r="FL135" s="180"/>
      <c r="FM135" s="180"/>
      <c r="FN135" s="180"/>
      <c r="FO135" s="180"/>
      <c r="FP135" s="180"/>
      <c r="FQ135" s="180"/>
      <c r="FR135" s="180"/>
      <c r="FS135" s="180"/>
      <c r="FT135" s="180"/>
      <c r="FU135" s="180"/>
      <c r="FV135" s="180"/>
    </row>
    <row r="136" spans="1:256" x14ac:dyDescent="0.25">
      <c r="B136" s="5"/>
      <c r="C136" s="149" t="s">
        <v>47</v>
      </c>
      <c r="D136" s="162"/>
      <c r="E136" s="162"/>
      <c r="F136" s="162"/>
      <c r="G136" s="162"/>
      <c r="H136" s="150"/>
      <c r="I136" s="10"/>
      <c r="J136" s="117" t="s">
        <v>44</v>
      </c>
      <c r="K136" s="117"/>
      <c r="L136" s="117" t="s">
        <v>45</v>
      </c>
      <c r="M136" s="117"/>
      <c r="N136" s="14"/>
      <c r="O136" s="14"/>
      <c r="P136" s="175"/>
      <c r="Q136" s="173"/>
      <c r="AW136" s="180"/>
      <c r="AX136" s="180"/>
      <c r="AY136" s="180"/>
      <c r="AZ136" s="180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180"/>
      <c r="BT136" s="180"/>
      <c r="BU136" s="180"/>
      <c r="BV136" s="180"/>
      <c r="BW136" s="180"/>
      <c r="BX136" s="180"/>
      <c r="BY136" s="180"/>
      <c r="BZ136" s="180"/>
      <c r="CA136" s="180"/>
      <c r="CB136" s="180"/>
      <c r="CC136" s="180"/>
      <c r="CD136" s="180"/>
      <c r="CE136" s="180"/>
      <c r="CF136" s="180"/>
      <c r="CG136" s="180"/>
      <c r="CH136" s="180"/>
      <c r="CI136" s="180"/>
      <c r="CJ136" s="180"/>
      <c r="CK136" s="180"/>
      <c r="CL136" s="180"/>
      <c r="CM136" s="180"/>
      <c r="CN136" s="180"/>
      <c r="CO136" s="180"/>
      <c r="CP136" s="180"/>
      <c r="CQ136" s="180"/>
      <c r="CR136" s="180"/>
      <c r="CS136" s="180"/>
      <c r="CT136" s="180"/>
      <c r="CU136" s="180"/>
      <c r="CV136" s="180"/>
      <c r="CW136" s="180"/>
      <c r="CX136" s="180"/>
      <c r="CY136" s="180"/>
      <c r="CZ136" s="180"/>
      <c r="DA136" s="180"/>
      <c r="DB136" s="180"/>
      <c r="DC136" s="180"/>
      <c r="DD136" s="180"/>
      <c r="DE136" s="180"/>
      <c r="DF136" s="180"/>
      <c r="DG136" s="180"/>
      <c r="DH136" s="180"/>
      <c r="DI136" s="180"/>
      <c r="DJ136" s="180"/>
      <c r="DK136" s="180"/>
      <c r="DL136" s="180"/>
      <c r="DM136" s="180"/>
      <c r="DN136" s="180"/>
      <c r="DO136" s="180"/>
      <c r="DP136" s="180"/>
      <c r="DQ136" s="180"/>
      <c r="DR136" s="180"/>
      <c r="DS136" s="180"/>
      <c r="DT136" s="180"/>
      <c r="DU136" s="180"/>
      <c r="DV136" s="180"/>
      <c r="DW136" s="180"/>
      <c r="DX136" s="180"/>
      <c r="DY136" s="180"/>
      <c r="DZ136" s="180"/>
      <c r="EA136" s="180"/>
      <c r="EB136" s="180"/>
      <c r="EC136" s="180"/>
      <c r="ED136" s="180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180"/>
      <c r="EO136" s="180"/>
      <c r="EP136" s="180"/>
      <c r="EQ136" s="180"/>
      <c r="ER136" s="180"/>
      <c r="ES136" s="180"/>
      <c r="ET136" s="180"/>
      <c r="EU136" s="180"/>
      <c r="EV136" s="180"/>
      <c r="EW136" s="180"/>
      <c r="EX136" s="180"/>
      <c r="EY136" s="180"/>
      <c r="EZ136" s="180"/>
      <c r="FA136" s="180"/>
      <c r="FB136" s="180"/>
      <c r="FC136" s="180"/>
      <c r="FD136" s="180"/>
      <c r="FE136" s="180"/>
      <c r="FF136" s="180"/>
      <c r="FG136" s="180"/>
      <c r="FH136" s="180"/>
      <c r="FI136" s="180"/>
      <c r="FJ136" s="180"/>
      <c r="FK136" s="180"/>
      <c r="FL136" s="180"/>
      <c r="FM136" s="180"/>
      <c r="FN136" s="180"/>
      <c r="FO136" s="180"/>
      <c r="FP136" s="180"/>
      <c r="FQ136" s="180"/>
      <c r="FR136" s="180"/>
      <c r="FS136" s="180"/>
      <c r="FT136" s="180"/>
      <c r="FU136" s="180"/>
      <c r="FV136" s="180"/>
    </row>
    <row r="137" spans="1:256" x14ac:dyDescent="0.25">
      <c r="B137" s="5"/>
      <c r="C137" s="137"/>
      <c r="D137" s="110"/>
      <c r="E137" s="110"/>
      <c r="F137" s="110"/>
      <c r="G137" s="110"/>
      <c r="H137" s="138"/>
      <c r="I137" s="10"/>
      <c r="J137" s="171">
        <f ca="1">MOD(J133, 256) + 1</f>
        <v>1</v>
      </c>
      <c r="K137" s="171"/>
      <c r="L137" s="171">
        <f ca="1">_xlfn.FLOOR.MATH(J133 / 256) + 140</f>
        <v>140</v>
      </c>
      <c r="M137" s="171"/>
      <c r="N137" s="14"/>
      <c r="O137" s="14"/>
      <c r="P137" s="175"/>
      <c r="Q137" s="173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/>
      <c r="BR137" s="180"/>
      <c r="BS137" s="180"/>
      <c r="BT137" s="180"/>
      <c r="BU137" s="180"/>
      <c r="BV137" s="180"/>
      <c r="BW137" s="180"/>
      <c r="BX137" s="180"/>
      <c r="BY137" s="180"/>
      <c r="BZ137" s="180"/>
      <c r="CA137" s="180"/>
      <c r="CB137" s="180"/>
      <c r="CC137" s="180"/>
      <c r="CD137" s="180"/>
      <c r="CE137" s="180"/>
      <c r="CF137" s="180"/>
      <c r="CG137" s="180"/>
      <c r="CH137" s="180"/>
      <c r="CI137" s="180"/>
      <c r="CJ137" s="180"/>
      <c r="CK137" s="180"/>
      <c r="CL137" s="180"/>
      <c r="CM137" s="180"/>
      <c r="CN137" s="180"/>
      <c r="CO137" s="180"/>
      <c r="CP137" s="180"/>
      <c r="CQ137" s="180"/>
      <c r="CR137" s="180"/>
      <c r="CS137" s="180"/>
      <c r="CT137" s="180"/>
      <c r="CU137" s="180"/>
      <c r="CV137" s="180"/>
      <c r="CW137" s="180"/>
      <c r="CX137" s="180"/>
      <c r="CY137" s="180"/>
      <c r="CZ137" s="180"/>
      <c r="DA137" s="180"/>
      <c r="DB137" s="180"/>
      <c r="DC137" s="180"/>
      <c r="DD137" s="180"/>
      <c r="DE137" s="180"/>
      <c r="DF137" s="180"/>
      <c r="DG137" s="180"/>
      <c r="DH137" s="180"/>
      <c r="DI137" s="180"/>
      <c r="DJ137" s="180"/>
      <c r="DK137" s="180"/>
      <c r="DL137" s="180"/>
      <c r="DM137" s="180"/>
      <c r="DN137" s="180"/>
      <c r="DO137" s="180"/>
      <c r="DP137" s="180"/>
      <c r="DQ137" s="180"/>
      <c r="DR137" s="180"/>
      <c r="DS137" s="180"/>
      <c r="DT137" s="180"/>
      <c r="DU137" s="180"/>
      <c r="DV137" s="180"/>
      <c r="DW137" s="180"/>
      <c r="DX137" s="180"/>
      <c r="DY137" s="180"/>
      <c r="DZ137" s="180"/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180"/>
      <c r="EO137" s="180"/>
      <c r="EP137" s="180"/>
      <c r="EQ137" s="180"/>
      <c r="ER137" s="180"/>
      <c r="ES137" s="180"/>
      <c r="ET137" s="180"/>
      <c r="EU137" s="180"/>
      <c r="EV137" s="180"/>
      <c r="EW137" s="180"/>
      <c r="EX137" s="180"/>
      <c r="EY137" s="180"/>
      <c r="EZ137" s="180"/>
      <c r="FA137" s="180"/>
      <c r="FB137" s="180"/>
      <c r="FC137" s="180"/>
      <c r="FD137" s="180"/>
      <c r="FE137" s="180"/>
      <c r="FF137" s="180"/>
      <c r="FG137" s="180"/>
      <c r="FH137" s="180"/>
      <c r="FI137" s="180"/>
      <c r="FJ137" s="180"/>
      <c r="FK137" s="180"/>
      <c r="FL137" s="180"/>
      <c r="FM137" s="180"/>
      <c r="FN137" s="180"/>
      <c r="FO137" s="180"/>
      <c r="FP137" s="180"/>
      <c r="FQ137" s="180"/>
      <c r="FR137" s="180"/>
      <c r="FS137" s="180"/>
      <c r="FT137" s="180"/>
      <c r="FU137" s="180"/>
      <c r="FV137" s="180"/>
    </row>
    <row r="138" spans="1:256" ht="15.75" thickBot="1" x14ac:dyDescent="0.3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75"/>
      <c r="Q138" s="174"/>
    </row>
    <row r="139" spans="1:256" ht="15.75" thickBot="1" x14ac:dyDescent="0.3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25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25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25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25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25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25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25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25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25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25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25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25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25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25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25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25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25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25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25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25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25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25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25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25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25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25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25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25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25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25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25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25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25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25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25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25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25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25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25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25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25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25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25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25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25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25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25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25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25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25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25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25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25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25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25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25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25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25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25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25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25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25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25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25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25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25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25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25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25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25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25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25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25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25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25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25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25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25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25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25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25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25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25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25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25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25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25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25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25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25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25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25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25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25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25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25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25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25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25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25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25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25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25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25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25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25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25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25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25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25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25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25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25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25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25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25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25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25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25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25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25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25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25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25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25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25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25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25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25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25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25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25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25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25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25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25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25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25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25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25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25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25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25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25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25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25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25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25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25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25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25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25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25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25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25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25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25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25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25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25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25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25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25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25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25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25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25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25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25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25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25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25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25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25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25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25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25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25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25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25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25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25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25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25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25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25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25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25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25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25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25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25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25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25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25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25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25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25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25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25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25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25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25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25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25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25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25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25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25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25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25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25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25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25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25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25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25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25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25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25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25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25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25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25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25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25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25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25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25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25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25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25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25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25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25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25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25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25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25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25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25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25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25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25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25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25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25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25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25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25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25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25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25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25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25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.75" thickBot="1" x14ac:dyDescent="0.3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5" customHeight="1" x14ac:dyDescent="0.25">
      <c r="A397" s="84"/>
      <c r="B397" s="84"/>
      <c r="C397" s="84"/>
      <c r="D397" s="84"/>
    </row>
    <row r="398" spans="1:256" ht="14.45" customHeight="1" x14ac:dyDescent="0.25">
      <c r="A398" s="84"/>
      <c r="B398" s="84"/>
      <c r="C398" s="84"/>
      <c r="D398" s="84"/>
    </row>
    <row r="399" spans="1:256" ht="14.45" customHeight="1" x14ac:dyDescent="0.25">
      <c r="A399" s="84"/>
      <c r="B399" s="84"/>
      <c r="C399" s="84"/>
      <c r="D399" s="84"/>
    </row>
  </sheetData>
  <mergeCells count="116"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C53:E68 C37 D28 W15 J28 M17 H33 G40 C40 C78 G31 E75 L71 G75 I75 D5 J133 M133 J137 L137 Q135 L28 F28 C43 G43 J49 H51 L51 G37 X20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20 D33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0" operator="equal">
      <formula>1</formula>
    </cfRule>
    <cfRule type="cellIs" dxfId="22" priority="31" operator="equal">
      <formula>0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20 L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J71 J17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L24 N20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19" operator="equal">
      <formula>0</formula>
    </cfRule>
    <cfRule type="cellIs" dxfId="11" priority="17" operator="equal">
      <formula>2</formula>
    </cfRule>
    <cfRule type="cellIs" dxfId="10" priority="16" operator="equal">
      <formula>3</formula>
    </cfRule>
    <cfRule type="cellIs" dxfId="9" priority="15" operator="equal">
      <formula>4</formula>
    </cfRule>
    <cfRule type="cellIs" dxfId="8" priority="14" operator="equal">
      <formula>5</formula>
    </cfRule>
    <cfRule type="cellIs" dxfId="7" priority="13" operator="equal">
      <formula>7</formula>
    </cfRule>
    <cfRule type="cellIs" dxfId="6" priority="12" operator="equal">
      <formula>6</formula>
    </cfRule>
    <cfRule type="cellIs" dxfId="5" priority="11" operator="equal">
      <formula>8</formula>
    </cfRule>
    <cfRule type="cellIs" dxfId="4" priority="10" operator="equal">
      <formula>9</formula>
    </cfRule>
    <cfRule type="cellIs" dxfId="3" priority="9" operator="equal">
      <formula>10</formula>
    </cfRule>
    <cfRule type="cellIs" dxfId="2" priority="8" operator="equal">
      <formula>11</formula>
    </cfRule>
    <cfRule type="cellIs" dxfId="1" priority="7" operator="equal">
      <formula>13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96</vt:i4>
      </vt:variant>
    </vt:vector>
  </HeadingPairs>
  <TitlesOfParts>
    <vt:vector size="97" baseType="lpstr">
      <vt:lpstr>SOS</vt:lpstr>
      <vt:lpstr>_00_RegisterFile</vt:lpstr>
      <vt:lpstr>_01_RegisterFile</vt:lpstr>
      <vt:lpstr>_02_RegisterFile</vt:lpstr>
      <vt:lpstr>_03_RegisterFile</vt:lpstr>
      <vt:lpstr>_04_RegisterFile</vt:lpstr>
      <vt:lpstr>_05_RegisterFile</vt:lpstr>
      <vt:lpstr>_06_RegisterFile</vt:lpstr>
      <vt:lpstr>_07_RegisterFile</vt:lpstr>
      <vt:lpstr>_08_RegisterFile</vt:lpstr>
      <vt:lpstr>_09_RegisterFile</vt:lpstr>
      <vt:lpstr>_0A_RegisterFile</vt:lpstr>
      <vt:lpstr>_0b_RegisterFile</vt:lpstr>
      <vt:lpstr>_0C_RegisterFile</vt:lpstr>
      <vt:lpstr>_0D_RegisterFile</vt:lpstr>
      <vt:lpstr>_0E_RegisterFile</vt:lpstr>
      <vt:lpstr>_0F_RegisterFile</vt:lpstr>
      <vt:lpstr>_REG2__Mux</vt:lpstr>
      <vt:lpstr>Address_X_MemoryManagementUnit</vt:lpstr>
      <vt:lpstr>Address_Y_MemoryManagementUnit</vt:lpstr>
      <vt:lpstr>b16_Val_ControlUnit</vt:lpstr>
      <vt:lpstr>B2_4_PC</vt:lpstr>
      <vt:lpstr>CF_RegisterFile</vt:lpstr>
      <vt:lpstr>Clock</vt:lpstr>
      <vt:lpstr>Imd_b16_Mux</vt:lpstr>
      <vt:lpstr>Imd_b4_Mux</vt:lpstr>
      <vt:lpstr>IN__Reg2_RegisterFile</vt:lpstr>
      <vt:lpstr>IN_Address_MemoryManagementUnit</vt:lpstr>
      <vt:lpstr>IN_B2_4_Inst_PC</vt:lpstr>
      <vt:lpstr>IN_Clock_ALU</vt:lpstr>
      <vt:lpstr>IN_Clock_ControlUnit</vt:lpstr>
      <vt:lpstr>IN_Clock_FetchUnit</vt:lpstr>
      <vt:lpstr>IN_Clock_MemoryManagementUnit</vt:lpstr>
      <vt:lpstr>IN_Clock_Mux</vt:lpstr>
      <vt:lpstr>IN_Clock_Mux2</vt:lpstr>
      <vt:lpstr>IN_Clock_PC</vt:lpstr>
      <vt:lpstr>IN_Clock_RegisterFile</vt:lpstr>
      <vt:lpstr>IN_High16_Mux</vt:lpstr>
      <vt:lpstr>IN_Input_Reg1_RegisterFile</vt:lpstr>
      <vt:lpstr>IN_Input_Reg2_RegisterFile</vt:lpstr>
      <vt:lpstr>IN_Inst_bus_ControlUnit</vt:lpstr>
      <vt:lpstr>IN_Low_High_Mux</vt:lpstr>
      <vt:lpstr>IN_Low16_Mux</vt:lpstr>
      <vt:lpstr>IN_MEMR_MemoryManagementUnit</vt:lpstr>
      <vt:lpstr>IN_MEMW_MemoryManagementUnit</vt:lpstr>
      <vt:lpstr>IN_Mux_Sel_Mux</vt:lpstr>
      <vt:lpstr>IN_OPcode_ALU</vt:lpstr>
      <vt:lpstr>IN_Opcode_PC</vt:lpstr>
      <vt:lpstr>IN_Operand1_ALU</vt:lpstr>
      <vt:lpstr>IN_Operand2_ALU</vt:lpstr>
      <vt:lpstr>IN_Operand2_PC</vt:lpstr>
      <vt:lpstr>IN_PC_FetchUnit</vt:lpstr>
      <vt:lpstr>IN_PC_Set_IMD_PC</vt:lpstr>
      <vt:lpstr>IN_Read_ROM_MemoryManagementUnit</vt:lpstr>
      <vt:lpstr>IN_Reg1_RegisterFile</vt:lpstr>
      <vt:lpstr>IN_Reg1_W_RegisterFile</vt:lpstr>
      <vt:lpstr>IN_Reg2_W_RegisterFile</vt:lpstr>
      <vt:lpstr>IN_Reset_PC</vt:lpstr>
      <vt:lpstr>IN_Reset_RAM_MemoryManagementUnit</vt:lpstr>
      <vt:lpstr>IN_Value_MemoryManagementUnit</vt:lpstr>
      <vt:lpstr>Inmediate_PC</vt:lpstr>
      <vt:lpstr>Manual</vt:lpstr>
      <vt:lpstr>Mem_Val_Mux</vt:lpstr>
      <vt:lpstr>OF_RegisterFile</vt:lpstr>
      <vt:lpstr>Opcode_ControlUnit</vt:lpstr>
      <vt:lpstr>Operand1_ALU</vt:lpstr>
      <vt:lpstr>Operand2_ALU</vt:lpstr>
      <vt:lpstr>Out_ALU_OP_ControlUnit</vt:lpstr>
      <vt:lpstr>Out_b16_Val_ControlUnit</vt:lpstr>
      <vt:lpstr>Out_b2_4_ControlUnit</vt:lpstr>
      <vt:lpstr>OUT_High16_ALU</vt:lpstr>
      <vt:lpstr>OUT_Inst_Bus_FetchUnit</vt:lpstr>
      <vt:lpstr>OUT_L_H_b16_ControlUnit</vt:lpstr>
      <vt:lpstr>OUT_Low16_ALU</vt:lpstr>
      <vt:lpstr>OUT_Mem_R_ControlUnit</vt:lpstr>
      <vt:lpstr>OUT_Mem_W_ControlUnit</vt:lpstr>
      <vt:lpstr>OUT_Mux_Sel_ControlUnit</vt:lpstr>
      <vt:lpstr>OUT_Operand2_Mux</vt:lpstr>
      <vt:lpstr>OUT_Output_Mux</vt:lpstr>
      <vt:lpstr>OUT_PC</vt:lpstr>
      <vt:lpstr>OUT_PC_Set_Imd_ControlUnit</vt:lpstr>
      <vt:lpstr>OUT_Reg1_ControlUnit</vt:lpstr>
      <vt:lpstr>OUT_Reg1_W_ControlUnit</vt:lpstr>
      <vt:lpstr>OUT_Reg2_ControlUnit</vt:lpstr>
      <vt:lpstr>OUT_Reg2_W_ControlUnit</vt:lpstr>
      <vt:lpstr>OUT_Value_Out_MemoryManagementUnit</vt:lpstr>
      <vt:lpstr>Override_FetchUnit</vt:lpstr>
      <vt:lpstr>PC_FetchUnit</vt:lpstr>
      <vt:lpstr>PC_PC</vt:lpstr>
      <vt:lpstr>Reg1_ControlUnit</vt:lpstr>
      <vt:lpstr>Reg2_ControlUnit</vt:lpstr>
      <vt:lpstr>REG2_Mux</vt:lpstr>
      <vt:lpstr>Reset</vt:lpstr>
      <vt:lpstr>Reset_RAM</vt:lpstr>
      <vt:lpstr>SF_RegisterFile</vt:lpstr>
      <vt:lpstr>Zero_Mux</vt:lpstr>
      <vt:lpstr>ZF_RegisterFile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Noel P</cp:lastModifiedBy>
  <cp:lastPrinted>2024-01-25T06:58:31Z</cp:lastPrinted>
  <dcterms:created xsi:type="dcterms:W3CDTF">2015-06-05T18:17:20Z</dcterms:created>
  <dcterms:modified xsi:type="dcterms:W3CDTF">2024-02-04T23:47:05Z</dcterms:modified>
</cp:coreProperties>
</file>