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SR\basePlan\"/>
    </mc:Choice>
  </mc:AlternateContent>
  <xr:revisionPtr revIDLastSave="0" documentId="13_ncr:1_{02D3EA27-C3EB-445F-8A98-2920B6003A0F}" xr6:coauthVersionLast="36" xr6:coauthVersionMax="36" xr10:uidLastSave="{00000000-0000-0000-0000-000000000000}"/>
  <bookViews>
    <workbookView xWindow="0" yWindow="0" windowWidth="22260" windowHeight="12135" activeTab="2" xr2:uid="{00000000-000D-0000-FFFF-FFFF00000000}"/>
  </bookViews>
  <sheets>
    <sheet name="benchmark" sheetId="11" r:id="rId1"/>
    <sheet name="operate" sheetId="8" r:id="rId2"/>
    <sheet name="base" sheetId="31" r:id="rId3"/>
    <sheet name="0.6.5" sheetId="38" r:id="rId4"/>
    <sheet name="path" sheetId="37" r:id="rId5"/>
    <sheet name="0.6.0" sheetId="35" r:id="rId6"/>
    <sheet name="pay" sheetId="33" r:id="rId7"/>
    <sheet name="goods" sheetId="21" r:id="rId8"/>
  </sheets>
  <definedNames>
    <definedName name="_xlnm._FilterDatabase" localSheetId="1" hidden="1">operate!$D$2:$D$2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38" l="1"/>
  <c r="Y13" i="38"/>
  <c r="Y12" i="38"/>
  <c r="Y11" i="38"/>
  <c r="Y10" i="38"/>
  <c r="Y9" i="38"/>
  <c r="Y8" i="38"/>
  <c r="Y7" i="38"/>
  <c r="Y6" i="38"/>
  <c r="Y5" i="38"/>
  <c r="Y4" i="38"/>
  <c r="Y3" i="38"/>
  <c r="AJ4" i="31"/>
  <c r="AK4" i="31"/>
  <c r="AL4" i="31"/>
  <c r="AM4" i="31"/>
  <c r="AN4" i="31"/>
  <c r="AO4" i="31"/>
  <c r="AJ5" i="31"/>
  <c r="AK5" i="31"/>
  <c r="AL5" i="31"/>
  <c r="AM5" i="31"/>
  <c r="AN5" i="31"/>
  <c r="AJ6" i="31"/>
  <c r="AK6" i="31"/>
  <c r="AL6" i="31"/>
  <c r="AM6" i="31"/>
  <c r="AN6" i="31"/>
  <c r="AJ7" i="31"/>
  <c r="AK7" i="31"/>
  <c r="AL7" i="31"/>
  <c r="AM7" i="31"/>
  <c r="AN7" i="31"/>
  <c r="AJ8" i="31"/>
  <c r="AK8" i="31"/>
  <c r="AL8" i="31"/>
  <c r="AM8" i="31"/>
  <c r="AN8" i="31"/>
  <c r="AJ9" i="31"/>
  <c r="AK9" i="31"/>
  <c r="AL9" i="31"/>
  <c r="AM9" i="31"/>
  <c r="AN9" i="31"/>
  <c r="AJ10" i="31"/>
  <c r="AK10" i="31"/>
  <c r="AL10" i="31"/>
  <c r="AM10" i="31"/>
  <c r="AN10" i="31"/>
  <c r="AJ11" i="31"/>
  <c r="AK11" i="31"/>
  <c r="AL11" i="31"/>
  <c r="AM11" i="31"/>
  <c r="AN11" i="31"/>
  <c r="AO11" i="31"/>
  <c r="AJ12" i="31"/>
  <c r="AK12" i="31"/>
  <c r="AL12" i="31"/>
  <c r="AM12" i="31"/>
  <c r="AN12" i="31"/>
  <c r="AO12" i="31"/>
  <c r="AJ13" i="31"/>
  <c r="AK13" i="31"/>
  <c r="AL13" i="31"/>
  <c r="AM13" i="31"/>
  <c r="AN13" i="31"/>
  <c r="AO13" i="31"/>
  <c r="AJ14" i="31"/>
  <c r="AK14" i="31"/>
  <c r="AL14" i="31"/>
  <c r="AM14" i="31"/>
  <c r="AN14" i="31"/>
  <c r="AO14" i="31"/>
  <c r="AK3" i="31"/>
  <c r="AL3" i="31"/>
  <c r="AM3" i="31"/>
  <c r="AN3" i="31"/>
  <c r="AO3" i="31"/>
  <c r="AJ3" i="31"/>
  <c r="X10" i="38"/>
  <c r="AO10" i="31" s="1"/>
  <c r="X9" i="38"/>
  <c r="AO9" i="31" s="1"/>
  <c r="X8" i="38"/>
  <c r="AO8" i="31" s="1"/>
  <c r="X7" i="38"/>
  <c r="AO7" i="31" s="1"/>
  <c r="X6" i="38"/>
  <c r="AO6" i="31" s="1"/>
  <c r="X5" i="38"/>
  <c r="AO5" i="31" s="1"/>
  <c r="X4" i="38"/>
  <c r="X3" i="38"/>
  <c r="M32" i="38"/>
  <c r="M31" i="38"/>
  <c r="M30" i="38"/>
  <c r="M29" i="38"/>
  <c r="M28" i="38"/>
  <c r="M27" i="38"/>
  <c r="M26" i="38"/>
  <c r="N25" i="38"/>
  <c r="M25" i="38"/>
  <c r="M24" i="38"/>
  <c r="M23" i="38"/>
  <c r="M22" i="38"/>
  <c r="M21" i="38"/>
  <c r="M20" i="38"/>
  <c r="M19" i="38"/>
  <c r="M18" i="38"/>
  <c r="N17" i="38"/>
  <c r="M17" i="38"/>
  <c r="M16" i="38"/>
  <c r="M15" i="38"/>
  <c r="M14" i="38"/>
  <c r="M13" i="38"/>
  <c r="M12" i="38"/>
  <c r="M11" i="38"/>
  <c r="M10" i="38"/>
  <c r="N9" i="38"/>
  <c r="M9" i="38"/>
  <c r="M8" i="38"/>
  <c r="M7" i="38"/>
  <c r="M6" i="38"/>
  <c r="M5" i="38"/>
  <c r="M4" i="38"/>
  <c r="M3" i="38"/>
  <c r="N32" i="38" s="1"/>
  <c r="I32" i="38"/>
  <c r="J32" i="38" s="1"/>
  <c r="I31" i="38"/>
  <c r="J31" i="38" s="1"/>
  <c r="I30" i="38"/>
  <c r="J30" i="38" s="1"/>
  <c r="I29" i="38"/>
  <c r="J29" i="38" s="1"/>
  <c r="I28" i="38"/>
  <c r="J28" i="38" s="1"/>
  <c r="I27" i="38"/>
  <c r="J27" i="38" s="1"/>
  <c r="I26" i="38"/>
  <c r="J26" i="38" s="1"/>
  <c r="I25" i="38"/>
  <c r="J25" i="38" s="1"/>
  <c r="I24" i="38"/>
  <c r="J24" i="38" s="1"/>
  <c r="I23" i="38"/>
  <c r="J23" i="38" s="1"/>
  <c r="I22" i="38"/>
  <c r="J22" i="38" s="1"/>
  <c r="I21" i="38"/>
  <c r="J21" i="38" s="1"/>
  <c r="I20" i="38"/>
  <c r="J20" i="38" s="1"/>
  <c r="J19" i="38"/>
  <c r="I19" i="38"/>
  <c r="I18" i="38"/>
  <c r="J18" i="38" s="1"/>
  <c r="I17" i="38"/>
  <c r="J17" i="38" s="1"/>
  <c r="I16" i="38"/>
  <c r="J16" i="38" s="1"/>
  <c r="I15" i="38"/>
  <c r="J15" i="38" s="1"/>
  <c r="I14" i="38"/>
  <c r="J14" i="38" s="1"/>
  <c r="I13" i="38"/>
  <c r="J13" i="38" s="1"/>
  <c r="I12" i="38"/>
  <c r="J12" i="38" s="1"/>
  <c r="I11" i="38"/>
  <c r="J11" i="38" s="1"/>
  <c r="I10" i="38"/>
  <c r="J10" i="38" s="1"/>
  <c r="I9" i="38"/>
  <c r="J9" i="38" s="1"/>
  <c r="I8" i="38"/>
  <c r="J8" i="38" s="1"/>
  <c r="I7" i="38"/>
  <c r="J7" i="38" s="1"/>
  <c r="I6" i="38"/>
  <c r="J6" i="38" s="1"/>
  <c r="I5" i="38"/>
  <c r="J5" i="38" s="1"/>
  <c r="I4" i="38"/>
  <c r="J4" i="38" s="1"/>
  <c r="I3" i="38"/>
  <c r="J3" i="38" s="1"/>
  <c r="I4" i="31"/>
  <c r="I5" i="31"/>
  <c r="J5" i="31" s="1"/>
  <c r="I6" i="31"/>
  <c r="I7" i="31"/>
  <c r="I8" i="31"/>
  <c r="J8" i="31" s="1"/>
  <c r="M8" i="31" s="1"/>
  <c r="I9" i="31"/>
  <c r="J9" i="31" s="1"/>
  <c r="M9" i="31" s="1"/>
  <c r="I10" i="31"/>
  <c r="J10" i="31" s="1"/>
  <c r="M10" i="31" s="1"/>
  <c r="I11" i="31"/>
  <c r="J11" i="31" s="1"/>
  <c r="M11" i="31" s="1"/>
  <c r="I12" i="31"/>
  <c r="J12" i="31" s="1"/>
  <c r="M12" i="31" s="1"/>
  <c r="I13" i="31"/>
  <c r="J13" i="31" s="1"/>
  <c r="M13" i="31" s="1"/>
  <c r="I14" i="31"/>
  <c r="J14" i="31" s="1"/>
  <c r="M14" i="31" s="1"/>
  <c r="I15" i="31"/>
  <c r="J15" i="31" s="1"/>
  <c r="M15" i="31" s="1"/>
  <c r="I16" i="31"/>
  <c r="J16" i="31" s="1"/>
  <c r="M16" i="31" s="1"/>
  <c r="I17" i="31"/>
  <c r="J17" i="31" s="1"/>
  <c r="M17" i="31" s="1"/>
  <c r="I18" i="31"/>
  <c r="J18" i="31" s="1"/>
  <c r="M18" i="31" s="1"/>
  <c r="I19" i="31"/>
  <c r="J19" i="31" s="1"/>
  <c r="M19" i="31" s="1"/>
  <c r="I20" i="31"/>
  <c r="J20" i="31" s="1"/>
  <c r="I21" i="31"/>
  <c r="J21" i="31" s="1"/>
  <c r="I22" i="31"/>
  <c r="I23" i="31"/>
  <c r="I24" i="31"/>
  <c r="J24" i="31" s="1"/>
  <c r="I25" i="31"/>
  <c r="J25" i="31" s="1"/>
  <c r="I26" i="31"/>
  <c r="J26" i="31" s="1"/>
  <c r="I27" i="31"/>
  <c r="J27" i="31" s="1"/>
  <c r="I28" i="31"/>
  <c r="J28" i="31" s="1"/>
  <c r="I29" i="31"/>
  <c r="J29" i="31" s="1"/>
  <c r="I30" i="31"/>
  <c r="J30" i="31" s="1"/>
  <c r="I31" i="31"/>
  <c r="I32" i="31"/>
  <c r="J32" i="31" s="1"/>
  <c r="I3" i="31"/>
  <c r="J6" i="31"/>
  <c r="M6" i="31" s="1"/>
  <c r="J7" i="31"/>
  <c r="J22" i="31"/>
  <c r="J23" i="31"/>
  <c r="J31" i="31"/>
  <c r="W14" i="38"/>
  <c r="V14" i="38"/>
  <c r="U14" i="38"/>
  <c r="W13" i="38"/>
  <c r="V13" i="38"/>
  <c r="U13" i="38"/>
  <c r="W12" i="38"/>
  <c r="V12" i="38"/>
  <c r="U12" i="38"/>
  <c r="W11" i="38"/>
  <c r="V11" i="38"/>
  <c r="U11" i="38"/>
  <c r="W10" i="38"/>
  <c r="V10" i="38"/>
  <c r="U10" i="38"/>
  <c r="W9" i="38"/>
  <c r="V9" i="38"/>
  <c r="U9" i="38"/>
  <c r="W8" i="38"/>
  <c r="V8" i="38"/>
  <c r="U8" i="38"/>
  <c r="W7" i="38"/>
  <c r="V7" i="38"/>
  <c r="U7" i="38"/>
  <c r="W6" i="38"/>
  <c r="V6" i="38"/>
  <c r="U6" i="38"/>
  <c r="W5" i="38"/>
  <c r="V5" i="38"/>
  <c r="U5" i="38"/>
  <c r="W4" i="38"/>
  <c r="V4" i="38"/>
  <c r="U4" i="38"/>
  <c r="W3" i="38"/>
  <c r="V3" i="38"/>
  <c r="U3" i="38"/>
  <c r="D32" i="38"/>
  <c r="L32" i="38" s="1"/>
  <c r="D31" i="38"/>
  <c r="L31" i="38" s="1"/>
  <c r="D30" i="38"/>
  <c r="L30" i="38" s="1"/>
  <c r="D29" i="38"/>
  <c r="L29" i="38" s="1"/>
  <c r="D28" i="38"/>
  <c r="L28" i="38" s="1"/>
  <c r="D27" i="38"/>
  <c r="L27" i="38" s="1"/>
  <c r="D26" i="38"/>
  <c r="L26" i="38" s="1"/>
  <c r="D25" i="38"/>
  <c r="L25" i="38" s="1"/>
  <c r="D24" i="38"/>
  <c r="L24" i="38" s="1"/>
  <c r="L23" i="38"/>
  <c r="D23" i="38"/>
  <c r="D22" i="38"/>
  <c r="L22" i="38" s="1"/>
  <c r="D21" i="38"/>
  <c r="L21" i="38" s="1"/>
  <c r="L20" i="38"/>
  <c r="D20" i="38"/>
  <c r="D19" i="38"/>
  <c r="D18" i="38"/>
  <c r="D17" i="38"/>
  <c r="D16" i="38"/>
  <c r="D15" i="38"/>
  <c r="D14" i="38"/>
  <c r="D13" i="38"/>
  <c r="D12" i="38"/>
  <c r="D11" i="38"/>
  <c r="C10" i="38"/>
  <c r="D10" i="38" s="1"/>
  <c r="C9" i="38"/>
  <c r="D8" i="38" s="1"/>
  <c r="C8" i="38"/>
  <c r="C7" i="38"/>
  <c r="D7" i="38" s="1"/>
  <c r="C6" i="38"/>
  <c r="D5" i="38" s="1"/>
  <c r="C5" i="38"/>
  <c r="D4" i="38" s="1"/>
  <c r="C4" i="38"/>
  <c r="D3" i="38"/>
  <c r="U4" i="31"/>
  <c r="V4" i="31"/>
  <c r="W4" i="31"/>
  <c r="U5" i="31"/>
  <c r="V5" i="31"/>
  <c r="W5" i="31"/>
  <c r="U6" i="31"/>
  <c r="V6" i="31"/>
  <c r="W6" i="31"/>
  <c r="U7" i="31"/>
  <c r="V7" i="31"/>
  <c r="W7" i="31"/>
  <c r="U8" i="31"/>
  <c r="V8" i="31"/>
  <c r="W8" i="31"/>
  <c r="U9" i="31"/>
  <c r="V9" i="31"/>
  <c r="W9" i="31"/>
  <c r="U10" i="31"/>
  <c r="V10" i="31"/>
  <c r="W10" i="31"/>
  <c r="U11" i="31"/>
  <c r="V11" i="31"/>
  <c r="W11" i="31"/>
  <c r="U12" i="31"/>
  <c r="V12" i="31"/>
  <c r="W12" i="31"/>
  <c r="U13" i="31"/>
  <c r="V13" i="31"/>
  <c r="W13" i="31"/>
  <c r="U14" i="31"/>
  <c r="V14" i="31"/>
  <c r="W14" i="31"/>
  <c r="V3" i="31"/>
  <c r="W3" i="31"/>
  <c r="U3" i="31"/>
  <c r="AB14" i="31"/>
  <c r="AB13" i="31"/>
  <c r="AB12" i="31"/>
  <c r="AB11" i="31"/>
  <c r="Y12" i="11"/>
  <c r="X12" i="11"/>
  <c r="D9" i="37" s="1"/>
  <c r="Y5" i="11"/>
  <c r="Y6" i="11"/>
  <c r="Y7" i="11"/>
  <c r="Y8" i="11"/>
  <c r="Y9" i="11"/>
  <c r="Y10" i="11"/>
  <c r="Y11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D4" i="37"/>
  <c r="D5" i="37"/>
  <c r="D6" i="37"/>
  <c r="D7" i="37"/>
  <c r="D8" i="37"/>
  <c r="D10" i="37"/>
  <c r="D11" i="37"/>
  <c r="D13" i="37"/>
  <c r="D14" i="37"/>
  <c r="D15" i="37"/>
  <c r="D16" i="37"/>
  <c r="D12" i="37"/>
  <c r="P14" i="35"/>
  <c r="P13" i="35"/>
  <c r="P12" i="35"/>
  <c r="P11" i="35"/>
  <c r="P10" i="35"/>
  <c r="P9" i="35"/>
  <c r="P8" i="35"/>
  <c r="P7" i="35"/>
  <c r="P6" i="35"/>
  <c r="P5" i="35"/>
  <c r="P4" i="35"/>
  <c r="P3" i="35"/>
  <c r="N10" i="38" l="1"/>
  <c r="N18" i="38"/>
  <c r="N26" i="38"/>
  <c r="N3" i="38"/>
  <c r="N11" i="38"/>
  <c r="N19" i="38"/>
  <c r="N27" i="38"/>
  <c r="N4" i="38"/>
  <c r="N12" i="38"/>
  <c r="Z6" i="38" s="1"/>
  <c r="AQ6" i="31" s="1"/>
  <c r="N20" i="38"/>
  <c r="N28" i="38"/>
  <c r="N5" i="38"/>
  <c r="N13" i="38"/>
  <c r="Z7" i="38" s="1"/>
  <c r="AQ7" i="31" s="1"/>
  <c r="N21" i="38"/>
  <c r="N29" i="38"/>
  <c r="N6" i="38"/>
  <c r="N14" i="38"/>
  <c r="N22" i="38"/>
  <c r="N30" i="38"/>
  <c r="N7" i="38"/>
  <c r="N15" i="38"/>
  <c r="N23" i="38"/>
  <c r="N31" i="38"/>
  <c r="N8" i="38"/>
  <c r="N16" i="38"/>
  <c r="Z10" i="38" s="1"/>
  <c r="AQ10" i="31" s="1"/>
  <c r="N24" i="38"/>
  <c r="M5" i="31"/>
  <c r="M7" i="31"/>
  <c r="Z9" i="38"/>
  <c r="AQ9" i="31" s="1"/>
  <c r="Z5" i="38"/>
  <c r="AQ5" i="31" s="1"/>
  <c r="Z8" i="38"/>
  <c r="AQ8" i="31" s="1"/>
  <c r="Z4" i="38"/>
  <c r="AQ4" i="31" s="1"/>
  <c r="Z3" i="38"/>
  <c r="AQ3" i="31" s="1"/>
  <c r="Z11" i="38"/>
  <c r="AQ11" i="31" s="1"/>
  <c r="D9" i="38"/>
  <c r="D6" i="38"/>
  <c r="J4" i="31"/>
  <c r="J3" i="31"/>
  <c r="X4" i="31" l="1"/>
  <c r="X5" i="31"/>
  <c r="X6" i="31"/>
  <c r="X7" i="31"/>
  <c r="X8" i="31"/>
  <c r="X11" i="31"/>
  <c r="X9" i="31"/>
  <c r="X10" i="31"/>
  <c r="X12" i="31"/>
  <c r="X13" i="31"/>
  <c r="X3" i="31"/>
  <c r="X14" i="31"/>
  <c r="M3" i="31"/>
  <c r="M4" i="31"/>
  <c r="Z12" i="38"/>
  <c r="AQ12" i="31" s="1"/>
  <c r="Z14" i="38"/>
  <c r="AQ14" i="31" s="1"/>
  <c r="Z13" i="38"/>
  <c r="AQ13" i="31" s="1"/>
  <c r="Y8" i="31" l="1"/>
  <c r="Y9" i="31"/>
  <c r="Y10" i="31"/>
  <c r="Y5" i="31"/>
  <c r="Y11" i="31"/>
  <c r="Y12" i="31"/>
  <c r="Y13" i="31"/>
  <c r="Y14" i="31"/>
  <c r="Y3" i="31"/>
  <c r="Y6" i="31"/>
  <c r="Y4" i="31"/>
  <c r="Y7" i="31"/>
  <c r="C10" i="31"/>
  <c r="C9" i="31"/>
  <c r="C8" i="31"/>
  <c r="C6" i="31"/>
  <c r="C5" i="31"/>
  <c r="C4" i="31"/>
  <c r="C7" i="31"/>
  <c r="I32" i="35"/>
  <c r="K32" i="35" s="1"/>
  <c r="D32" i="35"/>
  <c r="I31" i="35"/>
  <c r="K31" i="35" s="1"/>
  <c r="D31" i="35"/>
  <c r="I30" i="35"/>
  <c r="K30" i="35" s="1"/>
  <c r="D30" i="35"/>
  <c r="I29" i="35"/>
  <c r="K29" i="35" s="1"/>
  <c r="D29" i="35"/>
  <c r="I28" i="35"/>
  <c r="K28" i="35" s="1"/>
  <c r="D28" i="35"/>
  <c r="I27" i="35"/>
  <c r="K27" i="35" s="1"/>
  <c r="D27" i="35"/>
  <c r="I26" i="35"/>
  <c r="K26" i="35" s="1"/>
  <c r="D26" i="35"/>
  <c r="I25" i="35"/>
  <c r="K25" i="35" s="1"/>
  <c r="D25" i="35"/>
  <c r="I24" i="35"/>
  <c r="K24" i="35" s="1"/>
  <c r="D24" i="35"/>
  <c r="I23" i="35"/>
  <c r="K23" i="35" s="1"/>
  <c r="D23" i="35"/>
  <c r="I22" i="35"/>
  <c r="K22" i="35" s="1"/>
  <c r="D22" i="35"/>
  <c r="I21" i="35"/>
  <c r="K21" i="35" s="1"/>
  <c r="D21" i="35"/>
  <c r="I20" i="35"/>
  <c r="K20" i="35" s="1"/>
  <c r="D20" i="35"/>
  <c r="I19" i="35"/>
  <c r="K19" i="35" s="1"/>
  <c r="D19" i="35"/>
  <c r="I18" i="35"/>
  <c r="K18" i="35" s="1"/>
  <c r="D18" i="35"/>
  <c r="I17" i="35"/>
  <c r="K17" i="35" s="1"/>
  <c r="D17" i="35"/>
  <c r="I16" i="35"/>
  <c r="K16" i="35" s="1"/>
  <c r="D16" i="35"/>
  <c r="I15" i="35"/>
  <c r="K15" i="35" s="1"/>
  <c r="D15" i="35"/>
  <c r="I14" i="35"/>
  <c r="K14" i="35" s="1"/>
  <c r="D14" i="35"/>
  <c r="I13" i="35"/>
  <c r="K13" i="35" s="1"/>
  <c r="D13" i="35"/>
  <c r="I12" i="35"/>
  <c r="K12" i="35" s="1"/>
  <c r="D12" i="35"/>
  <c r="I11" i="35"/>
  <c r="K11" i="35" s="1"/>
  <c r="D11" i="35"/>
  <c r="I10" i="35"/>
  <c r="K10" i="35" s="1"/>
  <c r="D10" i="35"/>
  <c r="I9" i="35"/>
  <c r="K9" i="35" s="1"/>
  <c r="D9" i="35"/>
  <c r="I8" i="35"/>
  <c r="K8" i="35" s="1"/>
  <c r="D8" i="35"/>
  <c r="I7" i="35"/>
  <c r="K7" i="35" s="1"/>
  <c r="D7" i="35"/>
  <c r="I6" i="35"/>
  <c r="K6" i="35" s="1"/>
  <c r="D6" i="35"/>
  <c r="I5" i="35"/>
  <c r="K5" i="35" s="1"/>
  <c r="L10" i="35" s="1"/>
  <c r="R3" i="35" s="1"/>
  <c r="D5" i="35"/>
  <c r="I4" i="35"/>
  <c r="K4" i="35" s="1"/>
  <c r="D4" i="35"/>
  <c r="I3" i="35"/>
  <c r="K3" i="35" s="1"/>
  <c r="D3" i="35"/>
  <c r="L29" i="35" l="1"/>
  <c r="L27" i="35"/>
  <c r="L26" i="35"/>
  <c r="R11" i="35" s="1"/>
  <c r="L4" i="35"/>
  <c r="L30" i="35"/>
  <c r="R12" i="35" s="1"/>
  <c r="L24" i="35"/>
  <c r="L7" i="35"/>
  <c r="L21" i="35"/>
  <c r="R10" i="35" s="1"/>
  <c r="L11" i="35"/>
  <c r="L8" i="35"/>
  <c r="L15" i="35"/>
  <c r="R5" i="35" s="1"/>
  <c r="L31" i="35"/>
  <c r="R13" i="35" s="1"/>
  <c r="L23" i="35"/>
  <c r="L12" i="35"/>
  <c r="L28" i="35"/>
  <c r="L17" i="35"/>
  <c r="L5" i="35"/>
  <c r="L18" i="35"/>
  <c r="R7" i="35" s="1"/>
  <c r="L9" i="35"/>
  <c r="L25" i="35"/>
  <c r="L22" i="35"/>
  <c r="L3" i="35"/>
  <c r="L19" i="35"/>
  <c r="R8" i="35" s="1"/>
  <c r="L20" i="35"/>
  <c r="R9" i="35" s="1"/>
  <c r="L14" i="35"/>
  <c r="L6" i="35"/>
  <c r="L16" i="35"/>
  <c r="R6" i="35" s="1"/>
  <c r="L32" i="35"/>
  <c r="R14" i="35" s="1"/>
  <c r="L13" i="35"/>
  <c r="R4" i="35" s="1"/>
  <c r="N4" i="31" l="1"/>
  <c r="N3" i="31"/>
  <c r="N19" i="31"/>
  <c r="N5" i="31"/>
  <c r="N6" i="31"/>
  <c r="N17" i="31"/>
  <c r="N16" i="31"/>
  <c r="Z6" i="31" s="1"/>
  <c r="N15" i="31"/>
  <c r="Z5" i="31" s="1"/>
  <c r="N14" i="31"/>
  <c r="N13" i="31"/>
  <c r="Z4" i="31" s="1"/>
  <c r="N12" i="31"/>
  <c r="N11" i="31"/>
  <c r="N18" i="31"/>
  <c r="Z7" i="31" s="1"/>
  <c r="N9" i="31"/>
  <c r="N10" i="31"/>
  <c r="N8" i="31"/>
  <c r="N7" i="31"/>
  <c r="Z3" i="31" l="1"/>
  <c r="D32" i="31"/>
  <c r="L32" i="31" s="1"/>
  <c r="M32" i="31" s="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L20" i="31" s="1"/>
  <c r="M20" i="31" s="1"/>
  <c r="D21" i="31"/>
  <c r="L21" i="31" s="1"/>
  <c r="M21" i="31" s="1"/>
  <c r="D22" i="31"/>
  <c r="L22" i="31" s="1"/>
  <c r="M22" i="31" s="1"/>
  <c r="D23" i="31"/>
  <c r="L23" i="31" s="1"/>
  <c r="M23" i="31" s="1"/>
  <c r="D24" i="31"/>
  <c r="L24" i="31" s="1"/>
  <c r="M24" i="31" s="1"/>
  <c r="D25" i="31"/>
  <c r="L25" i="31" s="1"/>
  <c r="M25" i="31" s="1"/>
  <c r="D26" i="31"/>
  <c r="L26" i="31" s="1"/>
  <c r="M26" i="31" s="1"/>
  <c r="D27" i="31"/>
  <c r="L27" i="31" s="1"/>
  <c r="M27" i="31" s="1"/>
  <c r="D28" i="31"/>
  <c r="L28" i="31" s="1"/>
  <c r="M28" i="31" s="1"/>
  <c r="D29" i="31"/>
  <c r="L29" i="31" s="1"/>
  <c r="M29" i="31" s="1"/>
  <c r="D30" i="31"/>
  <c r="L30" i="31" s="1"/>
  <c r="M30" i="31" s="1"/>
  <c r="D31" i="31"/>
  <c r="L31" i="31" s="1"/>
  <c r="M31" i="31" s="1"/>
  <c r="D3" i="31"/>
  <c r="N22" i="31" l="1"/>
  <c r="N26" i="31"/>
  <c r="Z11" i="31" s="1"/>
  <c r="N25" i="31"/>
  <c r="N20" i="31"/>
  <c r="N31" i="31"/>
  <c r="Z13" i="31" s="1"/>
  <c r="N24" i="31"/>
  <c r="N21" i="31"/>
  <c r="Z10" i="31" s="1"/>
  <c r="N28" i="31"/>
  <c r="N29" i="31"/>
  <c r="N32" i="31"/>
  <c r="Z14" i="31" s="1"/>
  <c r="N23" i="31"/>
  <c r="N27" i="31"/>
  <c r="N30" i="31"/>
  <c r="Z12" i="31" s="1"/>
  <c r="Y4" i="11"/>
  <c r="Z9" i="31" l="1"/>
  <c r="Z8" i="31"/>
  <c r="AL3" i="11"/>
  <c r="AM3" i="11"/>
  <c r="AL4" i="11" l="1"/>
  <c r="AL5" i="11"/>
  <c r="AL6" i="11"/>
  <c r="AL7" i="11"/>
  <c r="AM4" i="11" l="1"/>
  <c r="AM5" i="11"/>
  <c r="AM6" i="11"/>
  <c r="AM7" i="11"/>
  <c r="AC4" i="11" l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Z15" i="11"/>
  <c r="Z14" i="11"/>
  <c r="AA13" i="11"/>
  <c r="AA14" i="11" s="1"/>
  <c r="AA15" i="11" s="1"/>
  <c r="Z13" i="11"/>
  <c r="D3" i="8" l="1"/>
  <c r="T4" i="11" l="1"/>
  <c r="T3" i="11" l="1"/>
  <c r="T5" i="11" l="1"/>
  <c r="T6" i="11" l="1"/>
  <c r="T7" i="11" l="1"/>
  <c r="T8" i="11" l="1"/>
  <c r="T9" i="11" l="1"/>
  <c r="T10" i="11" l="1"/>
  <c r="T11" i="11" l="1"/>
  <c r="T12" i="11" l="1"/>
  <c r="T14" i="11" l="1"/>
  <c r="T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2" authorId="0" shapeId="0" xr:uid="{67178BCF-11B4-454B-85A3-4841D808771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计算成本=预估成本*成本风险</t>
        </r>
      </text>
    </comment>
    <comment ref="C3" authorId="0" shapeId="0" xr:uid="{C32A4ED5-F3F7-4CD7-9B1D-941CDF8653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单位：$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2" authorId="0" shapeId="0" xr:uid="{B4B6559E-6733-40E9-9CC6-94717B62C96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lv流失 = 驻留用户/总用户</t>
        </r>
      </text>
    </comment>
    <comment ref="F2" authorId="0" shapeId="0" xr:uid="{801D5EC0-7716-40AF-8AB0-5C75C054E86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用户转化 = 首次付费用户/总付费用户</t>
        </r>
      </text>
    </comment>
    <comment ref="G2" authorId="0" shapeId="0" xr:uid="{23355A17-B10A-43CF-A4C6-4E61ABDE9A2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付费流失 = 当日付费流失用户/总付费用户</t>
        </r>
      </text>
    </comment>
    <comment ref="H2" authorId="0" shapeId="0" xr:uid="{3326B517-7EAB-430D-BAFD-3D92C0BE5D0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行为转化 = 当日付费次数/当日破冰留存用户</t>
        </r>
      </text>
    </comment>
    <comment ref="L2" authorId="0" shapeId="0" xr:uid="{E6E8081D-E7CF-43F6-8A50-CF7E6739ACC1}">
      <text>
        <r>
          <rPr>
            <b/>
            <sz val="9"/>
            <color indexed="81"/>
            <rFont val="宋体"/>
            <family val="3"/>
            <charset val="134"/>
          </rPr>
          <t>Administrator:
arpppu = 付费/付费人次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2" authorId="0" shapeId="0" xr:uid="{5F82B81E-A66E-46BD-8F50-D38E0065246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lv流失 = 驻留用户/总用户</t>
        </r>
      </text>
    </comment>
    <comment ref="F2" authorId="0" shapeId="0" xr:uid="{CCC70100-08BE-47B2-B63F-B46951AC291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用户转化 = 首次付费用户/总付费用户</t>
        </r>
      </text>
    </comment>
    <comment ref="G2" authorId="0" shapeId="0" xr:uid="{200A99EE-5D88-4707-8C9B-140601D7AAB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付费流失 = 当日付费流失用户/总付费用户</t>
        </r>
      </text>
    </comment>
    <comment ref="H2" authorId="0" shapeId="0" xr:uid="{5459BDF7-BAA3-471C-937C-C9B0D3A5427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行为转化 =付费次数/破冰付费用户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" authorId="0" shapeId="0" xr:uid="{B6A06649-D73F-460B-A05F-8AB4626375C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价格标准($/day)</t>
        </r>
      </text>
    </comment>
    <comment ref="J2" authorId="0" shapeId="0" xr:uid="{7707D370-5657-4A92-A8AC-65EDA38DEBA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购买意愿(0~200%)</t>
        </r>
      </text>
    </comment>
  </commentList>
</comments>
</file>

<file path=xl/sharedStrings.xml><?xml version="1.0" encoding="utf-8"?>
<sst xmlns="http://schemas.openxmlformats.org/spreadsheetml/2006/main" count="319" uniqueCount="165">
  <si>
    <t>day</t>
    <phoneticPr fontId="2" type="noConversion"/>
  </si>
  <si>
    <t>keep</t>
    <phoneticPr fontId="2" type="noConversion"/>
  </si>
  <si>
    <t>id</t>
    <phoneticPr fontId="2" type="noConversion"/>
  </si>
  <si>
    <t>type</t>
    <phoneticPr fontId="2" type="noConversion"/>
  </si>
  <si>
    <t>base</t>
    <phoneticPr fontId="2" type="noConversion"/>
  </si>
  <si>
    <t>pay%</t>
    <phoneticPr fontId="2" type="noConversion"/>
  </si>
  <si>
    <t>资源</t>
    <phoneticPr fontId="2" type="noConversion"/>
  </si>
  <si>
    <t>体力</t>
    <phoneticPr fontId="2" type="noConversion"/>
  </si>
  <si>
    <t>name</t>
    <phoneticPr fontId="10" type="noConversion"/>
  </si>
  <si>
    <t>超</t>
    <phoneticPr fontId="2" type="noConversion"/>
  </si>
  <si>
    <t>大</t>
    <phoneticPr fontId="2" type="noConversion"/>
  </si>
  <si>
    <t>中</t>
    <phoneticPr fontId="2" type="noConversion"/>
  </si>
  <si>
    <t>小</t>
    <phoneticPr fontId="2" type="noConversion"/>
  </si>
  <si>
    <t>ss人数%</t>
    <phoneticPr fontId="2" type="noConversion"/>
  </si>
  <si>
    <t>ss付费%</t>
    <phoneticPr fontId="2" type="noConversion"/>
  </si>
  <si>
    <t>数值</t>
    <phoneticPr fontId="2" type="noConversion"/>
  </si>
  <si>
    <t>外显</t>
    <phoneticPr fontId="2" type="noConversion"/>
  </si>
  <si>
    <t>ss</t>
    <phoneticPr fontId="2" type="noConversion"/>
  </si>
  <si>
    <t>month</t>
    <phoneticPr fontId="2" type="noConversion"/>
  </si>
  <si>
    <t>import</t>
    <phoneticPr fontId="2" type="noConversion"/>
  </si>
  <si>
    <t>income</t>
    <phoneticPr fontId="2" type="noConversion"/>
  </si>
  <si>
    <t>operation</t>
    <phoneticPr fontId="2" type="noConversion"/>
  </si>
  <si>
    <t>month</t>
    <phoneticPr fontId="2" type="noConversion"/>
  </si>
  <si>
    <t>import</t>
    <phoneticPr fontId="2" type="noConversion"/>
  </si>
  <si>
    <t>ss收入</t>
    <phoneticPr fontId="2" type="noConversion"/>
  </si>
  <si>
    <t>ssr收入</t>
    <phoneticPr fontId="2" type="noConversion"/>
  </si>
  <si>
    <t>ss新增</t>
    <phoneticPr fontId="2" type="noConversion"/>
  </si>
  <si>
    <t>ssr新增</t>
    <phoneticPr fontId="2" type="noConversion"/>
  </si>
  <si>
    <t>day</t>
    <phoneticPr fontId="2" type="noConversion"/>
  </si>
  <si>
    <t>预注册</t>
    <phoneticPr fontId="2" type="noConversion"/>
  </si>
  <si>
    <t>成本风险</t>
    <phoneticPr fontId="2" type="noConversion"/>
  </si>
  <si>
    <t>exp</t>
  </si>
  <si>
    <t>抽卡</t>
    <phoneticPr fontId="2" type="noConversion"/>
  </si>
  <si>
    <t>U1</t>
    <phoneticPr fontId="10" type="noConversion"/>
  </si>
  <si>
    <t>U2</t>
    <phoneticPr fontId="10" type="noConversion"/>
  </si>
  <si>
    <t>U3</t>
    <phoneticPr fontId="10" type="noConversion"/>
  </si>
  <si>
    <t>U4</t>
    <phoneticPr fontId="10" type="noConversion"/>
  </si>
  <si>
    <t>U5</t>
    <phoneticPr fontId="10" type="noConversion"/>
  </si>
  <si>
    <t>U6</t>
    <phoneticPr fontId="10" type="noConversion"/>
  </si>
  <si>
    <t>other</t>
  </si>
  <si>
    <t>tV</t>
  </si>
  <si>
    <t>card</t>
  </si>
  <si>
    <t>power</t>
  </si>
  <si>
    <t>等级</t>
    <phoneticPr fontId="2" type="noConversion"/>
  </si>
  <si>
    <t>phase</t>
    <phoneticPr fontId="2" type="noConversion"/>
  </si>
  <si>
    <t>price</t>
    <phoneticPr fontId="2" type="noConversion"/>
  </si>
  <si>
    <t>p1</t>
    <phoneticPr fontId="10" type="noConversion"/>
  </si>
  <si>
    <t>p2</t>
  </si>
  <si>
    <t>p3</t>
  </si>
  <si>
    <t>p4</t>
  </si>
  <si>
    <t>p5</t>
  </si>
  <si>
    <t>intention</t>
    <phoneticPr fontId="2" type="noConversion"/>
  </si>
  <si>
    <t>U7</t>
    <phoneticPr fontId="10" type="noConversion"/>
  </si>
  <si>
    <r>
      <rPr>
        <sz val="11"/>
        <color theme="1"/>
        <rFont val="Microsoft JhengHei"/>
        <family val="3"/>
        <charset val="136"/>
      </rPr>
      <t>a</t>
    </r>
    <r>
      <rPr>
        <sz val="11"/>
        <color theme="1"/>
        <rFont val="YaHei Consolas Hybrid"/>
        <family val="3"/>
        <charset val="134"/>
      </rPr>
      <t>V</t>
    </r>
    <phoneticPr fontId="2" type="noConversion"/>
  </si>
  <si>
    <t>A类</t>
  </si>
  <si>
    <t>SLG+题材</t>
  </si>
  <si>
    <t>SS/P&amp;S/LF/AOZ</t>
  </si>
  <si>
    <t>B类</t>
  </si>
  <si>
    <t>RPG+题材</t>
  </si>
  <si>
    <t>AFK/魔灵/raid</t>
  </si>
  <si>
    <t>C类</t>
  </si>
  <si>
    <t>泛策略+题材</t>
  </si>
  <si>
    <t>CR/COC/Last day on earth</t>
  </si>
  <si>
    <t>D类</t>
  </si>
  <si>
    <t>SLG+非题材</t>
  </si>
  <si>
    <t>ROK、LM等</t>
  </si>
  <si>
    <t>非核心</t>
  </si>
  <si>
    <t>泛玩法+题材</t>
  </si>
  <si>
    <t>生化危机</t>
  </si>
  <si>
    <t>其它</t>
  </si>
  <si>
    <t>泛玩法+非题材</t>
  </si>
  <si>
    <t>mark</t>
    <phoneticPr fontId="2" type="noConversion"/>
  </si>
  <si>
    <t>类型</t>
    <phoneticPr fontId="2" type="noConversion"/>
  </si>
  <si>
    <t>参考游戏</t>
    <phoneticPr fontId="2" type="noConversion"/>
  </si>
  <si>
    <t>用户量级</t>
    <phoneticPr fontId="2" type="noConversion"/>
  </si>
  <si>
    <t>年价值预估(M$)</t>
    <phoneticPr fontId="2" type="noConversion"/>
  </si>
  <si>
    <t>ltv</t>
    <phoneticPr fontId="2" type="noConversion"/>
  </si>
  <si>
    <t>user</t>
    <phoneticPr fontId="2" type="noConversion"/>
  </si>
  <si>
    <t>risk</t>
    <phoneticPr fontId="2" type="noConversion"/>
  </si>
  <si>
    <t>lv</t>
    <phoneticPr fontId="2" type="noConversion"/>
  </si>
  <si>
    <t>lv</t>
    <phoneticPr fontId="2" type="noConversion"/>
  </si>
  <si>
    <t>lv(pay)</t>
    <phoneticPr fontId="2" type="noConversion"/>
  </si>
  <si>
    <t>ltv</t>
    <phoneticPr fontId="2" type="noConversion"/>
  </si>
  <si>
    <t>ss_k</t>
    <phoneticPr fontId="2" type="noConversion"/>
  </si>
  <si>
    <t>arppu</t>
    <phoneticPr fontId="2" type="noConversion"/>
  </si>
  <si>
    <t>duration</t>
    <phoneticPr fontId="2" type="noConversion"/>
  </si>
  <si>
    <t>user</t>
    <phoneticPr fontId="2" type="noConversion"/>
  </si>
  <si>
    <t>cd</t>
    <phoneticPr fontId="2" type="noConversion"/>
  </si>
  <si>
    <t>register</t>
    <phoneticPr fontId="2" type="noConversion"/>
  </si>
  <si>
    <t>cost</t>
    <phoneticPr fontId="2" type="noConversion"/>
  </si>
  <si>
    <t>破冰</t>
    <phoneticPr fontId="2" type="noConversion"/>
  </si>
  <si>
    <t>英雄</t>
    <phoneticPr fontId="2" type="noConversion"/>
  </si>
  <si>
    <t>城建</t>
    <phoneticPr fontId="2" type="noConversion"/>
  </si>
  <si>
    <t>付费流失</t>
  </si>
  <si>
    <t>留存</t>
    <phoneticPr fontId="2" type="noConversion"/>
  </si>
  <si>
    <t>付费流失</t>
    <phoneticPr fontId="2" type="noConversion"/>
  </si>
  <si>
    <t>宠物</t>
    <phoneticPr fontId="2" type="noConversion"/>
  </si>
  <si>
    <r>
      <rPr>
        <b/>
        <sz val="10"/>
        <color theme="0"/>
        <rFont val="Microsoft JhengHei"/>
        <family val="3"/>
        <charset val="136"/>
      </rPr>
      <t>lv</t>
    </r>
    <r>
      <rPr>
        <b/>
        <sz val="10"/>
        <color theme="0"/>
        <rFont val="YaHei Consolas Hybrid"/>
        <family val="3"/>
        <charset val="134"/>
      </rPr>
      <t>流失</t>
    </r>
    <phoneticPr fontId="2" type="noConversion"/>
  </si>
  <si>
    <t>用户转化</t>
  </si>
  <si>
    <t>用户转化</t>
    <phoneticPr fontId="2" type="noConversion"/>
  </si>
  <si>
    <t>行为转化</t>
    <phoneticPr fontId="2" type="noConversion"/>
  </si>
  <si>
    <t>$</t>
    <phoneticPr fontId="2" type="noConversion"/>
  </si>
  <si>
    <t>ltv</t>
  </si>
  <si>
    <t>D0</t>
    <phoneticPr fontId="2" type="noConversion"/>
  </si>
  <si>
    <t>D1</t>
    <phoneticPr fontId="2" type="noConversion"/>
  </si>
  <si>
    <t>D2</t>
  </si>
  <si>
    <t>D3</t>
  </si>
  <si>
    <t>D3</t>
    <phoneticPr fontId="2" type="noConversion"/>
  </si>
  <si>
    <t>D4</t>
  </si>
  <si>
    <t>D6</t>
  </si>
  <si>
    <t>D7</t>
  </si>
  <si>
    <t>D7</t>
    <phoneticPr fontId="2" type="noConversion"/>
  </si>
  <si>
    <t>付费%</t>
    <phoneticPr fontId="2" type="noConversion"/>
  </si>
  <si>
    <t>D5</t>
  </si>
  <si>
    <t>lv</t>
  </si>
  <si>
    <t>D15</t>
    <phoneticPr fontId="2" type="noConversion"/>
  </si>
  <si>
    <t>dayarp</t>
    <phoneticPr fontId="2" type="noConversion"/>
  </si>
  <si>
    <t>D30</t>
    <phoneticPr fontId="2" type="noConversion"/>
  </si>
  <si>
    <t>D45</t>
    <phoneticPr fontId="2" type="noConversion"/>
  </si>
  <si>
    <t>D60</t>
    <phoneticPr fontId="2" type="noConversion"/>
  </si>
  <si>
    <t>lv流失</t>
    <phoneticPr fontId="2" type="noConversion"/>
  </si>
  <si>
    <r>
      <t>D2</t>
    </r>
    <r>
      <rPr>
        <sz val="11"/>
        <color theme="1"/>
        <rFont val="YaHei Consolas Hybrid"/>
        <family val="2"/>
        <charset val="134"/>
      </rPr>
      <t/>
    </r>
  </si>
  <si>
    <r>
      <t>D4</t>
    </r>
    <r>
      <rPr>
        <sz val="11"/>
        <color theme="1"/>
        <rFont val="YaHei Consolas Hybrid"/>
        <family val="2"/>
        <charset val="134"/>
      </rPr>
      <t/>
    </r>
  </si>
  <si>
    <r>
      <t>D6</t>
    </r>
    <r>
      <rPr>
        <sz val="11"/>
        <color theme="1"/>
        <rFont val="YaHei Consolas Hybrid"/>
        <family val="2"/>
        <charset val="134"/>
      </rPr>
      <t/>
    </r>
  </si>
  <si>
    <t>D8</t>
    <phoneticPr fontId="2" type="noConversion"/>
  </si>
  <si>
    <t>D16</t>
    <phoneticPr fontId="2" type="noConversion"/>
  </si>
  <si>
    <t>D31</t>
    <phoneticPr fontId="2" type="noConversion"/>
  </si>
  <si>
    <t>D46</t>
    <phoneticPr fontId="2" type="noConversion"/>
  </si>
  <si>
    <t>D61</t>
    <phoneticPr fontId="2" type="noConversion"/>
  </si>
  <si>
    <t>lv流失</t>
  </si>
  <si>
    <t>stepName</t>
    <phoneticPr fontId="2" type="noConversion"/>
  </si>
  <si>
    <t>付费分层</t>
    <phoneticPr fontId="2" type="noConversion"/>
  </si>
  <si>
    <t>首日</t>
    <phoneticPr fontId="2" type="noConversion"/>
  </si>
  <si>
    <t>三日</t>
    <phoneticPr fontId="2" type="noConversion"/>
  </si>
  <si>
    <t>首周</t>
    <phoneticPr fontId="2" type="noConversion"/>
  </si>
  <si>
    <t>次周</t>
    <phoneticPr fontId="2" type="noConversion"/>
  </si>
  <si>
    <t>三周</t>
    <phoneticPr fontId="2" type="noConversion"/>
  </si>
  <si>
    <t>首月</t>
    <phoneticPr fontId="2" type="noConversion"/>
  </si>
  <si>
    <t>0赛季</t>
    <phoneticPr fontId="2" type="noConversion"/>
  </si>
  <si>
    <t>1赛季</t>
    <phoneticPr fontId="2" type="noConversion"/>
  </si>
  <si>
    <t>2赛季</t>
    <phoneticPr fontId="2" type="noConversion"/>
  </si>
  <si>
    <t>3赛季</t>
  </si>
  <si>
    <t>4赛季</t>
  </si>
  <si>
    <t>5赛季</t>
  </si>
  <si>
    <t>时间</t>
    <phoneticPr fontId="2" type="noConversion"/>
  </si>
  <si>
    <t>高效</t>
    <phoneticPr fontId="2" type="noConversion"/>
  </si>
  <si>
    <t>中效</t>
    <phoneticPr fontId="2" type="noConversion"/>
  </si>
  <si>
    <t>低效</t>
    <phoneticPr fontId="2" type="noConversion"/>
  </si>
  <si>
    <t>基础活跃时长</t>
    <phoneticPr fontId="2" type="noConversion"/>
  </si>
  <si>
    <t>基础活跃价值</t>
    <phoneticPr fontId="2" type="noConversion"/>
  </si>
  <si>
    <t>二队列</t>
    <phoneticPr fontId="2" type="noConversion"/>
  </si>
  <si>
    <t>小月卡</t>
    <phoneticPr fontId="2" type="noConversion"/>
  </si>
  <si>
    <t>大月卡</t>
    <phoneticPr fontId="2" type="noConversion"/>
  </si>
  <si>
    <t>效率</t>
    <phoneticPr fontId="2" type="noConversion"/>
  </si>
  <si>
    <t>装备</t>
    <phoneticPr fontId="2" type="noConversion"/>
  </si>
  <si>
    <t>付费价值</t>
    <phoneticPr fontId="2" type="noConversion"/>
  </si>
  <si>
    <t>价值空间</t>
    <phoneticPr fontId="2" type="noConversion"/>
  </si>
  <si>
    <t>付费空间</t>
    <phoneticPr fontId="2" type="noConversion"/>
  </si>
  <si>
    <t>次日</t>
    <phoneticPr fontId="2" type="noConversion"/>
  </si>
  <si>
    <t>model</t>
    <phoneticPr fontId="2" type="noConversion"/>
  </si>
  <si>
    <t>0.6.5</t>
    <phoneticPr fontId="2" type="noConversion"/>
  </si>
  <si>
    <r>
      <t>arpp</t>
    </r>
    <r>
      <rPr>
        <b/>
        <sz val="10"/>
        <color theme="0"/>
        <rFont val="Microsoft JhengHei"/>
        <family val="3"/>
        <charset val="136"/>
      </rPr>
      <t>p</t>
    </r>
    <r>
      <rPr>
        <b/>
        <sz val="10"/>
        <color theme="0"/>
        <rFont val="YaHei Consolas Hybrid"/>
        <family val="3"/>
        <charset val="134"/>
      </rPr>
      <t>u</t>
    </r>
    <phoneticPr fontId="2" type="noConversion"/>
  </si>
  <si>
    <t>arpppu</t>
    <phoneticPr fontId="2" type="noConversion"/>
  </si>
  <si>
    <t>付费行为</t>
    <phoneticPr fontId="2" type="noConversion"/>
  </si>
  <si>
    <t>破冰留存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</si>
</sst>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26" formatCode="\$#,##0.00_);[Red]\(\$#,##0.00\)"/>
    <numFmt numFmtId="176" formatCode="yyyy&quot;年&quot;m&quot;月&quot;;@"/>
    <numFmt numFmtId="177" formatCode="0.0%"/>
    <numFmt numFmtId="178" formatCode="0.0"/>
    <numFmt numFmtId="180" formatCode="0.0000000000000_ "/>
    <numFmt numFmtId="183" formatCode="0.0000"/>
    <numFmt numFmtId="188" formatCode="0_ "/>
    <numFmt numFmtId="189" formatCode="0.00_);[Red]\(0.00\)"/>
  </numFmts>
  <fonts count="34">
    <font>
      <sz val="11"/>
      <color theme="1"/>
      <name val="等线"/>
      <family val="2"/>
      <scheme val="minor"/>
    </font>
    <font>
      <sz val="11"/>
      <color theme="1"/>
      <name val="YaHei Consolas Hybrid"/>
      <family val="2"/>
      <charset val="134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6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Microsoft JhengHei"/>
      <family val="2"/>
      <charset val="136"/>
    </font>
    <font>
      <u/>
      <sz val="11"/>
      <color theme="10"/>
      <name val="等线"/>
      <family val="2"/>
      <scheme val="minor"/>
    </font>
    <font>
      <b/>
      <sz val="10"/>
      <color theme="0"/>
      <name val="YaHei Consolas Hybrid"/>
      <family val="3"/>
      <charset val="134"/>
    </font>
    <font>
      <sz val="9"/>
      <name val="微软雅黑"/>
      <family val="2"/>
      <charset val="134"/>
    </font>
    <font>
      <sz val="11"/>
      <color theme="1"/>
      <name val="YaHei Consolas Hybrid"/>
      <family val="3"/>
      <charset val="134"/>
    </font>
    <font>
      <b/>
      <sz val="11"/>
      <color theme="0"/>
      <name val="等线"/>
      <family val="3"/>
      <charset val="134"/>
      <scheme val="minor"/>
    </font>
    <font>
      <b/>
      <sz val="11"/>
      <color theme="0"/>
      <name val="Microsoft JhengHei"/>
      <family val="3"/>
      <charset val="136"/>
    </font>
    <font>
      <sz val="11"/>
      <color theme="1"/>
      <name val="Microsoft JhengHei"/>
      <family val="3"/>
      <charset val="136"/>
    </font>
    <font>
      <sz val="11"/>
      <color rgb="FF000000"/>
      <name val="YaHei Consolas Hybrid"/>
      <family val="3"/>
      <charset val="134"/>
    </font>
    <font>
      <b/>
      <sz val="11"/>
      <color theme="0"/>
      <name val="YaHei Consolas Hybrid"/>
      <family val="3"/>
      <charset val="134"/>
    </font>
    <font>
      <sz val="11"/>
      <color theme="1"/>
      <name val="等线"/>
      <family val="2"/>
      <charset val="136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0"/>
      <name val="Microsoft JhengHei"/>
      <family val="2"/>
      <charset val="136"/>
    </font>
    <font>
      <sz val="11"/>
      <color theme="1"/>
      <name val="YaHei Consolas Hybrid"/>
      <family val="3"/>
      <charset val="136"/>
    </font>
    <font>
      <b/>
      <sz val="10"/>
      <color theme="0"/>
      <name val="Microsoft JhengHei"/>
      <family val="3"/>
      <charset val="136"/>
    </font>
    <font>
      <b/>
      <sz val="10"/>
      <color theme="0"/>
      <name val="YaHei Consolas Hybrid"/>
      <family val="3"/>
      <charset val="136"/>
    </font>
    <font>
      <sz val="11"/>
      <color theme="1"/>
      <name val="等线"/>
      <family val="2"/>
      <scheme val="minor"/>
    </font>
    <font>
      <sz val="10"/>
      <color theme="1"/>
      <name val="YaHei Consolas Hybrid"/>
      <family val="3"/>
      <charset val="134"/>
    </font>
    <font>
      <sz val="10"/>
      <color theme="1"/>
      <name val="Microsoft JhengHei"/>
      <family val="3"/>
      <charset val="136"/>
    </font>
    <font>
      <sz val="11"/>
      <color rgb="FF000000"/>
      <name val="等线"/>
      <family val="3"/>
      <charset val="134"/>
      <scheme val="minor"/>
    </font>
    <font>
      <b/>
      <sz val="10"/>
      <color theme="0"/>
      <name val="YaHei Consolas Hybrid"/>
      <family val="3"/>
    </font>
    <font>
      <b/>
      <sz val="10"/>
      <color rgb="FFC00000"/>
      <name val="YaHei Consolas Hybrid"/>
      <family val="3"/>
      <charset val="134"/>
    </font>
    <font>
      <sz val="10"/>
      <color theme="1" tint="0.249977111117893"/>
      <name val="YaHei Consolas Hybrid"/>
      <family val="3"/>
      <charset val="134"/>
    </font>
    <font>
      <sz val="10"/>
      <color theme="2" tint="-0.749992370372631"/>
      <name val="YaHei Consolas Hybrid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26" fillId="0" borderId="0" applyFont="0" applyFill="0" applyBorder="0" applyAlignment="0" applyProtection="0">
      <alignment vertical="center"/>
    </xf>
  </cellStyleXfs>
  <cellXfs count="8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1" applyAlignment="1">
      <alignment horizontal="left"/>
    </xf>
    <xf numFmtId="0" fontId="9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5" fillId="5" borderId="0" xfId="0" applyFont="1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0" fontId="0" fillId="0" borderId="0" xfId="0" applyNumberFormat="1" applyFill="1" applyAlignment="1">
      <alignment horizontal="left"/>
    </xf>
    <xf numFmtId="9" fontId="0" fillId="0" borderId="0" xfId="0" applyNumberFormat="1" applyFill="1" applyAlignment="1">
      <alignment horizontal="left"/>
    </xf>
    <xf numFmtId="0" fontId="16" fillId="4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2" borderId="0" xfId="0" applyFont="1" applyFill="1" applyAlignment="1">
      <alignment horizontal="left" wrapText="1"/>
    </xf>
    <xf numFmtId="0" fontId="20" fillId="0" borderId="1" xfId="0" applyFont="1" applyBorder="1" applyAlignment="1">
      <alignment horizontal="left" wrapText="1"/>
    </xf>
    <xf numFmtId="3" fontId="20" fillId="0" borderId="1" xfId="0" applyNumberFormat="1" applyFont="1" applyBorder="1" applyAlignment="1">
      <alignment horizontal="left" wrapText="1"/>
    </xf>
    <xf numFmtId="0" fontId="20" fillId="10" borderId="1" xfId="0" applyFont="1" applyFill="1" applyBorder="1" applyAlignment="1">
      <alignment horizontal="left" wrapText="1"/>
    </xf>
    <xf numFmtId="0" fontId="20" fillId="0" borderId="0" xfId="0" applyFont="1" applyBorder="1" applyAlignment="1">
      <alignment horizontal="left" wrapText="1"/>
    </xf>
    <xf numFmtId="10" fontId="20" fillId="0" borderId="0" xfId="0" applyNumberFormat="1" applyFont="1" applyBorder="1" applyAlignment="1">
      <alignment horizontal="left" wrapText="1"/>
    </xf>
    <xf numFmtId="10" fontId="11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left"/>
    </xf>
    <xf numFmtId="0" fontId="16" fillId="9" borderId="0" xfId="0" applyFont="1" applyFill="1" applyAlignment="1">
      <alignment horizontal="left"/>
    </xf>
    <xf numFmtId="0" fontId="16" fillId="11" borderId="0" xfId="0" applyFont="1" applyFill="1" applyAlignment="1">
      <alignment horizontal="left"/>
    </xf>
    <xf numFmtId="0" fontId="13" fillId="11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10" fontId="27" fillId="0" borderId="0" xfId="0" applyNumberFormat="1" applyFont="1" applyAlignment="1">
      <alignment horizontal="left"/>
    </xf>
    <xf numFmtId="0" fontId="25" fillId="2" borderId="0" xfId="0" applyFont="1" applyFill="1" applyAlignment="1">
      <alignment horizontal="left"/>
    </xf>
    <xf numFmtId="9" fontId="27" fillId="0" borderId="0" xfId="2" applyFont="1" applyAlignment="1">
      <alignment horizontal="left"/>
    </xf>
    <xf numFmtId="176" fontId="21" fillId="0" borderId="1" xfId="0" applyNumberFormat="1" applyFont="1" applyBorder="1" applyAlignment="1">
      <alignment horizontal="left" wrapText="1"/>
    </xf>
    <xf numFmtId="3" fontId="0" fillId="0" borderId="0" xfId="0" applyNumberFormat="1" applyAlignment="1">
      <alignment horizontal="left"/>
    </xf>
    <xf numFmtId="0" fontId="17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176" fontId="21" fillId="0" borderId="1" xfId="0" applyNumberFormat="1" applyFont="1" applyFill="1" applyBorder="1" applyAlignment="1">
      <alignment horizontal="left" wrapText="1"/>
    </xf>
    <xf numFmtId="3" fontId="0" fillId="0" borderId="0" xfId="0" applyNumberFormat="1" applyFill="1" applyAlignment="1">
      <alignment horizontal="left"/>
    </xf>
    <xf numFmtId="0" fontId="19" fillId="0" borderId="1" xfId="0" applyFont="1" applyBorder="1" applyAlignment="1">
      <alignment horizontal="left" wrapText="1"/>
    </xf>
    <xf numFmtId="0" fontId="12" fillId="0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9" fillId="0" borderId="1" xfId="0" applyFont="1" applyFill="1" applyBorder="1" applyAlignment="1">
      <alignment horizontal="left" wrapText="1"/>
    </xf>
    <xf numFmtId="2" fontId="29" fillId="0" borderId="0" xfId="0" applyNumberFormat="1" applyFont="1" applyAlignment="1">
      <alignment horizontal="left"/>
    </xf>
    <xf numFmtId="0" fontId="24" fillId="2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26" fontId="0" fillId="0" borderId="0" xfId="0" applyNumberFormat="1" applyAlignment="1">
      <alignment horizontal="left"/>
    </xf>
    <xf numFmtId="9" fontId="0" fillId="0" borderId="0" xfId="2" applyFont="1" applyAlignment="1">
      <alignment horizontal="left"/>
    </xf>
    <xf numFmtId="177" fontId="0" fillId="0" borderId="0" xfId="2" applyNumberFormat="1" applyFont="1" applyAlignment="1">
      <alignment horizontal="left"/>
    </xf>
    <xf numFmtId="26" fontId="18" fillId="8" borderId="1" xfId="0" applyNumberFormat="1" applyFont="1" applyFill="1" applyBorder="1" applyAlignment="1">
      <alignment horizontal="left" wrapText="1"/>
    </xf>
    <xf numFmtId="10" fontId="0" fillId="8" borderId="0" xfId="2" applyNumberFormat="1" applyFont="1" applyFill="1" applyAlignment="1">
      <alignment horizontal="left"/>
    </xf>
    <xf numFmtId="177" fontId="0" fillId="0" borderId="0" xfId="2" applyNumberFormat="1" applyFont="1" applyFill="1" applyAlignment="1">
      <alignment horizontal="left"/>
    </xf>
    <xf numFmtId="0" fontId="13" fillId="2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/>
    </xf>
    <xf numFmtId="178" fontId="27" fillId="0" borderId="0" xfId="0" applyNumberFormat="1" applyFont="1" applyAlignment="1">
      <alignment horizontal="left"/>
    </xf>
    <xf numFmtId="2" fontId="27" fillId="0" borderId="0" xfId="0" applyNumberFormat="1" applyFont="1" applyAlignment="1">
      <alignment horizontal="left"/>
    </xf>
    <xf numFmtId="180" fontId="27" fillId="0" borderId="0" xfId="0" applyNumberFormat="1" applyFont="1" applyAlignment="1">
      <alignment horizontal="left"/>
    </xf>
    <xf numFmtId="178" fontId="27" fillId="0" borderId="0" xfId="0" applyNumberFormat="1" applyFont="1" applyFill="1" applyAlignment="1">
      <alignment horizontal="left"/>
    </xf>
    <xf numFmtId="10" fontId="31" fillId="12" borderId="0" xfId="2" applyNumberFormat="1" applyFont="1" applyFill="1" applyAlignment="1">
      <alignment horizontal="left"/>
    </xf>
    <xf numFmtId="10" fontId="32" fillId="12" borderId="0" xfId="2" applyNumberFormat="1" applyFont="1" applyFill="1" applyAlignment="1">
      <alignment horizontal="left"/>
    </xf>
    <xf numFmtId="10" fontId="32" fillId="12" borderId="0" xfId="0" applyNumberFormat="1" applyFont="1" applyFill="1" applyAlignment="1">
      <alignment horizontal="left"/>
    </xf>
    <xf numFmtId="0" fontId="31" fillId="1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183" fontId="27" fillId="0" borderId="0" xfId="0" applyNumberFormat="1" applyFont="1" applyAlignment="1">
      <alignment horizontal="left"/>
    </xf>
    <xf numFmtId="2" fontId="33" fillId="12" borderId="0" xfId="0" applyNumberFormat="1" applyFont="1" applyFill="1" applyAlignment="1">
      <alignment horizontal="left"/>
    </xf>
    <xf numFmtId="177" fontId="27" fillId="0" borderId="0" xfId="2" applyNumberFormat="1" applyFont="1" applyAlignment="1">
      <alignment horizontal="left"/>
    </xf>
    <xf numFmtId="0" fontId="32" fillId="12" borderId="0" xfId="0" applyFont="1" applyFill="1" applyAlignment="1">
      <alignment horizontal="left"/>
    </xf>
    <xf numFmtId="26" fontId="27" fillId="0" borderId="0" xfId="0" applyNumberFormat="1" applyFont="1" applyAlignment="1">
      <alignment horizontal="left"/>
    </xf>
    <xf numFmtId="188" fontId="27" fillId="0" borderId="0" xfId="2" applyNumberFormat="1" applyFont="1" applyAlignment="1">
      <alignment horizontal="left"/>
    </xf>
    <xf numFmtId="0" fontId="28" fillId="0" borderId="0" xfId="0" applyFont="1" applyFill="1" applyAlignment="1">
      <alignment horizontal="left"/>
    </xf>
    <xf numFmtId="189" fontId="32" fillId="1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8" borderId="0" xfId="0" applyFont="1" applyFill="1" applyAlignment="1">
      <alignment horizontal="left"/>
    </xf>
    <xf numFmtId="0" fontId="9" fillId="13" borderId="0" xfId="0" applyFont="1" applyFill="1" applyAlignment="1">
      <alignment horizontal="left"/>
    </xf>
    <xf numFmtId="2" fontId="27" fillId="13" borderId="0" xfId="0" applyNumberFormat="1" applyFont="1" applyFill="1" applyAlignment="1">
      <alignment horizontal="left"/>
    </xf>
    <xf numFmtId="0" fontId="27" fillId="13" borderId="0" xfId="0" applyFont="1" applyFill="1" applyAlignment="1">
      <alignment horizontal="left"/>
    </xf>
    <xf numFmtId="177" fontId="27" fillId="13" borderId="0" xfId="2" applyNumberFormat="1" applyFont="1" applyFill="1" applyAlignment="1">
      <alignment horizontal="left"/>
    </xf>
    <xf numFmtId="10" fontId="27" fillId="13" borderId="0" xfId="0" applyNumberFormat="1" applyFont="1" applyFill="1" applyAlignment="1">
      <alignment horizontal="left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r>
              <a:rPr lang="en-US" sz="1400">
                <a:latin typeface="黑体" panose="02010609060101010101" pitchFamily="49" charset="-122"/>
                <a:ea typeface="黑体" panose="02010609060101010101" pitchFamily="49" charset="-122"/>
              </a:rPr>
              <a:t>Ltv </a:t>
            </a:r>
            <a:r>
              <a:rPr lang="zh-TW" sz="1400">
                <a:latin typeface="黑体" panose="02010609060101010101" pitchFamily="49" charset="-122"/>
                <a:ea typeface="黑体" panose="02010609060101010101" pitchFamily="49" charset="-122"/>
              </a:rPr>
              <a:t>预测</a:t>
            </a:r>
            <a:endParaRPr lang="zh-CN" sz="14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SS</c:v>
          </c:tx>
          <c:marker>
            <c:symbol val="none"/>
          </c:marker>
          <c:cat>
            <c:numRef>
              <c:f>benchmark!$W$4:$W$38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  <c:pt idx="10">
                  <c:v>45</c:v>
                </c:pt>
                <c:pt idx="11">
                  <c:v>60</c:v>
                </c:pt>
                <c:pt idx="12">
                  <c:v>75</c:v>
                </c:pt>
                <c:pt idx="13">
                  <c:v>90</c:v>
                </c:pt>
                <c:pt idx="14">
                  <c:v>120</c:v>
                </c:pt>
                <c:pt idx="15">
                  <c:v>150</c:v>
                </c:pt>
                <c:pt idx="16">
                  <c:v>180</c:v>
                </c:pt>
                <c:pt idx="17">
                  <c:v>210</c:v>
                </c:pt>
                <c:pt idx="18">
                  <c:v>240</c:v>
                </c:pt>
                <c:pt idx="19">
                  <c:v>270</c:v>
                </c:pt>
                <c:pt idx="20">
                  <c:v>300</c:v>
                </c:pt>
                <c:pt idx="21">
                  <c:v>330</c:v>
                </c:pt>
                <c:pt idx="22">
                  <c:v>360</c:v>
                </c:pt>
                <c:pt idx="23">
                  <c:v>390</c:v>
                </c:pt>
                <c:pt idx="24">
                  <c:v>420</c:v>
                </c:pt>
                <c:pt idx="25">
                  <c:v>450</c:v>
                </c:pt>
                <c:pt idx="26">
                  <c:v>480</c:v>
                </c:pt>
                <c:pt idx="27">
                  <c:v>510</c:v>
                </c:pt>
                <c:pt idx="28">
                  <c:v>540</c:v>
                </c:pt>
                <c:pt idx="29">
                  <c:v>570</c:v>
                </c:pt>
                <c:pt idx="30">
                  <c:v>600</c:v>
                </c:pt>
                <c:pt idx="31">
                  <c:v>630</c:v>
                </c:pt>
                <c:pt idx="32">
                  <c:v>660</c:v>
                </c:pt>
                <c:pt idx="33">
                  <c:v>690</c:v>
                </c:pt>
                <c:pt idx="34">
                  <c:v>720</c:v>
                </c:pt>
              </c:numCache>
            </c:numRef>
          </c:cat>
          <c:val>
            <c:numRef>
              <c:f>benchmark!$X$4:$X$38</c:f>
              <c:numCache>
                <c:formatCode>\$#,##0.00_);[Red]\(\$#,##0.00\)</c:formatCode>
                <c:ptCount val="35"/>
                <c:pt idx="0">
                  <c:v>0.24</c:v>
                </c:pt>
                <c:pt idx="1">
                  <c:v>0.33</c:v>
                </c:pt>
                <c:pt idx="2">
                  <c:v>0.42</c:v>
                </c:pt>
                <c:pt idx="3">
                  <c:v>0.51</c:v>
                </c:pt>
                <c:pt idx="4">
                  <c:v>0.6</c:v>
                </c:pt>
                <c:pt idx="5">
                  <c:v>0.68</c:v>
                </c:pt>
                <c:pt idx="6">
                  <c:v>0.76</c:v>
                </c:pt>
                <c:pt idx="7">
                  <c:v>1.26</c:v>
                </c:pt>
                <c:pt idx="8">
                  <c:v>1.7000000000000002</c:v>
                </c:pt>
                <c:pt idx="9">
                  <c:v>2.14</c:v>
                </c:pt>
                <c:pt idx="10">
                  <c:v>2.96</c:v>
                </c:pt>
                <c:pt idx="11">
                  <c:v>3.89</c:v>
                </c:pt>
                <c:pt idx="12">
                  <c:v>4.75</c:v>
                </c:pt>
                <c:pt idx="13">
                  <c:v>5.61</c:v>
                </c:pt>
                <c:pt idx="14">
                  <c:v>7.21</c:v>
                </c:pt>
                <c:pt idx="15">
                  <c:v>8.58</c:v>
                </c:pt>
                <c:pt idx="16">
                  <c:v>9.9</c:v>
                </c:pt>
                <c:pt idx="17">
                  <c:v>11.06</c:v>
                </c:pt>
                <c:pt idx="18">
                  <c:v>12.13</c:v>
                </c:pt>
                <c:pt idx="19">
                  <c:v>13.18</c:v>
                </c:pt>
                <c:pt idx="20">
                  <c:v>14.15</c:v>
                </c:pt>
                <c:pt idx="21">
                  <c:v>15.06</c:v>
                </c:pt>
                <c:pt idx="22">
                  <c:v>15.93</c:v>
                </c:pt>
                <c:pt idx="23">
                  <c:v>16.75</c:v>
                </c:pt>
                <c:pt idx="24">
                  <c:v>17.53</c:v>
                </c:pt>
                <c:pt idx="25">
                  <c:v>18.22</c:v>
                </c:pt>
                <c:pt idx="26">
                  <c:v>18.88</c:v>
                </c:pt>
                <c:pt idx="27">
                  <c:v>19.5</c:v>
                </c:pt>
                <c:pt idx="28">
                  <c:v>20.07</c:v>
                </c:pt>
                <c:pt idx="29">
                  <c:v>20.6</c:v>
                </c:pt>
                <c:pt idx="30">
                  <c:v>21.1</c:v>
                </c:pt>
                <c:pt idx="31">
                  <c:v>21.42</c:v>
                </c:pt>
                <c:pt idx="32">
                  <c:v>21.69</c:v>
                </c:pt>
                <c:pt idx="33">
                  <c:v>21.9</c:v>
                </c:pt>
                <c:pt idx="34">
                  <c:v>22.07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0-414E-9DE4-862B56047E88}"/>
            </c:ext>
          </c:extLst>
        </c:ser>
        <c:ser>
          <c:idx val="1"/>
          <c:order val="1"/>
          <c:tx>
            <c:v>SSR</c:v>
          </c:tx>
          <c:marker>
            <c:symbol val="none"/>
          </c:marker>
          <c:cat>
            <c:numRef>
              <c:f>benchmark!$W$4:$W$38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  <c:pt idx="10">
                  <c:v>45</c:v>
                </c:pt>
                <c:pt idx="11">
                  <c:v>60</c:v>
                </c:pt>
                <c:pt idx="12">
                  <c:v>75</c:v>
                </c:pt>
                <c:pt idx="13">
                  <c:v>90</c:v>
                </c:pt>
                <c:pt idx="14">
                  <c:v>120</c:v>
                </c:pt>
                <c:pt idx="15">
                  <c:v>150</c:v>
                </c:pt>
                <c:pt idx="16">
                  <c:v>180</c:v>
                </c:pt>
                <c:pt idx="17">
                  <c:v>210</c:v>
                </c:pt>
                <c:pt idx="18">
                  <c:v>240</c:v>
                </c:pt>
                <c:pt idx="19">
                  <c:v>270</c:v>
                </c:pt>
                <c:pt idx="20">
                  <c:v>300</c:v>
                </c:pt>
                <c:pt idx="21">
                  <c:v>330</c:v>
                </c:pt>
                <c:pt idx="22">
                  <c:v>360</c:v>
                </c:pt>
                <c:pt idx="23">
                  <c:v>390</c:v>
                </c:pt>
                <c:pt idx="24">
                  <c:v>420</c:v>
                </c:pt>
                <c:pt idx="25">
                  <c:v>450</c:v>
                </c:pt>
                <c:pt idx="26">
                  <c:v>480</c:v>
                </c:pt>
                <c:pt idx="27">
                  <c:v>510</c:v>
                </c:pt>
                <c:pt idx="28">
                  <c:v>540</c:v>
                </c:pt>
                <c:pt idx="29">
                  <c:v>570</c:v>
                </c:pt>
                <c:pt idx="30">
                  <c:v>600</c:v>
                </c:pt>
                <c:pt idx="31">
                  <c:v>630</c:v>
                </c:pt>
                <c:pt idx="32">
                  <c:v>660</c:v>
                </c:pt>
                <c:pt idx="33">
                  <c:v>690</c:v>
                </c:pt>
                <c:pt idx="34">
                  <c:v>720</c:v>
                </c:pt>
              </c:numCache>
            </c:numRef>
          </c:cat>
          <c:val>
            <c:numRef>
              <c:f>benchmark!#REF!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0-414E-9DE4-862B5604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08816"/>
        <c:axId val="444170288"/>
      </c:lineChart>
      <c:catAx>
        <c:axId val="441008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70288"/>
        <c:crosses val="autoZero"/>
        <c:auto val="1"/>
        <c:lblAlgn val="ctr"/>
        <c:lblOffset val="100"/>
        <c:noMultiLvlLbl val="0"/>
      </c:catAx>
      <c:valAx>
        <c:axId val="444170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\$#,##0.00_);[Red]\(\$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l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r>
              <a:rPr lang="zh-TW">
                <a:latin typeface="黑体" panose="02010609060101010101" pitchFamily="49" charset="-122"/>
                <a:ea typeface="黑体" panose="02010609060101010101" pitchFamily="49" charset="-122"/>
              </a:rPr>
              <a:t>新增用户</a:t>
            </a:r>
            <a:r>
              <a:rPr lang="en-US">
                <a:latin typeface="黑体" panose="02010609060101010101" pitchFamily="49" charset="-122"/>
                <a:ea typeface="黑体" panose="02010609060101010101" pitchFamily="49" charset="-122"/>
              </a:rPr>
              <a:t>(</a:t>
            </a:r>
            <a:r>
              <a:rPr lang="zh-TW">
                <a:latin typeface="黑体" panose="02010609060101010101" pitchFamily="49" charset="-122"/>
                <a:ea typeface="黑体" panose="02010609060101010101" pitchFamily="49" charset="-122"/>
              </a:rPr>
              <a:t>日平均</a:t>
            </a:r>
            <a:r>
              <a:rPr lang="en-US">
                <a:latin typeface="黑体" panose="02010609060101010101" pitchFamily="49" charset="-122"/>
                <a:ea typeface="黑体" panose="02010609060101010101" pitchFamily="49" charset="-122"/>
              </a:rPr>
              <a:t>)</a:t>
            </a:r>
            <a:endParaRPr lang="zh-CN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benchmark!$S$3:$S$14</c:f>
              <c:numCache>
                <c:formatCode>General</c:formatCode>
                <c:ptCount val="12"/>
                <c:pt idx="0">
                  <c:v>27431.200000000001</c:v>
                </c:pt>
                <c:pt idx="1">
                  <c:v>29159.766666666666</c:v>
                </c:pt>
                <c:pt idx="2">
                  <c:v>57555.5</c:v>
                </c:pt>
                <c:pt idx="3">
                  <c:v>47569.5</c:v>
                </c:pt>
                <c:pt idx="4">
                  <c:v>50037.566666666666</c:v>
                </c:pt>
                <c:pt idx="5">
                  <c:v>62303.666666666664</c:v>
                </c:pt>
                <c:pt idx="6">
                  <c:v>77054.5</c:v>
                </c:pt>
                <c:pt idx="7">
                  <c:v>143015.1</c:v>
                </c:pt>
                <c:pt idx="8">
                  <c:v>187181.73333333334</c:v>
                </c:pt>
                <c:pt idx="9">
                  <c:v>197572.1</c:v>
                </c:pt>
                <c:pt idx="10">
                  <c:v>244023.5</c:v>
                </c:pt>
                <c:pt idx="11">
                  <c:v>201135.96666666667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0-4D1C-A4A6-18E3A63CD7E7}"/>
            </c:ext>
          </c:extLst>
        </c:ser>
        <c:ser>
          <c:idx val="1"/>
          <c:order val="1"/>
          <c:tx>
            <c:v>ssr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benchmark!$T$3:$T$14</c:f>
              <c:numCache>
                <c:formatCode>General</c:formatCode>
                <c:ptCount val="12"/>
                <c:pt idx="0">
                  <c:v>58194</c:v>
                </c:pt>
                <c:pt idx="1">
                  <c:v>55556</c:v>
                </c:pt>
                <c:pt idx="2">
                  <c:v>67500</c:v>
                </c:pt>
                <c:pt idx="3">
                  <c:v>87750</c:v>
                </c:pt>
                <c:pt idx="4">
                  <c:v>92138</c:v>
                </c:pt>
                <c:pt idx="5">
                  <c:v>92138</c:v>
                </c:pt>
                <c:pt idx="6">
                  <c:v>83761</c:v>
                </c:pt>
                <c:pt idx="7">
                  <c:v>82086</c:v>
                </c:pt>
                <c:pt idx="8">
                  <c:v>80444</c:v>
                </c:pt>
                <c:pt idx="9">
                  <c:v>72266</c:v>
                </c:pt>
                <c:pt idx="10">
                  <c:v>69375</c:v>
                </c:pt>
                <c:pt idx="11">
                  <c:v>62758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0-4D1C-A4A6-18E3A63C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70128"/>
        <c:axId val="507271968"/>
      </c:lineChart>
      <c:catAx>
        <c:axId val="589170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71968"/>
        <c:crosses val="autoZero"/>
        <c:auto val="1"/>
        <c:lblAlgn val="ctr"/>
        <c:lblOffset val="100"/>
        <c:noMultiLvlLbl val="0"/>
      </c:catAx>
      <c:valAx>
        <c:axId val="50727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1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824622575363153"/>
          <c:y val="0.12130371203599551"/>
          <c:w val="0.30697730383779226"/>
          <c:h val="7.24327896512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收入</a:t>
            </a:r>
            <a:r>
              <a:rPr lang="en-US" altLang="zh-TW"/>
              <a:t>(</a:t>
            </a:r>
            <a:r>
              <a:rPr lang="zh-TW" altLang="en-US"/>
              <a:t>月</a:t>
            </a:r>
            <a:r>
              <a:rPr lang="en-US" altLang="zh-TW"/>
              <a:t>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313040443479155"/>
          <c:y val="0.20562162162162162"/>
          <c:w val="0.75333809053431267"/>
          <c:h val="0.67834858480527771"/>
        </c:manualLayout>
      </c:layout>
      <c:lineChart>
        <c:grouping val="standard"/>
        <c:varyColors val="0"/>
        <c:ser>
          <c:idx val="0"/>
          <c:order val="0"/>
          <c:tx>
            <c:v>ss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benchmark!$U$3:$U$14</c:f>
              <c:numCache>
                <c:formatCode>General</c:formatCode>
                <c:ptCount val="12"/>
                <c:pt idx="0">
                  <c:v>1341629</c:v>
                </c:pt>
                <c:pt idx="1">
                  <c:v>3181509</c:v>
                </c:pt>
                <c:pt idx="2">
                  <c:v>6742009</c:v>
                </c:pt>
                <c:pt idx="3">
                  <c:v>10236365</c:v>
                </c:pt>
                <c:pt idx="4">
                  <c:v>12828561</c:v>
                </c:pt>
                <c:pt idx="5">
                  <c:v>15341845</c:v>
                </c:pt>
                <c:pt idx="6">
                  <c:v>19650655</c:v>
                </c:pt>
                <c:pt idx="7">
                  <c:v>28126403</c:v>
                </c:pt>
                <c:pt idx="8">
                  <c:v>40373118</c:v>
                </c:pt>
                <c:pt idx="9">
                  <c:v>46661992</c:v>
                </c:pt>
                <c:pt idx="10">
                  <c:v>55246721</c:v>
                </c:pt>
                <c:pt idx="11">
                  <c:v>66750732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9-4E20-BDDD-A2545D17087C}"/>
            </c:ext>
          </c:extLst>
        </c:ser>
        <c:ser>
          <c:idx val="1"/>
          <c:order val="1"/>
          <c:tx>
            <c:v>ssr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0.14531043929011211"/>
                  <c:y val="-0.1027044482208400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GL</a:t>
                    </a:r>
                    <a:r>
                      <a:rPr lang="zh-CN" altLang="en-US"/>
                      <a:t>第</a:t>
                    </a:r>
                    <a:r>
                      <a:rPr lang="en-US" altLang="zh-CN"/>
                      <a:t>3</a:t>
                    </a:r>
                    <a:r>
                      <a:rPr lang="zh-CN" altLang="en-US"/>
                      <a:t>个月：</a:t>
                    </a:r>
                    <a:r>
                      <a:rPr lang="en-US" altLang="zh-CN"/>
                      <a:t>1000</a:t>
                    </a:r>
                    <a:r>
                      <a:rPr lang="en-US" altLang="zh-TW"/>
                      <a:t>W</a:t>
                    </a:r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59-4E20-BDDD-A2545D17087C}"/>
                </c:ext>
              </c:extLst>
            </c:dLbl>
            <c:dLbl>
              <c:idx val="11"/>
              <c:layout>
                <c:manualLayout>
                  <c:x val="-0.24467419149927469"/>
                  <c:y val="-0.1310367097990026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dirty="0"/>
                      <a:t>GL</a:t>
                    </a:r>
                    <a:r>
                      <a:rPr lang="zh-CN" altLang="en-US" dirty="0"/>
                      <a:t>第</a:t>
                    </a:r>
                    <a:r>
                      <a:rPr lang="en-US" altLang="zh-CN" dirty="0"/>
                      <a:t>12</a:t>
                    </a:r>
                    <a:r>
                      <a:rPr lang="zh-CN" altLang="en-US" dirty="0"/>
                      <a:t>个月：</a:t>
                    </a:r>
                    <a:r>
                      <a:rPr lang="en-US" altLang="zh-CN" dirty="0"/>
                      <a:t>4000</a:t>
                    </a:r>
                    <a:r>
                      <a:rPr lang="en-US" altLang="zh-TW" dirty="0"/>
                      <a:t>W</a:t>
                    </a:r>
                    <a:endParaRPr lang="en-US" altLang="zh-CN" dirty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59-4E20-BDDD-A2545D170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1000" b="1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benchmark!$V$3:$V$14</c:f>
              <c:numCache>
                <c:formatCode>#,##0</c:formatCode>
                <c:ptCount val="12"/>
                <c:pt idx="0">
                  <c:v>3683708</c:v>
                </c:pt>
                <c:pt idx="1">
                  <c:v>6766826</c:v>
                </c:pt>
                <c:pt idx="2">
                  <c:v>10228706</c:v>
                </c:pt>
                <c:pt idx="3">
                  <c:v>15071654</c:v>
                </c:pt>
                <c:pt idx="4">
                  <c:v>20033776</c:v>
                </c:pt>
                <c:pt idx="5">
                  <c:v>24495116</c:v>
                </c:pt>
                <c:pt idx="6">
                  <c:v>28247400</c:v>
                </c:pt>
                <c:pt idx="7">
                  <c:v>30927963</c:v>
                </c:pt>
                <c:pt idx="8">
                  <c:v>34108785</c:v>
                </c:pt>
                <c:pt idx="9">
                  <c:v>36413404</c:v>
                </c:pt>
                <c:pt idx="10">
                  <c:v>38260856</c:v>
                </c:pt>
                <c:pt idx="11">
                  <c:v>40156647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9-4E20-BDDD-A2545D17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195872"/>
        <c:axId val="629608576"/>
      </c:lineChart>
      <c:catAx>
        <c:axId val="58019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608576"/>
        <c:crosses val="autoZero"/>
        <c:auto val="1"/>
        <c:lblAlgn val="ctr"/>
        <c:lblOffset val="100"/>
        <c:noMultiLvlLbl val="0"/>
      </c:catAx>
      <c:valAx>
        <c:axId val="62960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15</xdr:row>
      <xdr:rowOff>66676</xdr:rowOff>
    </xdr:from>
    <xdr:to>
      <xdr:col>11</xdr:col>
      <xdr:colOff>311039</xdr:colOff>
      <xdr:row>31</xdr:row>
      <xdr:rowOff>104776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9329DCA-46DC-4F95-8346-3E7439B8E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509061</xdr:colOff>
      <xdr:row>15</xdr:row>
      <xdr:rowOff>76200</xdr:rowOff>
    </xdr:from>
    <xdr:to>
      <xdr:col>16</xdr:col>
      <xdr:colOff>820954</xdr:colOff>
      <xdr:row>31</xdr:row>
      <xdr:rowOff>127000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E536D93-C540-41B3-BDAD-9AB239D1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124580</xdr:colOff>
      <xdr:row>15</xdr:row>
      <xdr:rowOff>95250</xdr:rowOff>
    </xdr:from>
    <xdr:to>
      <xdr:col>21</xdr:col>
      <xdr:colOff>647700</xdr:colOff>
      <xdr:row>31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D7ED2DA-D133-4FAF-B841-2846908C2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C983-ADA2-4985-A2E7-758B8D659D8C}">
  <sheetPr codeName="Sheet6"/>
  <dimension ref="A1:AW63"/>
  <sheetViews>
    <sheetView topLeftCell="S1" zoomScaleNormal="100" workbookViewId="0">
      <selection activeCell="X26" sqref="X26"/>
    </sheetView>
  </sheetViews>
  <sheetFormatPr defaultRowHeight="14.25"/>
  <cols>
    <col min="1" max="1" width="5.625" style="1" bestFit="1" customWidth="1"/>
    <col min="2" max="2" width="7.125" style="1" bestFit="1" customWidth="1"/>
    <col min="3" max="3" width="5.5" style="1" bestFit="1" customWidth="1"/>
    <col min="4" max="5" width="9" style="1" bestFit="1" customWidth="1"/>
    <col min="6" max="6" width="9.75" style="1" customWidth="1"/>
    <col min="7" max="7" width="9.75" style="1" bestFit="1" customWidth="1"/>
    <col min="8" max="8" width="8.5" style="1" bestFit="1" customWidth="1"/>
    <col min="9" max="9" width="17.375" style="1" customWidth="1"/>
    <col min="10" max="10" width="6.5" style="1" bestFit="1" customWidth="1"/>
    <col min="11" max="11" width="7.125" style="1" bestFit="1" customWidth="1"/>
    <col min="12" max="12" width="9" style="1"/>
    <col min="13" max="13" width="10.25" style="1" bestFit="1" customWidth="1"/>
    <col min="14" max="14" width="7.75" style="1" bestFit="1" customWidth="1"/>
    <col min="15" max="15" width="9.375" style="1" bestFit="1" customWidth="1"/>
    <col min="16" max="16" width="9.375" style="1" customWidth="1"/>
    <col min="17" max="17" width="11.5" style="1" customWidth="1"/>
    <col min="18" max="18" width="7.75" style="1" bestFit="1" customWidth="1"/>
    <col min="19" max="19" width="12.75" style="1" bestFit="1" customWidth="1"/>
    <col min="20" max="20" width="7.375" style="1" customWidth="1"/>
    <col min="21" max="21" width="9.5" style="1" bestFit="1" customWidth="1"/>
    <col min="22" max="22" width="10.25" style="1" bestFit="1" customWidth="1"/>
    <col min="23" max="23" width="6.25" style="1" bestFit="1" customWidth="1"/>
    <col min="24" max="24" width="8.375" style="1" bestFit="1" customWidth="1"/>
    <col min="25" max="25" width="6.875" style="1" bestFit="1" customWidth="1"/>
    <col min="26" max="26" width="6" style="1" bestFit="1" customWidth="1"/>
    <col min="27" max="27" width="7.875" style="1" bestFit="1" customWidth="1"/>
    <col min="28" max="28" width="6.875" style="1" bestFit="1" customWidth="1"/>
    <col min="29" max="29" width="7.25" style="1" customWidth="1"/>
    <col min="30" max="30" width="7.75" style="1" bestFit="1" customWidth="1"/>
    <col min="31" max="31" width="8.5" style="1" bestFit="1" customWidth="1"/>
    <col min="32" max="32" width="9" style="1"/>
    <col min="33" max="33" width="7.25" style="1" bestFit="1" customWidth="1"/>
    <col min="34" max="34" width="14.375" style="1" bestFit="1" customWidth="1"/>
    <col min="35" max="35" width="18.625" style="1" customWidth="1"/>
    <col min="36" max="36" width="11.625" style="1" customWidth="1"/>
    <col min="37" max="37" width="16" style="1" customWidth="1"/>
    <col min="38" max="38" width="7.5" style="1" customWidth="1"/>
    <col min="39" max="39" width="7.25" style="1" customWidth="1"/>
    <col min="40" max="16384" width="9" style="1"/>
  </cols>
  <sheetData>
    <row r="1" spans="1:39" ht="16.5">
      <c r="A1" s="6" t="s">
        <v>86</v>
      </c>
      <c r="B1" s="6" t="s">
        <v>86</v>
      </c>
      <c r="C1" s="6" t="s">
        <v>86</v>
      </c>
      <c r="W1" s="6" t="s">
        <v>82</v>
      </c>
      <c r="X1" s="6" t="s">
        <v>82</v>
      </c>
      <c r="Y1" s="6" t="s">
        <v>82</v>
      </c>
      <c r="Z1" s="3" t="s">
        <v>4</v>
      </c>
      <c r="AA1" s="3" t="s">
        <v>4</v>
      </c>
      <c r="AB1" s="3"/>
      <c r="AC1" s="3" t="s">
        <v>4</v>
      </c>
      <c r="AD1" s="6" t="s">
        <v>17</v>
      </c>
      <c r="AE1" s="6" t="s">
        <v>17</v>
      </c>
      <c r="AF1" s="6" t="s">
        <v>17</v>
      </c>
      <c r="AG1" s="6" t="s">
        <v>71</v>
      </c>
      <c r="AH1" s="6" t="s">
        <v>71</v>
      </c>
      <c r="AI1" s="6" t="s">
        <v>71</v>
      </c>
      <c r="AJ1" s="6" t="s">
        <v>71</v>
      </c>
      <c r="AK1" s="6" t="s">
        <v>71</v>
      </c>
      <c r="AL1" s="6" t="s">
        <v>71</v>
      </c>
      <c r="AM1" s="6" t="s">
        <v>71</v>
      </c>
    </row>
    <row r="2" spans="1:39" ht="24.75" customHeight="1" thickBot="1">
      <c r="A2" s="14" t="s">
        <v>86</v>
      </c>
      <c r="B2" s="14" t="s">
        <v>84</v>
      </c>
      <c r="C2" s="62" t="s">
        <v>87</v>
      </c>
      <c r="D2" s="14" t="s">
        <v>13</v>
      </c>
      <c r="E2" s="14" t="s">
        <v>14</v>
      </c>
      <c r="F2" s="14"/>
      <c r="G2" s="14"/>
      <c r="H2" s="10"/>
      <c r="I2" s="10"/>
      <c r="J2" s="14"/>
      <c r="K2" s="14"/>
      <c r="L2" s="10"/>
      <c r="M2" s="15"/>
      <c r="N2" s="15"/>
      <c r="O2" s="15"/>
      <c r="P2" s="15"/>
      <c r="Q2" s="15"/>
      <c r="R2" s="14" t="s">
        <v>22</v>
      </c>
      <c r="S2" s="10" t="s">
        <v>26</v>
      </c>
      <c r="T2" s="10" t="s">
        <v>27</v>
      </c>
      <c r="U2" s="10" t="s">
        <v>24</v>
      </c>
      <c r="V2" s="10" t="s">
        <v>25</v>
      </c>
      <c r="W2" s="14" t="s">
        <v>28</v>
      </c>
      <c r="X2" s="14" t="s">
        <v>17</v>
      </c>
      <c r="Y2" s="14" t="s">
        <v>83</v>
      </c>
      <c r="Z2" s="2" t="s">
        <v>0</v>
      </c>
      <c r="AA2" s="2" t="s">
        <v>1</v>
      </c>
      <c r="AB2" s="2"/>
      <c r="AC2" s="2" t="s">
        <v>5</v>
      </c>
      <c r="AD2" s="16" t="s">
        <v>18</v>
      </c>
      <c r="AE2" s="16" t="s">
        <v>19</v>
      </c>
      <c r="AF2" s="16" t="s">
        <v>20</v>
      </c>
      <c r="AG2" s="16"/>
      <c r="AH2" s="16" t="s">
        <v>72</v>
      </c>
      <c r="AI2" s="16" t="s">
        <v>73</v>
      </c>
      <c r="AJ2" s="16" t="s">
        <v>74</v>
      </c>
      <c r="AK2" s="27" t="s">
        <v>75</v>
      </c>
      <c r="AL2" s="27" t="s">
        <v>77</v>
      </c>
      <c r="AM2" s="27" t="s">
        <v>76</v>
      </c>
    </row>
    <row r="3" spans="1:39" ht="17.25" thickBot="1">
      <c r="A3" s="6" t="s">
        <v>9</v>
      </c>
      <c r="B3" s="6">
        <v>100</v>
      </c>
      <c r="C3" s="6">
        <v>2</v>
      </c>
      <c r="D3" s="58">
        <v>1.9E-2</v>
      </c>
      <c r="E3" s="1">
        <v>48.5</v>
      </c>
      <c r="I3" s="6"/>
      <c r="J3" s="33"/>
      <c r="K3" s="51"/>
      <c r="L3" s="51"/>
      <c r="M3" s="51"/>
      <c r="N3" s="51"/>
      <c r="O3" s="51"/>
      <c r="Q3" s="43">
        <v>45200</v>
      </c>
      <c r="R3" s="1">
        <v>1</v>
      </c>
      <c r="S3" s="1">
        <v>27431.200000000001</v>
      </c>
      <c r="T3" s="1">
        <f>operate!F3</f>
        <v>58194</v>
      </c>
      <c r="U3" s="1">
        <v>1341629</v>
      </c>
      <c r="V3" s="44">
        <v>3683708</v>
      </c>
      <c r="W3" s="14">
        <v>0</v>
      </c>
      <c r="X3" s="59">
        <v>0.15</v>
      </c>
      <c r="Y3" s="60">
        <v>0</v>
      </c>
      <c r="Z3" s="3">
        <v>1</v>
      </c>
      <c r="AA3" s="5">
        <v>1</v>
      </c>
      <c r="AB3" s="5"/>
      <c r="AC3" s="4">
        <v>0.03</v>
      </c>
      <c r="AD3" s="1">
        <v>1</v>
      </c>
      <c r="AE3" s="1">
        <v>822936</v>
      </c>
      <c r="AF3" s="1">
        <v>1341629</v>
      </c>
      <c r="AG3" s="28" t="s">
        <v>54</v>
      </c>
      <c r="AH3" s="28" t="s">
        <v>55</v>
      </c>
      <c r="AI3" s="28" t="s">
        <v>56</v>
      </c>
      <c r="AJ3" s="29">
        <v>2523944</v>
      </c>
      <c r="AK3" s="28">
        <v>613.85</v>
      </c>
      <c r="AL3" s="32">
        <f>ROUND(AJ3/SUM($AJ$3:$AJ$7),4)</f>
        <v>1.77E-2</v>
      </c>
      <c r="AM3" s="1">
        <f>AK3*1000000/AJ3</f>
        <v>243.21062590929117</v>
      </c>
    </row>
    <row r="4" spans="1:39" s="50" customFormat="1" ht="17.25" thickBot="1">
      <c r="A4" s="17" t="s">
        <v>10</v>
      </c>
      <c r="B4" s="17">
        <v>15</v>
      </c>
      <c r="C4" s="17">
        <v>3</v>
      </c>
      <c r="D4" s="61">
        <v>6.5000000000000002E-2</v>
      </c>
      <c r="E4" s="18">
        <v>36</v>
      </c>
      <c r="F4" s="1"/>
      <c r="G4" s="1"/>
      <c r="H4" s="18"/>
      <c r="I4" s="45"/>
      <c r="J4" s="46"/>
      <c r="K4" s="51"/>
      <c r="L4" s="51"/>
      <c r="M4" s="51"/>
      <c r="N4" s="51"/>
      <c r="O4" s="51"/>
      <c r="P4" s="18"/>
      <c r="Q4" s="47">
        <v>45231</v>
      </c>
      <c r="R4" s="18">
        <v>2</v>
      </c>
      <c r="S4" s="18">
        <v>29159.766666666666</v>
      </c>
      <c r="T4" s="18">
        <f>operate!F4</f>
        <v>55556</v>
      </c>
      <c r="U4" s="18">
        <v>3181509</v>
      </c>
      <c r="V4" s="48">
        <v>6766826</v>
      </c>
      <c r="W4" s="49">
        <v>1</v>
      </c>
      <c r="X4" s="59">
        <v>0.24</v>
      </c>
      <c r="Y4" s="60">
        <f>(X4/X$3-1)/($W4-$W$3)</f>
        <v>0.60000000000000009</v>
      </c>
      <c r="Z4" s="19">
        <v>2</v>
      </c>
      <c r="AA4" s="20">
        <v>0.35</v>
      </c>
      <c r="AB4" s="20">
        <v>0.2</v>
      </c>
      <c r="AC4" s="21">
        <f>benchmark!AA3*AC3*(1-AB4)/benchmark!AA4</f>
        <v>6.8571428571428575E-2</v>
      </c>
      <c r="AD4" s="18">
        <v>2</v>
      </c>
      <c r="AE4" s="18">
        <v>874793</v>
      </c>
      <c r="AF4" s="18">
        <v>3181509</v>
      </c>
      <c r="AG4" s="28" t="s">
        <v>57</v>
      </c>
      <c r="AH4" s="28" t="s">
        <v>58</v>
      </c>
      <c r="AI4" s="28" t="s">
        <v>59</v>
      </c>
      <c r="AJ4" s="29">
        <v>708873</v>
      </c>
      <c r="AK4" s="28">
        <v>123.15</v>
      </c>
      <c r="AL4" s="32">
        <f t="shared" ref="AL4:AL7" si="0">ROUND(AJ4/SUM($AJ$3:$AJ$7),4)</f>
        <v>5.0000000000000001E-3</v>
      </c>
      <c r="AM4" s="1">
        <f t="shared" ref="AM4:AM7" si="1">AK4*1000000/AJ4</f>
        <v>173.72646440194507</v>
      </c>
    </row>
    <row r="5" spans="1:39" ht="27.75" thickBot="1">
      <c r="A5" s="6" t="s">
        <v>11</v>
      </c>
      <c r="B5" s="6">
        <v>6</v>
      </c>
      <c r="C5" s="6">
        <v>7</v>
      </c>
      <c r="D5" s="58">
        <v>0.13</v>
      </c>
      <c r="E5" s="1">
        <v>12.8</v>
      </c>
      <c r="I5" s="51"/>
      <c r="J5" s="34"/>
      <c r="K5" s="51"/>
      <c r="L5" s="51"/>
      <c r="M5" s="51"/>
      <c r="N5" s="51"/>
      <c r="O5" s="51"/>
      <c r="Q5" s="43">
        <v>45261</v>
      </c>
      <c r="R5" s="1">
        <v>3</v>
      </c>
      <c r="S5" s="1">
        <v>57555.5</v>
      </c>
      <c r="T5" s="1">
        <f>operate!F5</f>
        <v>67500</v>
      </c>
      <c r="U5" s="1">
        <v>6742009</v>
      </c>
      <c r="V5" s="44">
        <v>10228706</v>
      </c>
      <c r="W5" s="49">
        <v>2</v>
      </c>
      <c r="X5" s="59">
        <v>0.33</v>
      </c>
      <c r="Y5" s="60">
        <f t="shared" ref="Y5:Y62" si="2">(X5/X$3-1)/($W5-$W$3)</f>
        <v>0.60000000000000009</v>
      </c>
      <c r="Z5" s="3">
        <v>3</v>
      </c>
      <c r="AA5" s="5">
        <v>0.24</v>
      </c>
      <c r="AB5" s="5">
        <v>0.2</v>
      </c>
      <c r="AC5" s="4">
        <f>benchmark!AA4*AC4*(1-AB5)/benchmark!AA5</f>
        <v>8.0000000000000016E-2</v>
      </c>
      <c r="AD5" s="1">
        <v>3</v>
      </c>
      <c r="AE5" s="1">
        <v>1726665</v>
      </c>
      <c r="AF5" s="1">
        <v>6742009</v>
      </c>
      <c r="AG5" s="28" t="s">
        <v>60</v>
      </c>
      <c r="AH5" s="28" t="s">
        <v>61</v>
      </c>
      <c r="AI5" s="28" t="s">
        <v>62</v>
      </c>
      <c r="AJ5" s="29">
        <v>23960281</v>
      </c>
      <c r="AK5" s="28">
        <v>416.24</v>
      </c>
      <c r="AL5" s="32">
        <f t="shared" si="0"/>
        <v>0.16819999999999999</v>
      </c>
      <c r="AM5" s="1">
        <f t="shared" si="1"/>
        <v>17.372083407535996</v>
      </c>
    </row>
    <row r="6" spans="1:39" ht="17.25" thickBot="1">
      <c r="A6" s="6" t="s">
        <v>12</v>
      </c>
      <c r="B6" s="6">
        <v>1</v>
      </c>
      <c r="C6" s="6">
        <v>0</v>
      </c>
      <c r="D6" s="58">
        <v>0.35</v>
      </c>
      <c r="E6" s="1">
        <v>2.7</v>
      </c>
      <c r="I6" s="6"/>
      <c r="J6" s="34"/>
      <c r="K6" s="51"/>
      <c r="L6" s="51"/>
      <c r="M6" s="51"/>
      <c r="N6" s="51"/>
      <c r="O6" s="51"/>
      <c r="Q6" s="43">
        <v>45292</v>
      </c>
      <c r="R6" s="1">
        <v>4</v>
      </c>
      <c r="S6" s="1">
        <v>47569.5</v>
      </c>
      <c r="T6" s="1">
        <f>operate!F6</f>
        <v>87750</v>
      </c>
      <c r="U6" s="1">
        <v>10236365</v>
      </c>
      <c r="V6" s="44">
        <v>15071654</v>
      </c>
      <c r="W6" s="52">
        <v>3</v>
      </c>
      <c r="X6" s="59">
        <v>0.42</v>
      </c>
      <c r="Y6" s="60">
        <f t="shared" si="2"/>
        <v>0.6</v>
      </c>
      <c r="Z6" s="3">
        <v>7</v>
      </c>
      <c r="AA6" s="5">
        <v>0.14000000000000001</v>
      </c>
      <c r="AB6" s="5">
        <v>0.2</v>
      </c>
      <c r="AC6" s="4">
        <f>benchmark!AA5*AC5*(1-AB6)/benchmark!AA6</f>
        <v>0.10971428571428572</v>
      </c>
      <c r="AD6" s="1">
        <v>4</v>
      </c>
      <c r="AE6" s="1">
        <v>1427085</v>
      </c>
      <c r="AF6" s="1">
        <v>10236365</v>
      </c>
      <c r="AG6" s="28" t="s">
        <v>63</v>
      </c>
      <c r="AH6" s="28" t="s">
        <v>64</v>
      </c>
      <c r="AI6" s="30" t="s">
        <v>65</v>
      </c>
      <c r="AJ6" s="29">
        <v>950063</v>
      </c>
      <c r="AK6" s="28">
        <v>165.05</v>
      </c>
      <c r="AL6" s="32">
        <f t="shared" si="0"/>
        <v>6.7000000000000002E-3</v>
      </c>
      <c r="AM6" s="1">
        <f t="shared" si="1"/>
        <v>173.72532137342472</v>
      </c>
    </row>
    <row r="7" spans="1:39" ht="17.25" thickBot="1">
      <c r="A7" s="6"/>
      <c r="B7" s="6"/>
      <c r="C7" s="6"/>
      <c r="D7" s="57"/>
      <c r="I7" s="6"/>
      <c r="J7" s="34"/>
      <c r="K7" s="51"/>
      <c r="L7" s="51"/>
      <c r="M7" s="51"/>
      <c r="N7" s="51"/>
      <c r="O7" s="51"/>
      <c r="Q7" s="43">
        <v>45323</v>
      </c>
      <c r="R7" s="1">
        <v>5</v>
      </c>
      <c r="S7" s="1">
        <v>50037.566666666666</v>
      </c>
      <c r="T7" s="1">
        <f>operate!F7</f>
        <v>92138</v>
      </c>
      <c r="U7" s="1">
        <v>12828561</v>
      </c>
      <c r="V7" s="44">
        <v>20033776</v>
      </c>
      <c r="W7" s="52">
        <v>4</v>
      </c>
      <c r="X7" s="59">
        <v>0.51</v>
      </c>
      <c r="Y7" s="60">
        <f t="shared" si="2"/>
        <v>0.60000000000000009</v>
      </c>
      <c r="Z7" s="1">
        <v>14</v>
      </c>
      <c r="AA7" s="5">
        <v>0.09</v>
      </c>
      <c r="AB7" s="5">
        <v>0.2</v>
      </c>
      <c r="AC7" s="4">
        <f>benchmark!AA6*AC6*(1-AB7)/benchmark!AA7</f>
        <v>0.13653333333333337</v>
      </c>
      <c r="AD7" s="1">
        <v>5</v>
      </c>
      <c r="AE7" s="1">
        <v>1501127</v>
      </c>
      <c r="AF7" s="1">
        <v>12828561</v>
      </c>
      <c r="AG7" s="28" t="s">
        <v>66</v>
      </c>
      <c r="AH7" s="28" t="s">
        <v>67</v>
      </c>
      <c r="AI7" s="28" t="s">
        <v>68</v>
      </c>
      <c r="AJ7" s="29">
        <v>114350000</v>
      </c>
      <c r="AK7" s="28">
        <v>794.61</v>
      </c>
      <c r="AL7" s="32">
        <f t="shared" si="0"/>
        <v>0.80249999999999999</v>
      </c>
      <c r="AM7" s="1">
        <f t="shared" si="1"/>
        <v>6.9489287275907303</v>
      </c>
    </row>
    <row r="8" spans="1:39" ht="17.25" thickBot="1">
      <c r="I8" s="6"/>
      <c r="J8" s="34"/>
      <c r="K8" s="51"/>
      <c r="L8" s="51"/>
      <c r="M8" s="51"/>
      <c r="N8" s="51"/>
      <c r="O8" s="51"/>
      <c r="Q8" s="43">
        <v>45352</v>
      </c>
      <c r="R8" s="1">
        <v>6</v>
      </c>
      <c r="S8" s="1">
        <v>62303.666666666664</v>
      </c>
      <c r="T8" s="1">
        <f>operate!F8</f>
        <v>92138</v>
      </c>
      <c r="U8" s="1">
        <v>15341845</v>
      </c>
      <c r="V8" s="44">
        <v>24495116</v>
      </c>
      <c r="W8" s="52">
        <v>5</v>
      </c>
      <c r="X8" s="59">
        <v>0.6</v>
      </c>
      <c r="Y8" s="60">
        <f t="shared" si="2"/>
        <v>0.6</v>
      </c>
      <c r="Z8" s="1">
        <v>30</v>
      </c>
      <c r="AA8" s="5">
        <v>0.06</v>
      </c>
      <c r="AB8" s="5">
        <v>0.2</v>
      </c>
      <c r="AC8" s="4">
        <f>benchmark!AA7*AC7*(1-AB8)/benchmark!AA8</f>
        <v>0.16384000000000007</v>
      </c>
      <c r="AD8" s="1">
        <v>6</v>
      </c>
      <c r="AE8" s="1">
        <v>1869110</v>
      </c>
      <c r="AF8" s="1">
        <v>15341845</v>
      </c>
      <c r="AG8" s="28" t="s">
        <v>69</v>
      </c>
      <c r="AH8" s="28" t="s">
        <v>70</v>
      </c>
      <c r="AI8" s="28"/>
      <c r="AJ8" s="28"/>
      <c r="AK8" s="28"/>
      <c r="AL8" s="31"/>
    </row>
    <row r="9" spans="1:39" ht="17.25" thickBot="1">
      <c r="K9" s="51"/>
      <c r="L9" s="51"/>
      <c r="M9" s="51"/>
      <c r="N9" s="51"/>
      <c r="O9" s="51"/>
      <c r="Q9" s="43">
        <v>45383</v>
      </c>
      <c r="R9" s="1">
        <v>7</v>
      </c>
      <c r="S9" s="1">
        <v>77054.5</v>
      </c>
      <c r="T9" s="1">
        <f>operate!F9</f>
        <v>83761</v>
      </c>
      <c r="U9" s="1">
        <v>19650655</v>
      </c>
      <c r="V9" s="44">
        <v>28247400</v>
      </c>
      <c r="W9" s="52">
        <v>6</v>
      </c>
      <c r="X9" s="59">
        <v>0.68</v>
      </c>
      <c r="Y9" s="60">
        <f t="shared" si="2"/>
        <v>0.58888888888888902</v>
      </c>
      <c r="Z9" s="1">
        <v>60</v>
      </c>
      <c r="AA9" s="5">
        <v>0.04</v>
      </c>
      <c r="AB9" s="5">
        <v>0.2</v>
      </c>
      <c r="AC9" s="4">
        <f>benchmark!AA8*AC8*(1-AB9)/benchmark!AA9</f>
        <v>0.19660800000000006</v>
      </c>
      <c r="AD9" s="1">
        <v>7</v>
      </c>
      <c r="AE9" s="1">
        <v>2311635</v>
      </c>
      <c r="AF9" s="1">
        <v>19650655</v>
      </c>
    </row>
    <row r="10" spans="1:39" ht="17.25" thickBot="1">
      <c r="Q10" s="43">
        <v>45413</v>
      </c>
      <c r="R10" s="1">
        <v>8</v>
      </c>
      <c r="S10" s="1">
        <v>143015.1</v>
      </c>
      <c r="T10" s="1">
        <f>operate!F10</f>
        <v>82086</v>
      </c>
      <c r="U10" s="1">
        <v>28126403</v>
      </c>
      <c r="V10" s="44">
        <v>30927963</v>
      </c>
      <c r="W10" s="49">
        <v>7</v>
      </c>
      <c r="X10" s="59">
        <v>0.76</v>
      </c>
      <c r="Y10" s="60">
        <f t="shared" si="2"/>
        <v>0.580952380952381</v>
      </c>
      <c r="Z10" s="1">
        <v>180</v>
      </c>
      <c r="AA10" s="5">
        <v>0.02</v>
      </c>
      <c r="AB10" s="5">
        <v>0.2</v>
      </c>
      <c r="AC10" s="4">
        <f>benchmark!AA9*AC9*(1-AB10)/benchmark!AA10</f>
        <v>0.3145728000000001</v>
      </c>
      <c r="AD10" s="1">
        <v>8</v>
      </c>
      <c r="AE10" s="1">
        <v>4290453</v>
      </c>
      <c r="AF10" s="1">
        <v>28126403</v>
      </c>
    </row>
    <row r="11" spans="1:39" ht="17.25" thickBot="1">
      <c r="Q11" s="43">
        <v>45444</v>
      </c>
      <c r="R11" s="1">
        <v>9</v>
      </c>
      <c r="S11" s="1">
        <v>187181.73333333334</v>
      </c>
      <c r="T11" s="1">
        <f>operate!F11</f>
        <v>80444</v>
      </c>
      <c r="U11" s="1">
        <v>40373118</v>
      </c>
      <c r="V11" s="44">
        <v>34108785</v>
      </c>
      <c r="W11" s="49">
        <v>15</v>
      </c>
      <c r="X11" s="59">
        <v>1.26</v>
      </c>
      <c r="Y11" s="60">
        <f t="shared" si="2"/>
        <v>0.49333333333333335</v>
      </c>
      <c r="Z11" s="1">
        <v>360</v>
      </c>
      <c r="AA11" s="5">
        <v>1.4999999999999999E-2</v>
      </c>
      <c r="AB11" s="5">
        <v>0.2</v>
      </c>
      <c r="AC11" s="4">
        <f>benchmark!AA10*AC10*(1-AB11)/benchmark!AA11</f>
        <v>0.33554432000000012</v>
      </c>
      <c r="AD11" s="1">
        <v>9</v>
      </c>
      <c r="AE11" s="1">
        <v>5615452</v>
      </c>
      <c r="AF11" s="1">
        <v>40373118</v>
      </c>
    </row>
    <row r="12" spans="1:39" ht="15.75" thickBot="1">
      <c r="Q12" s="43">
        <v>45474</v>
      </c>
      <c r="R12" s="1">
        <v>10</v>
      </c>
      <c r="S12" s="1">
        <v>197572.1</v>
      </c>
      <c r="T12" s="1">
        <f>operate!F12</f>
        <v>72266</v>
      </c>
      <c r="U12" s="1">
        <v>46661992</v>
      </c>
      <c r="V12" s="44">
        <v>36413404</v>
      </c>
      <c r="W12" s="1">
        <v>22</v>
      </c>
      <c r="X12" s="59">
        <f>X11+(X13-X11)/2</f>
        <v>1.7000000000000002</v>
      </c>
      <c r="Y12" s="60">
        <f t="shared" si="2"/>
        <v>0.46969696969696978</v>
      </c>
      <c r="Z12" s="1">
        <v>720</v>
      </c>
      <c r="AA12" s="5">
        <v>7.4999999999999997E-3</v>
      </c>
      <c r="AB12" s="5">
        <v>0.2</v>
      </c>
      <c r="AC12" s="4">
        <f>benchmark!AA11*AC11*(1-AB12)/benchmark!AA12</f>
        <v>0.53687091200000026</v>
      </c>
      <c r="AD12" s="1">
        <v>10</v>
      </c>
      <c r="AE12" s="1">
        <v>5927163</v>
      </c>
      <c r="AF12" s="1">
        <v>46661992</v>
      </c>
    </row>
    <row r="13" spans="1:39" ht="17.25" thickBot="1">
      <c r="Q13" s="43">
        <v>45505</v>
      </c>
      <c r="R13" s="1">
        <v>11</v>
      </c>
      <c r="S13" s="1">
        <v>244023.5</v>
      </c>
      <c r="T13" s="1">
        <f>operate!F13</f>
        <v>69375</v>
      </c>
      <c r="U13" s="1">
        <v>55246721</v>
      </c>
      <c r="V13" s="44">
        <v>38260856</v>
      </c>
      <c r="W13" s="49">
        <v>30</v>
      </c>
      <c r="X13" s="59">
        <v>2.14</v>
      </c>
      <c r="Y13" s="60">
        <f>(X13/X$3-1)/($W13-$W$3)</f>
        <v>0.44222222222222224</v>
      </c>
      <c r="Z13" s="1">
        <f>360*3</f>
        <v>1080</v>
      </c>
      <c r="AA13" s="5">
        <f>AA12/2</f>
        <v>3.7499999999999999E-3</v>
      </c>
      <c r="AB13" s="5">
        <v>0.2</v>
      </c>
      <c r="AC13" s="4">
        <f>benchmark!AA12*AC12*(1-AB13)/benchmark!AA13</f>
        <v>0.85899345920000036</v>
      </c>
      <c r="AD13" s="1">
        <v>11</v>
      </c>
      <c r="AE13" s="1">
        <v>7320705</v>
      </c>
      <c r="AF13" s="1">
        <v>55246721</v>
      </c>
    </row>
    <row r="14" spans="1:39" ht="17.25" thickBot="1">
      <c r="Q14" s="43">
        <v>45536</v>
      </c>
      <c r="R14" s="1">
        <v>12</v>
      </c>
      <c r="S14" s="1">
        <v>201135.96666666667</v>
      </c>
      <c r="T14" s="1">
        <f>operate!F14</f>
        <v>62758</v>
      </c>
      <c r="U14" s="1">
        <v>66750732</v>
      </c>
      <c r="V14" s="44">
        <v>40156647</v>
      </c>
      <c r="W14" s="49">
        <v>45</v>
      </c>
      <c r="X14" s="59">
        <v>2.96</v>
      </c>
      <c r="Y14" s="60">
        <f>(X14/X$3-1)/($W14-$W$3)</f>
        <v>0.41629629629629633</v>
      </c>
      <c r="Z14" s="1">
        <f>360*4</f>
        <v>1440</v>
      </c>
      <c r="AA14" s="5">
        <f>AA13/2</f>
        <v>1.8749999999999999E-3</v>
      </c>
      <c r="AB14" s="5">
        <v>0.2</v>
      </c>
      <c r="AC14" s="4">
        <f>benchmark!AA13*AC13*(1-AB14)/benchmark!AA14</f>
        <v>1.3743895347200006</v>
      </c>
      <c r="AD14" s="1">
        <v>12</v>
      </c>
      <c r="AE14" s="1">
        <v>6034079</v>
      </c>
      <c r="AF14" s="1">
        <v>66750732</v>
      </c>
    </row>
    <row r="15" spans="1:39" ht="17.25" thickBot="1">
      <c r="A15" s="6"/>
      <c r="B15" s="7"/>
      <c r="C15" s="7"/>
      <c r="W15" s="49">
        <v>60</v>
      </c>
      <c r="X15" s="59">
        <v>3.89</v>
      </c>
      <c r="Y15" s="60">
        <f>(X15/X$3-1)/($W15-$W$3)</f>
        <v>0.41555555555555557</v>
      </c>
      <c r="Z15" s="1">
        <f>360*5</f>
        <v>1800</v>
      </c>
      <c r="AA15" s="5">
        <f>AA14/2</f>
        <v>9.3749999999999997E-4</v>
      </c>
      <c r="AB15" s="5">
        <v>0.2</v>
      </c>
      <c r="AC15" s="4">
        <f>benchmark!AA14*AC14*(1-AB15)/benchmark!AA15</f>
        <v>2.1990232555520013</v>
      </c>
    </row>
    <row r="16" spans="1:39" ht="17.25" thickBot="1">
      <c r="A16" s="6"/>
      <c r="B16" s="7"/>
      <c r="C16" s="7"/>
      <c r="W16" s="49">
        <v>75</v>
      </c>
      <c r="X16" s="59">
        <v>4.75</v>
      </c>
      <c r="Y16" s="60">
        <f>(X16/X$3-1)/($W16-$W$3)</f>
        <v>0.40888888888888891</v>
      </c>
    </row>
    <row r="17" spans="23:49" ht="17.25" thickBot="1">
      <c r="W17" s="49">
        <v>90</v>
      </c>
      <c r="X17" s="59">
        <v>5.61</v>
      </c>
      <c r="Y17" s="60">
        <f>(X17/X$3-1)/($W17-$W$3)</f>
        <v>0.4044444444444445</v>
      </c>
      <c r="AD17" s="6"/>
    </row>
    <row r="18" spans="23:49" ht="17.25" thickBot="1">
      <c r="W18" s="49">
        <v>120</v>
      </c>
      <c r="X18" s="59">
        <v>7.21</v>
      </c>
      <c r="Y18" s="60">
        <f>(X18/X$3-1)/($W18-$W$3)</f>
        <v>0.39222222222222225</v>
      </c>
      <c r="AA18" s="56"/>
    </row>
    <row r="19" spans="23:49" ht="17.25" thickBot="1">
      <c r="W19" s="49">
        <v>150</v>
      </c>
      <c r="X19" s="59">
        <v>8.58</v>
      </c>
      <c r="Y19" s="60">
        <f>(X19/X$3-1)/($W19-$W$3)</f>
        <v>0.3746666666666667</v>
      </c>
      <c r="AB19" s="56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</row>
    <row r="20" spans="23:49" ht="17.25" thickBot="1">
      <c r="W20" s="49">
        <v>180</v>
      </c>
      <c r="X20" s="59">
        <v>9.9</v>
      </c>
      <c r="Y20" s="60">
        <f>(X20/X$3-1)/($W20-$W$3)</f>
        <v>0.3611111111111111</v>
      </c>
    </row>
    <row r="21" spans="23:49" ht="17.25" thickBot="1">
      <c r="W21" s="49">
        <v>210</v>
      </c>
      <c r="X21" s="59">
        <v>11.06</v>
      </c>
      <c r="Y21" s="60">
        <f>(X21/X$3-1)/($W21-$W$3)</f>
        <v>0.34634920634920635</v>
      </c>
    </row>
    <row r="22" spans="23:49" ht="17.25" thickBot="1">
      <c r="W22" s="49">
        <v>240</v>
      </c>
      <c r="X22" s="59">
        <v>12.13</v>
      </c>
      <c r="Y22" s="60">
        <f>(X22/X$3-1)/($W22-$W$3)</f>
        <v>0.33277777777777778</v>
      </c>
    </row>
    <row r="23" spans="23:49" ht="17.25" thickBot="1">
      <c r="W23" s="49">
        <v>270</v>
      </c>
      <c r="X23" s="59">
        <v>13.18</v>
      </c>
      <c r="Y23" s="60">
        <f>(X23/X$3-1)/($W23-$W$3)</f>
        <v>0.3217283950617284</v>
      </c>
    </row>
    <row r="24" spans="23:49" ht="17.25" thickBot="1">
      <c r="W24" s="49">
        <v>300</v>
      </c>
      <c r="X24" s="59">
        <v>14.15</v>
      </c>
      <c r="Y24" s="60">
        <f>(X24/X$3-1)/($W24-$W$3)</f>
        <v>0.31111111111111112</v>
      </c>
      <c r="AA24" s="56"/>
    </row>
    <row r="25" spans="23:49" ht="17.25" thickBot="1">
      <c r="W25" s="49">
        <v>330</v>
      </c>
      <c r="X25" s="59">
        <v>15.06</v>
      </c>
      <c r="Y25" s="60">
        <f>(X25/X$3-1)/($W25-$W$3)</f>
        <v>0.30121212121212121</v>
      </c>
    </row>
    <row r="26" spans="23:49" ht="17.25" thickBot="1">
      <c r="W26" s="49">
        <v>360</v>
      </c>
      <c r="X26" s="59">
        <v>15.93</v>
      </c>
      <c r="Y26" s="60">
        <f>(X26/X$3-1)/($W26-$W$3)</f>
        <v>0.29222222222222222</v>
      </c>
    </row>
    <row r="27" spans="23:49" ht="17.25" thickBot="1">
      <c r="W27" s="49">
        <v>390</v>
      </c>
      <c r="X27" s="59">
        <v>16.75</v>
      </c>
      <c r="Y27" s="60">
        <f>(X27/X$3-1)/($W27-$W$3)</f>
        <v>0.28376068376068375</v>
      </c>
    </row>
    <row r="28" spans="23:49" ht="17.25" thickBot="1">
      <c r="W28" s="49">
        <v>420</v>
      </c>
      <c r="X28" s="59">
        <v>17.53</v>
      </c>
      <c r="Y28" s="60">
        <f>(X28/X$3-1)/($W28-$W$3)</f>
        <v>0.27587301587301588</v>
      </c>
    </row>
    <row r="29" spans="23:49" ht="17.25" thickBot="1">
      <c r="W29" s="49">
        <v>450</v>
      </c>
      <c r="X29" s="59">
        <v>18.22</v>
      </c>
      <c r="Y29" s="60">
        <f>(X29/X$3-1)/($W29-$W$3)</f>
        <v>0.26770370370370372</v>
      </c>
    </row>
    <row r="30" spans="23:49" ht="17.25" thickBot="1">
      <c r="W30" s="49">
        <v>480</v>
      </c>
      <c r="X30" s="59">
        <v>18.88</v>
      </c>
      <c r="Y30" s="60">
        <f>(X30/X$3-1)/($W30-$W$3)</f>
        <v>0.26013888888888886</v>
      </c>
    </row>
    <row r="31" spans="23:49" ht="17.25" thickBot="1">
      <c r="W31" s="49">
        <v>510</v>
      </c>
      <c r="X31" s="59">
        <v>19.5</v>
      </c>
      <c r="Y31" s="60">
        <f>(X31/X$3-1)/($W31-$W$3)</f>
        <v>0.25294117647058822</v>
      </c>
    </row>
    <row r="32" spans="23:49" ht="17.25" thickBot="1">
      <c r="W32" s="49">
        <v>540</v>
      </c>
      <c r="X32" s="59">
        <v>20.07</v>
      </c>
      <c r="Y32" s="60">
        <f>(X32/X$3-1)/($W32-$W$3)</f>
        <v>0.24592592592592594</v>
      </c>
    </row>
    <row r="33" spans="23:25" ht="17.25" thickBot="1">
      <c r="W33" s="49">
        <v>570</v>
      </c>
      <c r="X33" s="59">
        <v>20.6</v>
      </c>
      <c r="Y33" s="60">
        <f>(X33/X$3-1)/($W33-$W$3)</f>
        <v>0.23918128654970761</v>
      </c>
    </row>
    <row r="34" spans="23:25" ht="17.25" thickBot="1">
      <c r="W34" s="49">
        <v>600</v>
      </c>
      <c r="X34" s="59">
        <v>21.1</v>
      </c>
      <c r="Y34" s="60">
        <f>(X34/X$3-1)/($W34-$W$3)</f>
        <v>0.23277777777777781</v>
      </c>
    </row>
    <row r="35" spans="23:25" ht="17.25" thickBot="1">
      <c r="W35" s="49">
        <v>630</v>
      </c>
      <c r="X35" s="59">
        <v>21.42</v>
      </c>
      <c r="Y35" s="60">
        <f>(X35/X$3-1)/($W35-$W$3)</f>
        <v>0.2250793650793651</v>
      </c>
    </row>
    <row r="36" spans="23:25" ht="17.25" thickBot="1">
      <c r="W36" s="49">
        <v>660</v>
      </c>
      <c r="X36" s="59">
        <v>21.69</v>
      </c>
      <c r="Y36" s="60">
        <f>(X36/X$3-1)/($W36-$W$3)</f>
        <v>0.21757575757575762</v>
      </c>
    </row>
    <row r="37" spans="23:25" ht="17.25" thickBot="1">
      <c r="W37" s="49">
        <v>690</v>
      </c>
      <c r="X37" s="59">
        <v>21.9</v>
      </c>
      <c r="Y37" s="60">
        <f>(X37/X$3-1)/($W37-$W$3)</f>
        <v>0.21014492753623187</v>
      </c>
    </row>
    <row r="38" spans="23:25" ht="17.25" thickBot="1">
      <c r="W38" s="49">
        <v>720</v>
      </c>
      <c r="X38" s="59">
        <v>22.07</v>
      </c>
      <c r="Y38" s="60">
        <f>(X38/X$3-1)/($W38-$W$3)</f>
        <v>0.20296296296296298</v>
      </c>
    </row>
    <row r="39" spans="23:25" ht="17.25" thickBot="1">
      <c r="W39" s="49">
        <v>750</v>
      </c>
      <c r="X39" s="59">
        <v>22.26</v>
      </c>
      <c r="Y39" s="60">
        <f>(X39/X$3-1)/($W39-$W$3)</f>
        <v>0.19653333333333334</v>
      </c>
    </row>
    <row r="40" spans="23:25" ht="17.25" thickBot="1">
      <c r="W40" s="49">
        <v>780</v>
      </c>
      <c r="X40" s="59">
        <v>22.44</v>
      </c>
      <c r="Y40" s="60">
        <f>(X40/X$3-1)/($W40-$W$3)</f>
        <v>0.19051282051282054</v>
      </c>
    </row>
    <row r="41" spans="23:25" ht="17.25" thickBot="1">
      <c r="W41" s="49">
        <v>810</v>
      </c>
      <c r="X41" s="59">
        <v>22.62</v>
      </c>
      <c r="Y41" s="60">
        <f>(X41/X$3-1)/($W41-$W$3)</f>
        <v>0.18493827160493828</v>
      </c>
    </row>
    <row r="42" spans="23:25" ht="17.25" thickBot="1">
      <c r="W42" s="49">
        <v>840</v>
      </c>
      <c r="X42" s="59">
        <v>22.79</v>
      </c>
      <c r="Y42" s="60">
        <f>(X42/X$3-1)/($W42-$W$3)</f>
        <v>0.17968253968253969</v>
      </c>
    </row>
    <row r="43" spans="23:25" ht="17.25" thickBot="1">
      <c r="W43" s="49">
        <v>870</v>
      </c>
      <c r="X43" s="59">
        <v>22.96</v>
      </c>
      <c r="Y43" s="60">
        <f>(X43/X$3-1)/($W43-$W$3)</f>
        <v>0.17478927203065137</v>
      </c>
    </row>
    <row r="44" spans="23:25" ht="17.25" thickBot="1">
      <c r="W44" s="49">
        <v>900</v>
      </c>
      <c r="X44" s="59">
        <v>23.12</v>
      </c>
      <c r="Y44" s="60">
        <f>(X44/X$3-1)/($W44-$W$3)</f>
        <v>0.17014814814814816</v>
      </c>
    </row>
    <row r="45" spans="23:25" ht="17.25" thickBot="1">
      <c r="W45" s="49">
        <v>930</v>
      </c>
      <c r="X45" s="59">
        <v>23.28</v>
      </c>
      <c r="Y45" s="60">
        <f>(X45/X$3-1)/($W45-$W$3)</f>
        <v>0.16580645161290325</v>
      </c>
    </row>
    <row r="46" spans="23:25" ht="17.25" thickBot="1">
      <c r="W46" s="49">
        <v>960</v>
      </c>
      <c r="X46" s="59">
        <v>23.43</v>
      </c>
      <c r="Y46" s="60">
        <f>(X46/X$3-1)/($W46-$W$3)</f>
        <v>0.16166666666666668</v>
      </c>
    </row>
    <row r="47" spans="23:25" ht="17.25" thickBot="1">
      <c r="W47" s="49">
        <v>990</v>
      </c>
      <c r="X47" s="59">
        <v>23.59</v>
      </c>
      <c r="Y47" s="60">
        <f>(X47/X$3-1)/($W47-$W$3)</f>
        <v>0.15784511784511787</v>
      </c>
    </row>
    <row r="48" spans="23:25" ht="17.25" thickBot="1">
      <c r="W48" s="49">
        <v>1020</v>
      </c>
      <c r="X48" s="59">
        <v>23.73</v>
      </c>
      <c r="Y48" s="60">
        <f>(X48/X$3-1)/($W48-$W$3)</f>
        <v>0.15411764705882355</v>
      </c>
    </row>
    <row r="49" spans="23:25" ht="17.25" thickBot="1">
      <c r="W49" s="49">
        <v>1050</v>
      </c>
      <c r="X49" s="59">
        <v>23.88</v>
      </c>
      <c r="Y49" s="60">
        <f>(X49/X$3-1)/($W49-$W$3)</f>
        <v>0.15066666666666664</v>
      </c>
    </row>
    <row r="50" spans="23:25" ht="17.25" thickBot="1">
      <c r="W50" s="49">
        <v>1080</v>
      </c>
      <c r="X50" s="59">
        <v>24.02</v>
      </c>
      <c r="Y50" s="60">
        <f>(X50/X$3-1)/($W50-$W$3)</f>
        <v>0.14734567901234566</v>
      </c>
    </row>
    <row r="51" spans="23:25" ht="17.25" thickBot="1">
      <c r="W51" s="49">
        <v>1110</v>
      </c>
      <c r="X51" s="59">
        <v>24.15</v>
      </c>
      <c r="Y51" s="60">
        <f>(X51/X$3-1)/($W51-$W$3)</f>
        <v>0.14414414414414414</v>
      </c>
    </row>
    <row r="52" spans="23:25" ht="17.25" thickBot="1">
      <c r="W52" s="49">
        <v>1140</v>
      </c>
      <c r="X52" s="59">
        <v>24.258675</v>
      </c>
      <c r="Y52" s="60">
        <f>(X52/X$3-1)/($W52-$W$3)</f>
        <v>0.14098640350877192</v>
      </c>
    </row>
    <row r="53" spans="23:25" ht="17.25" thickBot="1">
      <c r="W53" s="49">
        <v>1170</v>
      </c>
      <c r="X53" s="59">
        <v>24.355709699999998</v>
      </c>
      <c r="Y53" s="60">
        <f>(X53/X$3-1)/($W53-$W$3)</f>
        <v>0.13792427179487179</v>
      </c>
    </row>
    <row r="54" spans="23:25" ht="17.25" thickBot="1">
      <c r="W54" s="49">
        <v>1200</v>
      </c>
      <c r="X54" s="59">
        <v>24.440954680000001</v>
      </c>
      <c r="Y54" s="60">
        <f>(X54/X$3-1)/($W54-$W$3)</f>
        <v>0.13494974822222222</v>
      </c>
    </row>
    <row r="55" spans="23:25" ht="17.25" thickBot="1">
      <c r="W55" s="49">
        <v>1230</v>
      </c>
      <c r="X55" s="59">
        <v>24.514277549999999</v>
      </c>
      <c r="Y55" s="60">
        <f>(X55/X$3-1)/($W55-$W$3)</f>
        <v>0.13205570487804877</v>
      </c>
    </row>
    <row r="56" spans="23:25" ht="17.25" thickBot="1">
      <c r="W56" s="49">
        <v>1260</v>
      </c>
      <c r="X56" s="59">
        <v>24.575563240000001</v>
      </c>
      <c r="Y56" s="60">
        <f>(X56/X$3-1)/($W56-$W$3)</f>
        <v>0.12923578433862434</v>
      </c>
    </row>
    <row r="57" spans="23:25" ht="17.25" thickBot="1">
      <c r="W57" s="49">
        <v>1290</v>
      </c>
      <c r="X57" s="59">
        <v>24.62471437</v>
      </c>
      <c r="Y57" s="60">
        <f>(X57/X$3-1)/($W57-$W$3)</f>
        <v>0.12648431198966409</v>
      </c>
    </row>
    <row r="58" spans="23:25" ht="17.25" thickBot="1">
      <c r="W58" s="49">
        <v>1320</v>
      </c>
      <c r="X58" s="59">
        <v>24.66165144</v>
      </c>
      <c r="Y58" s="60">
        <f>(X58/X$3-1)/($W58-$W$3)</f>
        <v>0.12379621939393939</v>
      </c>
    </row>
    <row r="59" spans="23:25" ht="17.25" thickBot="1">
      <c r="W59" s="49">
        <v>1350</v>
      </c>
      <c r="X59" s="59">
        <v>24.686313089999999</v>
      </c>
      <c r="Y59" s="60">
        <f>(X59/X$3-1)/($W59-$W$3)</f>
        <v>0.12116697822222222</v>
      </c>
    </row>
    <row r="60" spans="23:25" ht="17.25" thickBot="1">
      <c r="W60" s="49">
        <v>1380</v>
      </c>
      <c r="X60" s="59">
        <v>24.710999399999999</v>
      </c>
      <c r="Y60" s="60">
        <f>(X60/X$3-1)/($W60-$W$3)</f>
        <v>0.11865217101449274</v>
      </c>
    </row>
    <row r="61" spans="23:25" ht="17.25" thickBot="1">
      <c r="W61" s="49">
        <v>1410</v>
      </c>
      <c r="X61" s="59">
        <v>24.735710399999999</v>
      </c>
      <c r="Y61" s="60">
        <f>(X61/X$3-1)/($W61-$W$3)</f>
        <v>0.11624449361702127</v>
      </c>
    </row>
    <row r="62" spans="23:25" ht="17.25" thickBot="1">
      <c r="W62" s="49">
        <v>1440</v>
      </c>
      <c r="X62" s="59">
        <v>24.76044611</v>
      </c>
      <c r="Y62" s="60">
        <f>(X62/X$3-1)/($W62-$W$3)</f>
        <v>0.11393725050925926</v>
      </c>
    </row>
    <row r="63" spans="23:25" ht="17.25" thickBot="1">
      <c r="W63" s="49">
        <v>1470</v>
      </c>
      <c r="X63" s="59">
        <v>24.785206559999999</v>
      </c>
      <c r="Y63" s="60">
        <f>(X63/X$3-1)/($W63-$W$3)</f>
        <v>0.11172429278911565</v>
      </c>
    </row>
  </sheetData>
  <phoneticPr fontId="2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FA62-D65D-4B3C-8716-B8B70E970754}">
  <sheetPr codeName="Sheet1"/>
  <dimension ref="A1:H14"/>
  <sheetViews>
    <sheetView workbookViewId="0">
      <selection activeCell="S18" sqref="S18"/>
    </sheetView>
  </sheetViews>
  <sheetFormatPr defaultColWidth="9" defaultRowHeight="16.5"/>
  <cols>
    <col min="1" max="1" width="5.75" style="9" bestFit="1" customWidth="1"/>
    <col min="2" max="2" width="8.875" style="9" bestFit="1" customWidth="1"/>
    <col min="3" max="3" width="5.75" style="9" bestFit="1" customWidth="1"/>
    <col min="4" max="4" width="8.125" style="9" bestFit="1" customWidth="1"/>
    <col min="5" max="6" width="10.5" style="9" bestFit="1" customWidth="1"/>
    <col min="7" max="7" width="7.125" style="9" bestFit="1" customWidth="1"/>
    <col min="8" max="8" width="10.25" style="9" bestFit="1" customWidth="1"/>
    <col min="9" max="16384" width="9" style="9"/>
  </cols>
  <sheetData>
    <row r="1" spans="1:8">
      <c r="A1" s="13" t="s">
        <v>4</v>
      </c>
      <c r="B1" s="13" t="s">
        <v>4</v>
      </c>
      <c r="C1" s="13" t="s">
        <v>4</v>
      </c>
      <c r="D1" s="13" t="s">
        <v>4</v>
      </c>
      <c r="E1" s="9" t="s">
        <v>21</v>
      </c>
      <c r="F1" s="9" t="s">
        <v>21</v>
      </c>
      <c r="G1" s="13" t="s">
        <v>78</v>
      </c>
      <c r="H1" s="13" t="s">
        <v>78</v>
      </c>
    </row>
    <row r="2" spans="1:8">
      <c r="A2" s="63" t="s">
        <v>2</v>
      </c>
      <c r="B2" s="63" t="s">
        <v>88</v>
      </c>
      <c r="C2" s="63" t="s">
        <v>89</v>
      </c>
      <c r="D2" s="22" t="s">
        <v>29</v>
      </c>
      <c r="E2" s="35" t="s">
        <v>22</v>
      </c>
      <c r="F2" s="35" t="s">
        <v>23</v>
      </c>
      <c r="G2" s="37" t="s">
        <v>44</v>
      </c>
      <c r="H2" s="36" t="s">
        <v>30</v>
      </c>
    </row>
    <row r="3" spans="1:8">
      <c r="A3" s="9">
        <v>1</v>
      </c>
      <c r="B3" s="11">
        <v>30000</v>
      </c>
      <c r="C3" s="11">
        <v>7</v>
      </c>
      <c r="D3" s="11">
        <f>100000/4</f>
        <v>25000</v>
      </c>
      <c r="E3" s="9">
        <v>1</v>
      </c>
      <c r="F3" s="11">
        <v>58194</v>
      </c>
      <c r="G3" s="9">
        <v>1</v>
      </c>
      <c r="H3" s="9">
        <v>0</v>
      </c>
    </row>
    <row r="4" spans="1:8">
      <c r="E4" s="9">
        <v>2</v>
      </c>
      <c r="F4" s="11">
        <v>55556</v>
      </c>
      <c r="G4" s="9">
        <v>2</v>
      </c>
      <c r="H4" s="9">
        <v>0.2</v>
      </c>
    </row>
    <row r="5" spans="1:8">
      <c r="E5" s="9">
        <v>3</v>
      </c>
      <c r="F5" s="11">
        <v>67500</v>
      </c>
      <c r="G5" s="9">
        <v>3</v>
      </c>
      <c r="H5" s="9">
        <v>0.4</v>
      </c>
    </row>
    <row r="6" spans="1:8">
      <c r="E6" s="9">
        <v>4</v>
      </c>
      <c r="F6" s="11">
        <v>87750</v>
      </c>
      <c r="G6" s="9">
        <v>4</v>
      </c>
      <c r="H6" s="9">
        <v>0.6</v>
      </c>
    </row>
    <row r="7" spans="1:8">
      <c r="E7" s="9">
        <v>5</v>
      </c>
      <c r="F7" s="11">
        <v>92138</v>
      </c>
      <c r="G7" s="9">
        <v>5</v>
      </c>
      <c r="H7" s="9">
        <v>0.8</v>
      </c>
    </row>
    <row r="8" spans="1:8">
      <c r="E8" s="9">
        <v>6</v>
      </c>
      <c r="F8" s="11">
        <v>92138</v>
      </c>
    </row>
    <row r="9" spans="1:8">
      <c r="E9" s="9">
        <v>7</v>
      </c>
      <c r="F9" s="11">
        <v>83761</v>
      </c>
    </row>
    <row r="10" spans="1:8">
      <c r="E10" s="9">
        <v>8</v>
      </c>
      <c r="F10" s="11">
        <v>82086</v>
      </c>
    </row>
    <row r="11" spans="1:8">
      <c r="E11" s="9">
        <v>9</v>
      </c>
      <c r="F11" s="11">
        <v>80444</v>
      </c>
    </row>
    <row r="12" spans="1:8">
      <c r="E12" s="9">
        <v>10</v>
      </c>
      <c r="F12" s="11">
        <v>72266</v>
      </c>
    </row>
    <row r="13" spans="1:8">
      <c r="E13" s="9">
        <v>11</v>
      </c>
      <c r="F13" s="11">
        <v>69375</v>
      </c>
    </row>
    <row r="14" spans="1:8">
      <c r="E14" s="9">
        <v>12</v>
      </c>
      <c r="F14" s="11">
        <v>62758</v>
      </c>
    </row>
  </sheetData>
  <phoneticPr fontId="2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13EF-22B4-4647-B2D2-20420D070A6D}">
  <dimension ref="A1:AR42"/>
  <sheetViews>
    <sheetView tabSelected="1" topLeftCell="O1" zoomScaleNormal="100" workbookViewId="0">
      <selection activeCell="AM15" sqref="AM15"/>
    </sheetView>
  </sheetViews>
  <sheetFormatPr defaultRowHeight="14.25"/>
  <cols>
    <col min="1" max="1" width="3.625" style="38" bestFit="1" customWidth="1"/>
    <col min="2" max="2" width="7" style="38" customWidth="1"/>
    <col min="3" max="3" width="6.375" style="38" customWidth="1"/>
    <col min="4" max="4" width="8.875" style="38" customWidth="1"/>
    <col min="5" max="5" width="7.625" style="38" bestFit="1" customWidth="1"/>
    <col min="6" max="6" width="8.625" style="38" customWidth="1"/>
    <col min="7" max="8" width="9.125" style="38" bestFit="1" customWidth="1"/>
    <col min="9" max="9" width="8.125" style="38" customWidth="1"/>
    <col min="10" max="10" width="8.75" style="38" customWidth="1"/>
    <col min="11" max="11" width="6.875" style="38" customWidth="1"/>
    <col min="12" max="12" width="7.625" style="38" bestFit="1" customWidth="1"/>
    <col min="13" max="13" width="8.625" style="38" bestFit="1" customWidth="1"/>
    <col min="14" max="14" width="5.25" style="38" customWidth="1"/>
    <col min="15" max="15" width="5.125" style="38" customWidth="1"/>
    <col min="16" max="16" width="7.625" style="38" customWidth="1"/>
    <col min="17" max="17" width="6.375" style="38" customWidth="1"/>
    <col min="18" max="18" width="4.125" style="38" bestFit="1" customWidth="1"/>
    <col min="19" max="19" width="6.5" style="38" bestFit="1" customWidth="1"/>
    <col min="20" max="20" width="3.375" style="38" bestFit="1" customWidth="1"/>
    <col min="21" max="21" width="7.25" style="38" bestFit="1" customWidth="1"/>
    <col min="22" max="22" width="9" style="38" bestFit="1" customWidth="1"/>
    <col min="23" max="23" width="9" style="38" customWidth="1"/>
    <col min="24" max="24" width="8" style="38" customWidth="1"/>
    <col min="25" max="25" width="7.625" style="38" bestFit="1" customWidth="1"/>
    <col min="26" max="26" width="6.75" style="38" bestFit="1" customWidth="1"/>
    <col min="27" max="27" width="4.625" style="38" customWidth="1"/>
    <col min="28" max="28" width="7.25" style="38" bestFit="1" customWidth="1"/>
    <col min="29" max="29" width="8.625" style="38" customWidth="1"/>
    <col min="30" max="30" width="9" style="38"/>
    <col min="31" max="31" width="8.125" style="38" customWidth="1"/>
    <col min="32" max="32" width="6.875" style="38" customWidth="1"/>
    <col min="33" max="33" width="6.75" style="38" bestFit="1" customWidth="1"/>
    <col min="34" max="34" width="6.875" style="38" bestFit="1" customWidth="1"/>
    <col min="35" max="35" width="9" style="38"/>
    <col min="36" max="36" width="5.875" style="38" bestFit="1" customWidth="1"/>
    <col min="37" max="37" width="3.5" style="38" bestFit="1" customWidth="1"/>
    <col min="38" max="38" width="7.25" style="38" bestFit="1" customWidth="1"/>
    <col min="39" max="39" width="9" style="38"/>
    <col min="40" max="40" width="8.375" style="38" customWidth="1"/>
    <col min="41" max="41" width="9" style="38" bestFit="1" customWidth="1"/>
    <col min="42" max="42" width="7.625" style="38" customWidth="1"/>
    <col min="43" max="43" width="6.75" style="38" bestFit="1" customWidth="1"/>
    <col min="44" max="16384" width="9" style="38"/>
  </cols>
  <sheetData>
    <row r="1" spans="1:44">
      <c r="E1" s="71">
        <v>30000</v>
      </c>
      <c r="F1" s="68">
        <v>0.1</v>
      </c>
      <c r="S1" s="39" t="s">
        <v>159</v>
      </c>
      <c r="AB1" s="39" t="s">
        <v>17</v>
      </c>
      <c r="AC1" s="42">
        <v>2.1000000000000001E-2</v>
      </c>
      <c r="AJ1" s="39" t="s">
        <v>160</v>
      </c>
    </row>
    <row r="2" spans="1:44" s="39" customFormat="1">
      <c r="A2" s="39" t="s">
        <v>80</v>
      </c>
      <c r="B2" s="39" t="s">
        <v>81</v>
      </c>
      <c r="C2" s="39" t="s">
        <v>0</v>
      </c>
      <c r="D2" s="39" t="s">
        <v>85</v>
      </c>
      <c r="E2" s="39" t="s">
        <v>120</v>
      </c>
      <c r="F2" s="39" t="s">
        <v>99</v>
      </c>
      <c r="G2" s="39" t="s">
        <v>95</v>
      </c>
      <c r="H2" s="39" t="s">
        <v>100</v>
      </c>
      <c r="I2" s="39" t="s">
        <v>164</v>
      </c>
      <c r="J2" s="39" t="s">
        <v>163</v>
      </c>
      <c r="K2" s="39" t="s">
        <v>116</v>
      </c>
      <c r="L2" s="39" t="s">
        <v>161</v>
      </c>
      <c r="M2" s="39" t="s">
        <v>101</v>
      </c>
      <c r="N2" s="39" t="s">
        <v>76</v>
      </c>
      <c r="O2" s="39" t="s">
        <v>71</v>
      </c>
      <c r="T2" s="39" t="s">
        <v>79</v>
      </c>
      <c r="U2" s="39" t="s">
        <v>120</v>
      </c>
      <c r="V2" s="39" t="s">
        <v>99</v>
      </c>
      <c r="W2" s="39" t="s">
        <v>95</v>
      </c>
      <c r="X2" s="39" t="s">
        <v>100</v>
      </c>
      <c r="Y2" s="39" t="s">
        <v>162</v>
      </c>
      <c r="Z2" s="39" t="s">
        <v>76</v>
      </c>
      <c r="AB2" s="39" t="s">
        <v>120</v>
      </c>
      <c r="AC2" s="39" t="s">
        <v>99</v>
      </c>
      <c r="AD2" s="39" t="s">
        <v>95</v>
      </c>
      <c r="AE2" s="39" t="s">
        <v>100</v>
      </c>
      <c r="AF2" s="39" t="s">
        <v>162</v>
      </c>
      <c r="AG2" s="39" t="s">
        <v>76</v>
      </c>
      <c r="AK2" s="39" t="s">
        <v>114</v>
      </c>
      <c r="AL2" s="39" t="s">
        <v>129</v>
      </c>
      <c r="AM2" s="39" t="s">
        <v>98</v>
      </c>
      <c r="AN2" s="39" t="s">
        <v>93</v>
      </c>
      <c r="AO2" s="39" t="s">
        <v>100</v>
      </c>
      <c r="AP2" s="39" t="s">
        <v>162</v>
      </c>
      <c r="AQ2" s="39" t="s">
        <v>102</v>
      </c>
    </row>
    <row r="3" spans="1:44">
      <c r="A3" s="38">
        <v>1</v>
      </c>
      <c r="B3" s="38">
        <v>1</v>
      </c>
      <c r="C3" s="38">
        <v>0</v>
      </c>
      <c r="D3" s="73">
        <f>C4-C3</f>
        <v>1.3888888888888889E-3</v>
      </c>
      <c r="E3" s="69">
        <v>0.15</v>
      </c>
      <c r="F3" s="70">
        <v>0</v>
      </c>
      <c r="G3" s="70">
        <v>0</v>
      </c>
      <c r="H3" s="76">
        <v>0</v>
      </c>
      <c r="I3" s="38">
        <f>$E$1*$F$1*SUM($F$3:$F3)*(1-SUM(G2:G$3))</f>
        <v>0</v>
      </c>
      <c r="J3" s="38">
        <f>I3*H3</f>
        <v>0</v>
      </c>
      <c r="K3" s="78"/>
      <c r="L3" s="74">
        <v>0</v>
      </c>
      <c r="M3" s="65">
        <f>$J3*$L3</f>
        <v>0</v>
      </c>
      <c r="N3" s="65">
        <f>SUM(M$3:M3)/$E$1</f>
        <v>0</v>
      </c>
      <c r="O3" s="40"/>
      <c r="P3" s="40"/>
      <c r="Q3" s="40"/>
      <c r="R3" s="65"/>
      <c r="S3" s="65" t="s">
        <v>103</v>
      </c>
      <c r="T3" s="38">
        <v>9</v>
      </c>
      <c r="U3" s="75">
        <f>SUMIF($A$3:$A$32,"&lt;"&amp;$T3,E$3:E$32)</f>
        <v>0.68000000000000016</v>
      </c>
      <c r="V3" s="75">
        <f>SUMIF($A$3:$A$32,"&lt;"&amp;$T3,F$3:F$32)</f>
        <v>0.8</v>
      </c>
      <c r="W3" s="75">
        <f>SUMIF($A$3:$A$32,"&lt;"&amp;$T3,G$3:G$32)</f>
        <v>0.42000000000000004</v>
      </c>
      <c r="X3" s="65">
        <f>(SUMIF($A$3:$A$32,"&lt;"&amp;$T3,J$3:J$32)-0)/($E$1*$F$1*$V3*(1-0))</f>
        <v>1.7064250000000001</v>
      </c>
      <c r="Y3" s="77">
        <f>SUMIF($A$3:$A$32,"&lt;"&amp;$T3,M$3:M$32)/SUMIF($A$3:$A$32,"&lt;"&amp;$T3,J$3:J$32)</f>
        <v>1.1992469636813807</v>
      </c>
      <c r="Z3" s="77">
        <f>INDEX($N$3:$N$32,T3,1)</f>
        <v>0.21359399999999998</v>
      </c>
      <c r="AB3" s="40">
        <v>0.78900000000000003</v>
      </c>
      <c r="AC3" s="40">
        <v>0.35799999999999998</v>
      </c>
      <c r="AD3" s="40">
        <v>0.126</v>
      </c>
      <c r="AE3" s="65">
        <v>2.177584746</v>
      </c>
      <c r="AF3" s="40"/>
      <c r="AG3" s="77">
        <v>8.8061477999999999E-2</v>
      </c>
      <c r="AH3" s="77">
        <v>0.15</v>
      </c>
      <c r="AJ3" s="65" t="str">
        <f>'0.6.5'!S3</f>
        <v>D0</v>
      </c>
      <c r="AK3" s="38">
        <f>'0.6.5'!T3</f>
        <v>7</v>
      </c>
      <c r="AL3" s="40">
        <f>'0.6.5'!U3</f>
        <v>0.64939024390243905</v>
      </c>
      <c r="AM3" s="40">
        <f>'0.6.5'!V3</f>
        <v>0.83636363636363631</v>
      </c>
      <c r="AN3" s="40">
        <f>'0.6.5'!W3</f>
        <v>0.27636363636363637</v>
      </c>
      <c r="AO3" s="65">
        <f>'0.6.5'!X3</f>
        <v>1.3676768278584932</v>
      </c>
      <c r="AP3" s="77">
        <v>3.3604101956149992</v>
      </c>
      <c r="AQ3" s="77">
        <f>'0.6.5'!Z3</f>
        <v>0.43845026374480894</v>
      </c>
    </row>
    <row r="4" spans="1:44">
      <c r="A4" s="38">
        <v>2</v>
      </c>
      <c r="B4" s="38">
        <v>2</v>
      </c>
      <c r="C4" s="38">
        <f>2/(60*24)</f>
        <v>1.3888888888888889E-3</v>
      </c>
      <c r="D4" s="73">
        <f t="shared" ref="D4:D32" si="0">C5-C4</f>
        <v>2.0833333333333329E-3</v>
      </c>
      <c r="E4" s="69">
        <v>0.13</v>
      </c>
      <c r="F4" s="70">
        <v>0</v>
      </c>
      <c r="G4" s="70">
        <v>0</v>
      </c>
      <c r="H4" s="76">
        <v>0</v>
      </c>
      <c r="I4" s="38">
        <f>$E$1*$F$1*SUM($F$3:$F4)*(1-SUM(G3:G$3))</f>
        <v>0</v>
      </c>
      <c r="J4" s="38">
        <f>I4*H4</f>
        <v>0</v>
      </c>
      <c r="K4" s="78"/>
      <c r="L4" s="74">
        <v>0</v>
      </c>
      <c r="M4" s="65">
        <f t="shared" ref="M4:M32" si="1">$J4*$L4</f>
        <v>0</v>
      </c>
      <c r="N4" s="65">
        <f>SUM(M$3:M4)/$E$1</f>
        <v>0</v>
      </c>
      <c r="O4" s="40"/>
      <c r="P4" s="40"/>
      <c r="Q4" s="40"/>
      <c r="R4" s="65"/>
      <c r="S4" s="65" t="s">
        <v>104</v>
      </c>
      <c r="T4" s="38">
        <v>12</v>
      </c>
      <c r="U4" s="75">
        <f>SUMIF($A$3:$A$32,"&lt;"&amp;$T4,E$3:E$32)</f>
        <v>0.74000000000000021</v>
      </c>
      <c r="V4" s="75">
        <f>SUMIF($A$3:$A$32,"&lt;"&amp;$T4,F$3:F$32)</f>
        <v>0.91000000000000014</v>
      </c>
      <c r="W4" s="75">
        <f>SUMIF($A$3:$A$32,"&lt;"&amp;$T4,G$3:G$32)</f>
        <v>0.64999999999999991</v>
      </c>
      <c r="X4" s="65">
        <f>(SUMIF($A$3:$A$32,"&lt;"&amp;$T4,J$3:J$32)-SUMIF($A$3:$A$32,"&lt;"&amp;$T3,J$3:J$32))/($E$1*$F$1*$V4*(1-W3))</f>
        <v>1.2437476316786664</v>
      </c>
      <c r="Y4" s="77">
        <f t="shared" ref="Y4:Y14" si="2">SUMIF($A$3:$A$32,"&lt;"&amp;$T4,M$3:M$32)/SUMIF($A$3:$A$32,"&lt;"&amp;$T4,J$3:J$32)</f>
        <v>1.5054066353711681</v>
      </c>
      <c r="Z4" s="77">
        <f>INDEX($N$3:$N$32,T4,1)</f>
        <v>0.3454565</v>
      </c>
      <c r="AB4" s="40">
        <v>0.86</v>
      </c>
      <c r="AC4" s="40">
        <v>0.55299999999999994</v>
      </c>
      <c r="AD4" s="40">
        <v>0.16400000000000003</v>
      </c>
      <c r="AE4" s="65">
        <v>1.5428639049999999</v>
      </c>
      <c r="AF4" s="40"/>
      <c r="AG4" s="77">
        <v>0.18109903499999999</v>
      </c>
      <c r="AH4" s="77">
        <v>0.24</v>
      </c>
      <c r="AJ4" s="65" t="str">
        <f>'0.6.5'!S4</f>
        <v>D1</v>
      </c>
      <c r="AK4" s="38">
        <f>'0.6.5'!T4</f>
        <v>8</v>
      </c>
      <c r="AL4" s="40">
        <f>'0.6.5'!U4</f>
        <v>0.74542682926829273</v>
      </c>
      <c r="AM4" s="40">
        <f>'0.6.5'!V4</f>
        <v>0.88727272727272721</v>
      </c>
      <c r="AN4" s="40">
        <f>'0.6.5'!W4</f>
        <v>0.39636363636363636</v>
      </c>
      <c r="AO4" s="65">
        <f>'0.6.5'!X4</f>
        <v>0.14078024067012435</v>
      </c>
      <c r="AP4" s="77">
        <v>3.3896172921262901</v>
      </c>
      <c r="AQ4" s="77">
        <f>'0.6.5'!Z4</f>
        <v>0.50261624827810958</v>
      </c>
    </row>
    <row r="5" spans="1:44" ht="16.5">
      <c r="A5" s="38">
        <v>3</v>
      </c>
      <c r="B5" s="38">
        <v>3</v>
      </c>
      <c r="C5" s="38">
        <f>5/(60*24)</f>
        <v>3.472222222222222E-3</v>
      </c>
      <c r="D5" s="73">
        <f t="shared" si="0"/>
        <v>3.472222222222222E-3</v>
      </c>
      <c r="E5" s="69">
        <v>0.12</v>
      </c>
      <c r="F5" s="70">
        <v>0.45</v>
      </c>
      <c r="G5" s="70">
        <v>0.03</v>
      </c>
      <c r="H5" s="76">
        <v>1</v>
      </c>
      <c r="I5" s="38">
        <f>$E$1*$F$1*SUM($F$3:$F5)*(1-SUM(G$3:G4))</f>
        <v>1350</v>
      </c>
      <c r="J5" s="38">
        <f>I5*H5</f>
        <v>1350</v>
      </c>
      <c r="K5" s="78"/>
      <c r="L5" s="74">
        <v>1</v>
      </c>
      <c r="M5" s="65">
        <f t="shared" si="1"/>
        <v>1350</v>
      </c>
      <c r="N5" s="65">
        <f>SUM(M$3:M5)/$E$1</f>
        <v>4.4999999999999998E-2</v>
      </c>
      <c r="O5" s="40"/>
      <c r="P5" s="40"/>
      <c r="Q5" s="40"/>
      <c r="R5" s="65"/>
      <c r="S5" s="65" t="s">
        <v>121</v>
      </c>
      <c r="T5" s="38">
        <v>14</v>
      </c>
      <c r="U5" s="75">
        <f>SUMIF($A$3:$A$32,"&lt;"&amp;$T5,E$3:E$32)</f>
        <v>0.78000000000000025</v>
      </c>
      <c r="V5" s="75">
        <f>SUMIF($A$3:$A$32,"&lt;"&amp;$T5,F$3:F$32)</f>
        <v>0.96000000000000019</v>
      </c>
      <c r="W5" s="75">
        <f>SUMIF($A$3:$A$32,"&lt;"&amp;$T5,G$3:G$32)</f>
        <v>0.74</v>
      </c>
      <c r="X5" s="65">
        <f t="shared" ref="X5:X14" si="3">(SUMIF($A$3:$A$32,"&lt;"&amp;$T5,J$3:J$32)-SUMIF($A$3:$A$32,"&lt;"&amp;$T4,J$3:J$32))/($E$1*$F$1*$V5*(1-W4))</f>
        <v>0.91815476190476153</v>
      </c>
      <c r="Y5" s="77">
        <f t="shared" si="2"/>
        <v>1.6679892193005419</v>
      </c>
      <c r="Z5" s="77">
        <f>INDEX($N$3:$N$32,T5,1)</f>
        <v>0.43935649999999998</v>
      </c>
      <c r="AB5" s="40">
        <v>0.88700000000000001</v>
      </c>
      <c r="AC5" s="40">
        <v>0.62799999999999989</v>
      </c>
      <c r="AD5" s="40">
        <v>0.19099999999999995</v>
      </c>
      <c r="AE5" s="65">
        <v>0.886387378</v>
      </c>
      <c r="AF5" s="40"/>
      <c r="AG5" s="77">
        <v>0.246726685</v>
      </c>
      <c r="AH5" s="77">
        <v>0.33</v>
      </c>
      <c r="AJ5" s="65" t="str">
        <f>'0.6.5'!S5</f>
        <v>D2</v>
      </c>
      <c r="AK5" s="38">
        <f>'0.6.5'!T5</f>
        <v>9</v>
      </c>
      <c r="AL5" s="40">
        <f>'0.6.5'!U5</f>
        <v>0.85823170731707321</v>
      </c>
      <c r="AM5" s="40">
        <f>'0.6.5'!V5</f>
        <v>0.93818181818181812</v>
      </c>
      <c r="AN5" s="40">
        <f>'0.6.5'!W5</f>
        <v>0.5636363636363636</v>
      </c>
      <c r="AO5" s="65">
        <f>'0.6.5'!X5</f>
        <v>0.17868261315823455</v>
      </c>
      <c r="AP5" s="77">
        <v>3.5912486020310888</v>
      </c>
      <c r="AQ5" s="77">
        <f>'0.6.5'!Z5</f>
        <v>0.58755798932089875</v>
      </c>
    </row>
    <row r="6" spans="1:44">
      <c r="A6" s="38">
        <v>4</v>
      </c>
      <c r="B6" s="38">
        <v>4</v>
      </c>
      <c r="C6" s="38">
        <f>10/(60*24)</f>
        <v>6.9444444444444441E-3</v>
      </c>
      <c r="D6" s="73">
        <f t="shared" si="0"/>
        <v>1.3888888888888888E-2</v>
      </c>
      <c r="E6" s="69">
        <v>0.1</v>
      </c>
      <c r="F6" s="70">
        <v>0.15</v>
      </c>
      <c r="G6" s="70">
        <v>0.05</v>
      </c>
      <c r="H6" s="76">
        <v>0.5</v>
      </c>
      <c r="I6" s="38">
        <f>$E$1*$F$1*SUM($F$3:$F6)*(1-SUM(G$3:G5))</f>
        <v>1746</v>
      </c>
      <c r="J6" s="38">
        <f>I6*H6</f>
        <v>873</v>
      </c>
      <c r="K6" s="78"/>
      <c r="L6" s="74">
        <v>1</v>
      </c>
      <c r="M6" s="65">
        <f t="shared" si="1"/>
        <v>873</v>
      </c>
      <c r="N6" s="65">
        <f>SUM(M$3:M6)/$E$1</f>
        <v>7.4099999999999999E-2</v>
      </c>
      <c r="O6" s="40"/>
      <c r="P6" s="40"/>
      <c r="Q6" s="40"/>
      <c r="R6" s="65"/>
      <c r="S6" s="65" t="s">
        <v>106</v>
      </c>
      <c r="T6" s="38">
        <v>15</v>
      </c>
      <c r="U6" s="75">
        <f>SUMIF($A$3:$A$32,"&lt;"&amp;$T6,E$3:E$32)</f>
        <v>0.80000000000000027</v>
      </c>
      <c r="V6" s="75">
        <f>SUMIF($A$3:$A$32,"&lt;"&amp;$T6,F$3:F$32)</f>
        <v>0.9750000000000002</v>
      </c>
      <c r="W6" s="75">
        <f>SUMIF($A$3:$A$32,"&lt;"&amp;$T6,G$3:G$32)</f>
        <v>0.77</v>
      </c>
      <c r="X6" s="65">
        <f t="shared" si="3"/>
        <v>0.49999999999999994</v>
      </c>
      <c r="Y6" s="77">
        <f t="shared" si="2"/>
        <v>1.7882991973429281</v>
      </c>
      <c r="Z6" s="77">
        <f>INDEX($N$3:$N$32,T6,1)</f>
        <v>0.49599399999999999</v>
      </c>
      <c r="AB6" s="40">
        <v>0.90300000000000002</v>
      </c>
      <c r="AC6" s="40">
        <v>0.67799999999999994</v>
      </c>
      <c r="AD6" s="40">
        <v>0.22999999999999998</v>
      </c>
      <c r="AE6" s="65">
        <v>0.71213692900000003</v>
      </c>
      <c r="AF6" s="40"/>
      <c r="AG6" s="77">
        <v>0.313738972</v>
      </c>
      <c r="AH6" s="77">
        <v>0.42</v>
      </c>
      <c r="AJ6" s="65" t="str">
        <f>'0.6.5'!S6</f>
        <v>D3</v>
      </c>
      <c r="AK6" s="38">
        <f>'0.6.5'!T6</f>
        <v>10</v>
      </c>
      <c r="AL6" s="40">
        <f>'0.6.5'!U6</f>
        <v>0.93254573170731714</v>
      </c>
      <c r="AM6" s="40">
        <f>'0.6.5'!V6</f>
        <v>0.97818181818181815</v>
      </c>
      <c r="AN6" s="40">
        <f>'0.6.5'!W6</f>
        <v>0.72363636363636363</v>
      </c>
      <c r="AO6" s="65">
        <f>'0.6.5'!X6</f>
        <v>0.16785336387591737</v>
      </c>
      <c r="AP6" s="77">
        <v>3.9844040881831231</v>
      </c>
      <c r="AQ6" s="77">
        <f>'0.6.5'!Z6</f>
        <v>0.60948279076240708</v>
      </c>
    </row>
    <row r="7" spans="1:44" ht="16.5">
      <c r="A7" s="38">
        <v>5</v>
      </c>
      <c r="B7" s="38">
        <v>5</v>
      </c>
      <c r="C7" s="38">
        <f>30/(60*24)</f>
        <v>2.0833333333333332E-2</v>
      </c>
      <c r="D7" s="73">
        <f t="shared" si="0"/>
        <v>2.0833333333333332E-2</v>
      </c>
      <c r="E7" s="69">
        <v>7.0000000000000007E-2</v>
      </c>
      <c r="F7" s="70">
        <v>0.05</v>
      </c>
      <c r="G7" s="70">
        <v>7.0000000000000007E-2</v>
      </c>
      <c r="H7" s="76">
        <v>0.3</v>
      </c>
      <c r="I7" s="38">
        <f>$E$1*$F$1*SUM($F$3:$F7)*(1-SUM(G$3:G6))</f>
        <v>1794</v>
      </c>
      <c r="J7" s="38">
        <f>I7*H7</f>
        <v>538.19999999999993</v>
      </c>
      <c r="K7" s="78"/>
      <c r="L7" s="74">
        <v>1</v>
      </c>
      <c r="M7" s="65">
        <f t="shared" si="1"/>
        <v>538.19999999999993</v>
      </c>
      <c r="N7" s="65">
        <f>SUM(M$3:M7)/$E$1</f>
        <v>9.2039999999999997E-2</v>
      </c>
      <c r="P7" s="40"/>
      <c r="Q7" s="40"/>
      <c r="R7" s="65"/>
      <c r="S7" s="65" t="s">
        <v>122</v>
      </c>
      <c r="T7" s="38">
        <v>17</v>
      </c>
      <c r="U7" s="75">
        <f>SUMIF($A$3:$A$32,"&lt;"&amp;$T7,E$3:E$32)</f>
        <v>0.8400000000000003</v>
      </c>
      <c r="V7" s="75">
        <f>SUMIF($A$3:$A$32,"&lt;"&amp;$T7,F$3:F$32)</f>
        <v>0.99000000000000021</v>
      </c>
      <c r="W7" s="75">
        <f>SUMIF($A$3:$A$32,"&lt;"&amp;$T7,G$3:G$32)</f>
        <v>0.80900000000000005</v>
      </c>
      <c r="X7" s="65">
        <f t="shared" si="3"/>
        <v>0.95399648660518244</v>
      </c>
      <c r="Y7" s="77">
        <f t="shared" si="2"/>
        <v>2.1269453061163435</v>
      </c>
      <c r="Z7" s="77">
        <f>INDEX($N$3:$N$32,T7,1)</f>
        <v>0.64470059999999996</v>
      </c>
      <c r="AB7" s="40">
        <v>0.91200000000000003</v>
      </c>
      <c r="AC7" s="40">
        <v>0.71499999999999997</v>
      </c>
      <c r="AD7" s="40">
        <v>0.23399999999999999</v>
      </c>
      <c r="AE7" s="65">
        <v>0.66193749999999996</v>
      </c>
      <c r="AF7" s="40"/>
      <c r="AG7" s="77">
        <v>0.38378474499999998</v>
      </c>
      <c r="AH7" s="77">
        <v>0.51</v>
      </c>
      <c r="AJ7" s="65" t="str">
        <f>'0.6.5'!S7</f>
        <v>D4</v>
      </c>
      <c r="AK7" s="38">
        <f>'0.6.5'!T7</f>
        <v>11</v>
      </c>
      <c r="AL7" s="40">
        <f>'0.6.5'!U7</f>
        <v>0.96417682926829273</v>
      </c>
      <c r="AM7" s="40">
        <f>'0.6.5'!V7</f>
        <v>0.99272727272727268</v>
      </c>
      <c r="AN7" s="40">
        <f>'0.6.5'!W7</f>
        <v>0.83272727272727276</v>
      </c>
      <c r="AO7" s="65">
        <f>'0.6.5'!X7</f>
        <v>9.2048618899696344E-2</v>
      </c>
      <c r="AP7" s="77">
        <v>4.0602122960856279</v>
      </c>
      <c r="AQ7" s="77">
        <f>'0.6.5'!Z7</f>
        <v>0.61526337944760323</v>
      </c>
    </row>
    <row r="8" spans="1:44">
      <c r="A8" s="38">
        <v>6</v>
      </c>
      <c r="B8" s="38">
        <v>6</v>
      </c>
      <c r="C8" s="38">
        <f>60/(60*24)</f>
        <v>4.1666666666666664E-2</v>
      </c>
      <c r="D8" s="73">
        <f t="shared" si="0"/>
        <v>2.0833333333333336E-2</v>
      </c>
      <c r="E8" s="69">
        <v>0.05</v>
      </c>
      <c r="F8" s="70">
        <v>0.04</v>
      </c>
      <c r="G8" s="70">
        <v>0.08</v>
      </c>
      <c r="H8" s="76">
        <v>0.2</v>
      </c>
      <c r="I8" s="38">
        <f>$E$1*$F$1*SUM($F$3:$F8)*(1-SUM(G$3:G7))</f>
        <v>1759.5</v>
      </c>
      <c r="J8" s="38">
        <f>I8*H8</f>
        <v>351.90000000000003</v>
      </c>
      <c r="K8" s="78"/>
      <c r="L8" s="74">
        <v>1</v>
      </c>
      <c r="M8" s="65">
        <f t="shared" si="1"/>
        <v>351.90000000000003</v>
      </c>
      <c r="N8" s="65">
        <f>SUM(M$3:M8)/$E$1</f>
        <v>0.10377</v>
      </c>
      <c r="P8" s="40"/>
      <c r="Q8" s="40"/>
      <c r="R8" s="65"/>
      <c r="S8" s="65" t="s">
        <v>113</v>
      </c>
      <c r="T8" s="38">
        <v>18</v>
      </c>
      <c r="U8" s="75">
        <f>SUMIF($A$3:$A$32,"&lt;"&amp;$T8,E$3:E$32)</f>
        <v>0.86000000000000032</v>
      </c>
      <c r="V8" s="75">
        <f>SUMIF($A$3:$A$32,"&lt;"&amp;$T8,F$3:F$32)</f>
        <v>0.99400000000000022</v>
      </c>
      <c r="W8" s="75">
        <f>SUMIF($A$3:$A$32,"&lt;"&amp;$T8,G$3:G$32)</f>
        <v>0.82700000000000007</v>
      </c>
      <c r="X8" s="65">
        <f t="shared" si="3"/>
        <v>0.5</v>
      </c>
      <c r="Y8" s="77">
        <f t="shared" si="2"/>
        <v>2.3282862500144454</v>
      </c>
      <c r="Z8" s="77">
        <f>INDEX($N$3:$N$32,T8,1)</f>
        <v>0.7481892</v>
      </c>
      <c r="AB8" s="40">
        <v>0.91900000000000004</v>
      </c>
      <c r="AC8" s="40">
        <v>0.74299999999999999</v>
      </c>
      <c r="AD8" s="40">
        <v>0.24299999999999999</v>
      </c>
      <c r="AE8" s="65">
        <v>0.46230158700000001</v>
      </c>
      <c r="AF8" s="40"/>
      <c r="AG8" s="77">
        <v>0.43510601100000001</v>
      </c>
      <c r="AH8" s="77">
        <v>0.6</v>
      </c>
      <c r="AJ8" s="65" t="str">
        <f>'0.6.5'!S8</f>
        <v>D5</v>
      </c>
      <c r="AK8" s="38">
        <f>'0.6.5'!T8</f>
        <v>12</v>
      </c>
      <c r="AL8" s="40">
        <f>'0.6.5'!U8</f>
        <v>0.98018292682926833</v>
      </c>
      <c r="AM8" s="40">
        <f>'0.6.5'!V8</f>
        <v>1</v>
      </c>
      <c r="AN8" s="40">
        <f>'0.6.5'!W8</f>
        <v>0.89818181818181819</v>
      </c>
      <c r="AO8" s="65">
        <f>'0.6.5'!X8</f>
        <v>5.4146246411586461E-2</v>
      </c>
      <c r="AP8" s="77">
        <v>4.0729665532748029</v>
      </c>
      <c r="AQ8" s="77">
        <f>'0.6.5'!Z8</f>
        <v>0.61901195110073204</v>
      </c>
    </row>
    <row r="9" spans="1:44" ht="16.5">
      <c r="A9" s="38">
        <v>7</v>
      </c>
      <c r="B9" s="38">
        <v>7</v>
      </c>
      <c r="C9" s="38">
        <f>90/(60*24)</f>
        <v>6.25E-2</v>
      </c>
      <c r="D9" s="73">
        <f t="shared" si="0"/>
        <v>0.27083333333333331</v>
      </c>
      <c r="E9" s="69">
        <v>0.03</v>
      </c>
      <c r="F9" s="70">
        <v>0.03</v>
      </c>
      <c r="G9" s="70">
        <v>0.09</v>
      </c>
      <c r="H9" s="76">
        <v>0.1</v>
      </c>
      <c r="I9" s="38">
        <f>$E$1*$F$1*SUM($F$3:$F9)*(1-SUM(G$3:G8))</f>
        <v>1663.2000000000005</v>
      </c>
      <c r="J9" s="38">
        <f>I9*H9</f>
        <v>166.32000000000005</v>
      </c>
      <c r="K9" s="78"/>
      <c r="L9" s="74">
        <v>1</v>
      </c>
      <c r="M9" s="65">
        <f t="shared" si="1"/>
        <v>166.32000000000005</v>
      </c>
      <c r="N9" s="65">
        <f>SUM(M$3:M9)/$E$1</f>
        <v>0.10931400000000001</v>
      </c>
      <c r="P9" s="40"/>
      <c r="R9" s="65"/>
      <c r="S9" s="65" t="s">
        <v>123</v>
      </c>
      <c r="T9" s="38">
        <v>19</v>
      </c>
      <c r="U9" s="75">
        <f>SUMIF($A$3:$A$32,"&lt;"&amp;$T9,E$3:E$32)</f>
        <v>0.87000000000000033</v>
      </c>
      <c r="V9" s="75">
        <f>SUMIF($A$3:$A$32,"&lt;"&amp;$T9,F$3:F$32)</f>
        <v>0.99700000000000022</v>
      </c>
      <c r="W9" s="75">
        <f>SUMIF($A$3:$A$32,"&lt;"&amp;$T9,G$3:G$32)</f>
        <v>0.84400000000000008</v>
      </c>
      <c r="X9" s="65">
        <f t="shared" si="3"/>
        <v>0.49999999999999944</v>
      </c>
      <c r="Y9" s="77">
        <f t="shared" si="2"/>
        <v>2.6204142744942835</v>
      </c>
      <c r="Z9" s="77">
        <f>INDEX($N$3:$N$32,T9,1)</f>
        <v>0.85961765999999984</v>
      </c>
      <c r="AB9" s="40">
        <v>0.92500000000000004</v>
      </c>
      <c r="AC9" s="40">
        <v>0.76800000000000002</v>
      </c>
      <c r="AD9" s="40">
        <v>0.25</v>
      </c>
      <c r="AE9" s="65">
        <v>0.61358036599999999</v>
      </c>
      <c r="AF9" s="40"/>
      <c r="AG9" s="77">
        <v>0.50293091899999998</v>
      </c>
      <c r="AH9" s="77">
        <v>0.68</v>
      </c>
      <c r="AJ9" s="65" t="str">
        <f>'0.6.5'!S9</f>
        <v>D6</v>
      </c>
      <c r="AK9" s="38">
        <f>'0.6.5'!T9</f>
        <v>13</v>
      </c>
      <c r="AL9" s="40">
        <f>'0.6.5'!U9</f>
        <v>0.98628048780487809</v>
      </c>
      <c r="AM9" s="40">
        <f>'0.6.5'!V9</f>
        <v>1</v>
      </c>
      <c r="AN9" s="40">
        <f>'0.6.5'!W9</f>
        <v>0.94545454545454544</v>
      </c>
      <c r="AO9" s="65">
        <f>'0.6.5'!X9</f>
        <v>6.4975495693903207E-2</v>
      </c>
      <c r="AP9" s="77">
        <v>4.0790598939219622</v>
      </c>
      <c r="AQ9" s="77">
        <f>'0.6.5'!Z9</f>
        <v>0.61904259354450131</v>
      </c>
    </row>
    <row r="10" spans="1:44">
      <c r="A10" s="38">
        <v>8</v>
      </c>
      <c r="B10" s="38">
        <v>8</v>
      </c>
      <c r="C10" s="38">
        <f>8/24</f>
        <v>0.33333333333333331</v>
      </c>
      <c r="D10" s="73">
        <f t="shared" si="0"/>
        <v>0.36666666666666664</v>
      </c>
      <c r="E10" s="69">
        <v>0.03</v>
      </c>
      <c r="F10" s="70">
        <v>0.08</v>
      </c>
      <c r="G10" s="70">
        <v>0.1</v>
      </c>
      <c r="H10" s="76">
        <v>0.5</v>
      </c>
      <c r="I10" s="38">
        <f>$E$1*$F$1*SUM($F$3:$F10)*(1-SUM(G$3:G9))</f>
        <v>1631.9999999999998</v>
      </c>
      <c r="J10" s="38">
        <f>I10*H10</f>
        <v>815.99999999999989</v>
      </c>
      <c r="K10" s="78"/>
      <c r="L10" s="74">
        <v>2</v>
      </c>
      <c r="M10" s="65">
        <f t="shared" si="1"/>
        <v>1631.9999999999998</v>
      </c>
      <c r="N10" s="65">
        <f>SUM(M$3:M10)/$E$1</f>
        <v>0.163714</v>
      </c>
      <c r="O10" s="38" t="s">
        <v>103</v>
      </c>
      <c r="P10" s="40"/>
      <c r="R10" s="65"/>
      <c r="S10" s="65" t="s">
        <v>110</v>
      </c>
      <c r="T10" s="38">
        <v>20</v>
      </c>
      <c r="U10" s="75">
        <f>SUMIF($A$3:$A$32,"&lt;"&amp;$T10,E$3:E$32)</f>
        <v>0.87900000000000034</v>
      </c>
      <c r="V10" s="75">
        <f>SUMIF($A$3:$A$32,"&lt;"&amp;$T10,F$3:F$32)</f>
        <v>0.99900000000000022</v>
      </c>
      <c r="W10" s="75">
        <f>SUMIF($A$3:$A$32,"&lt;"&amp;$T10,G$3:G$32)</f>
        <v>0.8600000000000001</v>
      </c>
      <c r="X10" s="65">
        <f t="shared" si="3"/>
        <v>0.49999999999999939</v>
      </c>
      <c r="Y10" s="77">
        <f t="shared" si="2"/>
        <v>2.9306934223887624</v>
      </c>
      <c r="Z10" s="77">
        <f>INDEX($N$3:$N$32,T10,1)</f>
        <v>0.95369765999999978</v>
      </c>
      <c r="AB10" s="40">
        <v>0.93199999999999994</v>
      </c>
      <c r="AC10" s="40">
        <v>0.78900000000000003</v>
      </c>
      <c r="AD10" s="40">
        <v>0.27700000000000002</v>
      </c>
      <c r="AE10" s="65">
        <v>0.46570759099999998</v>
      </c>
      <c r="AF10" s="40"/>
      <c r="AG10" s="77">
        <v>0.55965967400000005</v>
      </c>
      <c r="AH10" s="77">
        <v>0.76</v>
      </c>
      <c r="AJ10" s="65" t="str">
        <f>'0.6.5'!S10</f>
        <v>D7</v>
      </c>
      <c r="AK10" s="38">
        <f>'0.6.5'!T10</f>
        <v>14</v>
      </c>
      <c r="AL10" s="40">
        <f>'0.6.5'!U10</f>
        <v>0.99275914634146345</v>
      </c>
      <c r="AM10" s="40">
        <f>'0.6.5'!V10</f>
        <v>1</v>
      </c>
      <c r="AN10" s="40">
        <f>'0.6.5'!W10</f>
        <v>0.97454545454545449</v>
      </c>
      <c r="AO10" s="65">
        <f>'0.6.5'!X10</f>
        <v>5.4146246411578194E-3</v>
      </c>
      <c r="AP10" s="77">
        <v>4.0784299715831356</v>
      </c>
      <c r="AQ10" s="77">
        <f>'0.6.5'!Z10</f>
        <v>0.61911467034994638</v>
      </c>
    </row>
    <row r="11" spans="1:44" s="55" customFormat="1">
      <c r="A11" s="55">
        <v>9</v>
      </c>
      <c r="B11" s="55">
        <v>9</v>
      </c>
      <c r="C11" s="55">
        <v>0.7</v>
      </c>
      <c r="D11" s="67">
        <f t="shared" si="0"/>
        <v>0.40000000000000013</v>
      </c>
      <c r="E11" s="69">
        <v>0.02</v>
      </c>
      <c r="F11" s="70">
        <v>0.06</v>
      </c>
      <c r="G11" s="70">
        <v>0.09</v>
      </c>
      <c r="H11" s="76">
        <v>0.5</v>
      </c>
      <c r="I11" s="38">
        <f>$E$1*$F$1*SUM($F$3:$F11)*(1-SUM(G$3:G10))</f>
        <v>1496.4</v>
      </c>
      <c r="J11" s="38">
        <f>I11*H11</f>
        <v>748.2</v>
      </c>
      <c r="K11" s="78"/>
      <c r="L11" s="74">
        <v>2</v>
      </c>
      <c r="M11" s="65">
        <f t="shared" si="1"/>
        <v>1496.4</v>
      </c>
      <c r="N11" s="65">
        <f>SUM(M$3:M11)/$E$1</f>
        <v>0.21359399999999998</v>
      </c>
      <c r="O11" s="38"/>
      <c r="P11" s="40"/>
      <c r="Q11" s="38"/>
      <c r="R11" s="65"/>
      <c r="S11" s="65" t="s">
        <v>115</v>
      </c>
      <c r="T11" s="55">
        <v>24</v>
      </c>
      <c r="U11" s="75">
        <f>SUMIF($A$3:$A$32,"&lt;"&amp;$T11,E$3:E$32)</f>
        <v>0.90500000000000036</v>
      </c>
      <c r="V11" s="75">
        <f>SUMIF($A$3:$A$32,"&lt;"&amp;$T11,F$3:F$32)</f>
        <v>1.0000000000000002</v>
      </c>
      <c r="W11" s="75">
        <f>SUMIF($A$3:$A$32,"&lt;"&amp;$T11,G$3:G$32)</f>
        <v>0.91400000000000015</v>
      </c>
      <c r="X11" s="65">
        <f t="shared" si="3"/>
        <v>1.3542857142857176</v>
      </c>
      <c r="Y11" s="77">
        <f t="shared" si="2"/>
        <v>4.0613300213001029</v>
      </c>
      <c r="Z11" s="77">
        <f>INDEX($N$3:$N$32,T11,1)</f>
        <v>1.4058536599999991</v>
      </c>
      <c r="AA11" s="38"/>
      <c r="AB11" s="40">
        <f>1-0.049</f>
        <v>0.95099999999999996</v>
      </c>
      <c r="AC11" s="40">
        <v>0.88300000000000001</v>
      </c>
      <c r="AD11" s="40">
        <v>0.36499999999999999</v>
      </c>
      <c r="AE11" s="65">
        <v>2.83</v>
      </c>
      <c r="AF11" s="40"/>
      <c r="AG11" s="77">
        <v>0.92</v>
      </c>
      <c r="AH11" s="77">
        <v>1.26</v>
      </c>
      <c r="AJ11" s="65" t="str">
        <f>'0.6.5'!S11</f>
        <v>D15</v>
      </c>
      <c r="AK11" s="38">
        <f>'0.6.5'!T11</f>
        <v>24</v>
      </c>
      <c r="AL11" s="40">
        <f>'0.6.5'!U11</f>
        <v>1</v>
      </c>
      <c r="AM11" s="40">
        <f>'0.6.5'!V11</f>
        <v>1</v>
      </c>
      <c r="AN11" s="40">
        <f>'0.6.5'!W11</f>
        <v>1</v>
      </c>
      <c r="AO11" s="65">
        <f>'0.6.5'!X11</f>
        <v>0</v>
      </c>
      <c r="AP11" s="77">
        <v>4.0785167109350162</v>
      </c>
      <c r="AQ11" s="77">
        <f>'0.6.5'!Z11</f>
        <v>0.61911467034994638</v>
      </c>
      <c r="AR11" s="38"/>
    </row>
    <row r="12" spans="1:44" s="55" customFormat="1">
      <c r="A12" s="55">
        <v>10</v>
      </c>
      <c r="B12" s="55">
        <v>11</v>
      </c>
      <c r="C12" s="55">
        <v>1.1000000000000001</v>
      </c>
      <c r="D12" s="67">
        <f t="shared" si="0"/>
        <v>0.39999999999999991</v>
      </c>
      <c r="E12" s="69">
        <v>0.02</v>
      </c>
      <c r="F12" s="70">
        <v>0.04</v>
      </c>
      <c r="G12" s="70">
        <v>0.08</v>
      </c>
      <c r="H12" s="76">
        <v>0.5</v>
      </c>
      <c r="I12" s="38">
        <f>$E$1*$F$1*SUM($F$3:$F12)*(1-SUM(G$3:G11))</f>
        <v>1323.0000000000002</v>
      </c>
      <c r="J12" s="38">
        <f>I12*H12</f>
        <v>661.50000000000011</v>
      </c>
      <c r="K12" s="78"/>
      <c r="L12" s="74">
        <v>2</v>
      </c>
      <c r="M12" s="65">
        <f t="shared" si="1"/>
        <v>1323.0000000000002</v>
      </c>
      <c r="N12" s="65">
        <f>SUM(M$3:M12)/$E$1</f>
        <v>0.25769399999999998</v>
      </c>
      <c r="P12" s="40"/>
      <c r="Q12" s="38"/>
      <c r="R12" s="65"/>
      <c r="S12" s="65" t="s">
        <v>117</v>
      </c>
      <c r="T12" s="55">
        <v>28</v>
      </c>
      <c r="U12" s="75">
        <f>SUMIF($A$3:$A$32,"&lt;"&amp;$T12,E$3:E$32)</f>
        <v>0.91500000000000037</v>
      </c>
      <c r="V12" s="75">
        <f>SUMIF($A$3:$A$32,"&lt;"&amp;$T12,F$3:F$32)</f>
        <v>1.0000000000000002</v>
      </c>
      <c r="W12" s="75">
        <f>SUMIF($A$3:$A$32,"&lt;"&amp;$T12,G$3:G$32)</f>
        <v>0.95700000000000007</v>
      </c>
      <c r="X12" s="65">
        <f t="shared" si="3"/>
        <v>1.2883720930232634</v>
      </c>
      <c r="Y12" s="77">
        <f t="shared" si="2"/>
        <v>6.5980321655317633</v>
      </c>
      <c r="Z12" s="77">
        <f>INDEX($N$3:$N$32,T12,1)</f>
        <v>2.4775096599999982</v>
      </c>
      <c r="AA12" s="38"/>
      <c r="AB12" s="40">
        <f>1-0.031</f>
        <v>0.96899999999999997</v>
      </c>
      <c r="AC12" s="40">
        <v>0.94100000000000006</v>
      </c>
      <c r="AD12" s="40">
        <v>0.50700000000000001</v>
      </c>
      <c r="AE12" s="65">
        <v>4.2300000000000004</v>
      </c>
      <c r="AF12" s="40"/>
      <c r="AG12" s="77">
        <v>1.49</v>
      </c>
      <c r="AH12" s="77">
        <v>2.14</v>
      </c>
      <c r="AJ12" s="65" t="str">
        <f>'0.6.5'!S12</f>
        <v>D30</v>
      </c>
      <c r="AK12" s="38">
        <f>'0.6.5'!T12</f>
        <v>28</v>
      </c>
      <c r="AL12" s="40">
        <f>'0.6.5'!U12</f>
        <v>1</v>
      </c>
      <c r="AM12" s="40">
        <f>'0.6.5'!V12</f>
        <v>1</v>
      </c>
      <c r="AN12" s="40">
        <f>'0.6.5'!W12</f>
        <v>1</v>
      </c>
      <c r="AO12" s="65">
        <f>'0.6.5'!X12</f>
        <v>0</v>
      </c>
      <c r="AP12" s="77">
        <v>4.0785167109350162</v>
      </c>
      <c r="AQ12" s="77">
        <f>'0.6.5'!Z12</f>
        <v>0.61911467034994638</v>
      </c>
      <c r="AR12" s="38"/>
    </row>
    <row r="13" spans="1:44" s="55" customFormat="1">
      <c r="A13" s="55">
        <v>11</v>
      </c>
      <c r="B13" s="55">
        <v>12</v>
      </c>
      <c r="C13" s="55">
        <v>1.5</v>
      </c>
      <c r="D13" s="67">
        <f t="shared" si="0"/>
        <v>0.5</v>
      </c>
      <c r="E13" s="69">
        <v>0.02</v>
      </c>
      <c r="F13" s="70">
        <v>0.01</v>
      </c>
      <c r="G13" s="70">
        <v>0.06</v>
      </c>
      <c r="H13" s="76">
        <v>0.5</v>
      </c>
      <c r="I13" s="38">
        <f>$E$1*$F$1*SUM($F$3:$F13)*(1-SUM(G$3:G12))</f>
        <v>1119.3000000000002</v>
      </c>
      <c r="J13" s="38">
        <f>I13*H13</f>
        <v>559.65000000000009</v>
      </c>
      <c r="K13" s="78"/>
      <c r="L13" s="74">
        <v>2.5</v>
      </c>
      <c r="M13" s="65">
        <f t="shared" si="1"/>
        <v>1399.1250000000002</v>
      </c>
      <c r="N13" s="65">
        <f>SUM(M$3:M13)/$E$1</f>
        <v>0.30433149999999998</v>
      </c>
      <c r="O13" s="38" t="s">
        <v>104</v>
      </c>
      <c r="P13" s="40"/>
      <c r="Q13" s="38"/>
      <c r="R13" s="65"/>
      <c r="S13" s="65" t="s">
        <v>118</v>
      </c>
      <c r="T13" s="55">
        <v>29</v>
      </c>
      <c r="U13" s="75">
        <f>SUMIF($A$3:$A$32,"&lt;"&amp;$T13,E$3:E$32)</f>
        <v>0.91600000000000037</v>
      </c>
      <c r="V13" s="75">
        <f>SUMIF($A$3:$A$32,"&lt;"&amp;$T13,F$3:F$32)</f>
        <v>1.0000000000000002</v>
      </c>
      <c r="W13" s="75">
        <f>SUMIF($A$3:$A$32,"&lt;"&amp;$T13,G$3:G$32)</f>
        <v>0.96650000000000003</v>
      </c>
      <c r="X13" s="65">
        <f t="shared" si="3"/>
        <v>0.40000000000000346</v>
      </c>
      <c r="Y13" s="77">
        <f t="shared" si="2"/>
        <v>7.621337323381379</v>
      </c>
      <c r="Z13" s="77">
        <f>INDEX($N$3:$N$32,T13,1)</f>
        <v>3.6031096599999977</v>
      </c>
      <c r="AA13" s="38"/>
      <c r="AB13" s="40">
        <f>1-0.023</f>
        <v>0.97699999999999998</v>
      </c>
      <c r="AC13" s="40">
        <v>0.97500000000000009</v>
      </c>
      <c r="AD13" s="40">
        <v>0.59299999999999997</v>
      </c>
      <c r="AE13" s="65">
        <v>4.58</v>
      </c>
      <c r="AF13" s="40"/>
      <c r="AG13" s="77">
        <v>1.97</v>
      </c>
      <c r="AH13" s="77">
        <v>2.96</v>
      </c>
      <c r="AJ13" s="65" t="str">
        <f>'0.6.5'!S13</f>
        <v>D45</v>
      </c>
      <c r="AK13" s="38">
        <f>'0.6.5'!T13</f>
        <v>29</v>
      </c>
      <c r="AL13" s="40">
        <f>'0.6.5'!U13</f>
        <v>1</v>
      </c>
      <c r="AM13" s="40">
        <f>'0.6.5'!V13</f>
        <v>1</v>
      </c>
      <c r="AN13" s="40">
        <f>'0.6.5'!W13</f>
        <v>1</v>
      </c>
      <c r="AO13" s="65">
        <f>'0.6.5'!X13</f>
        <v>0</v>
      </c>
      <c r="AP13" s="77">
        <v>4.0785167109350162</v>
      </c>
      <c r="AQ13" s="77">
        <f>'0.6.5'!Z13</f>
        <v>0.61911467034994638</v>
      </c>
      <c r="AR13" s="38"/>
    </row>
    <row r="14" spans="1:44" s="55" customFormat="1">
      <c r="A14" s="55">
        <v>12</v>
      </c>
      <c r="B14" s="55">
        <v>13</v>
      </c>
      <c r="C14" s="55">
        <v>2</v>
      </c>
      <c r="D14" s="67">
        <f t="shared" si="0"/>
        <v>0.5</v>
      </c>
      <c r="E14" s="69">
        <v>0.02</v>
      </c>
      <c r="F14" s="70">
        <v>0.03</v>
      </c>
      <c r="G14" s="70">
        <v>0.05</v>
      </c>
      <c r="H14" s="76">
        <v>0.5</v>
      </c>
      <c r="I14" s="38">
        <f>$E$1*$F$1*SUM($F$3:$F14)*(1-SUM(G$3:G13))</f>
        <v>987.00000000000045</v>
      </c>
      <c r="J14" s="38">
        <f>I14*H14</f>
        <v>493.50000000000023</v>
      </c>
      <c r="K14" s="78"/>
      <c r="L14" s="74">
        <v>2.5</v>
      </c>
      <c r="M14" s="65">
        <f t="shared" si="1"/>
        <v>1233.7500000000005</v>
      </c>
      <c r="N14" s="65">
        <f>SUM(M$3:M14)/$E$1</f>
        <v>0.3454565</v>
      </c>
      <c r="O14" s="38"/>
      <c r="P14" s="40"/>
      <c r="Q14" s="38"/>
      <c r="R14" s="65"/>
      <c r="S14" s="65" t="s">
        <v>119</v>
      </c>
      <c r="T14" s="55">
        <v>30</v>
      </c>
      <c r="U14" s="75">
        <f>SUMIF($A$3:$A$32,"&lt;"&amp;$T14,E$3:E$32)</f>
        <v>0.91700000000000037</v>
      </c>
      <c r="V14" s="75">
        <f>SUMIF($A$3:$A$32,"&lt;"&amp;$T14,F$3:F$32)</f>
        <v>1.0000000000000002</v>
      </c>
      <c r="W14" s="75">
        <f>SUMIF($A$3:$A$32,"&lt;"&amp;$T14,G$3:G$32)</f>
        <v>0.97550000000000003</v>
      </c>
      <c r="X14" s="65">
        <f t="shared" si="3"/>
        <v>0.40000000000000746</v>
      </c>
      <c r="Y14" s="77">
        <f t="shared" si="2"/>
        <v>11.038416410742801</v>
      </c>
      <c r="Z14" s="77">
        <f>INDEX($N$3:$N$32,T14,1)</f>
        <v>4.9751096599999958</v>
      </c>
      <c r="AA14" s="38"/>
      <c r="AB14" s="40">
        <f>1-0.019</f>
        <v>0.98099999999999998</v>
      </c>
      <c r="AC14" s="40">
        <v>0.99800000000000011</v>
      </c>
      <c r="AD14" s="40">
        <v>0.64400000000000002</v>
      </c>
      <c r="AE14" s="65">
        <v>5.98</v>
      </c>
      <c r="AF14" s="40"/>
      <c r="AG14" s="77">
        <v>2.57</v>
      </c>
      <c r="AH14" s="77">
        <v>3.89</v>
      </c>
      <c r="AJ14" s="65" t="str">
        <f>'0.6.5'!S14</f>
        <v>D60</v>
      </c>
      <c r="AK14" s="38">
        <f>'0.6.5'!T14</f>
        <v>30</v>
      </c>
      <c r="AL14" s="40">
        <f>'0.6.5'!U14</f>
        <v>1</v>
      </c>
      <c r="AM14" s="40">
        <f>'0.6.5'!V14</f>
        <v>1</v>
      </c>
      <c r="AN14" s="40">
        <f>'0.6.5'!W14</f>
        <v>1</v>
      </c>
      <c r="AO14" s="65">
        <f>'0.6.5'!X14</f>
        <v>0</v>
      </c>
      <c r="AP14" s="77">
        <v>4.0785167109350162</v>
      </c>
      <c r="AQ14" s="77">
        <f>'0.6.5'!Z14</f>
        <v>0.61911467034994638</v>
      </c>
      <c r="AR14" s="38"/>
    </row>
    <row r="15" spans="1:44" s="55" customFormat="1">
      <c r="A15" s="55">
        <v>13</v>
      </c>
      <c r="B15" s="55">
        <v>14</v>
      </c>
      <c r="C15" s="55">
        <v>2.5</v>
      </c>
      <c r="D15" s="67">
        <f t="shared" si="0"/>
        <v>0.5</v>
      </c>
      <c r="E15" s="69">
        <v>0.02</v>
      </c>
      <c r="F15" s="70">
        <v>0.02</v>
      </c>
      <c r="G15" s="70">
        <v>0.04</v>
      </c>
      <c r="H15" s="76">
        <v>0.5</v>
      </c>
      <c r="I15" s="38">
        <f>$E$1*$F$1*SUM($F$3:$F15)*(1-SUM(G$3:G14))</f>
        <v>864.00000000000023</v>
      </c>
      <c r="J15" s="38">
        <f>I15*H15</f>
        <v>432.00000000000011</v>
      </c>
      <c r="K15" s="78"/>
      <c r="L15" s="74">
        <v>3</v>
      </c>
      <c r="M15" s="65">
        <f t="shared" si="1"/>
        <v>1296.0000000000005</v>
      </c>
      <c r="N15" s="65">
        <f>SUM(M$3:M15)/$E$1</f>
        <v>0.38865650000000002</v>
      </c>
      <c r="P15" s="40"/>
      <c r="Q15" s="38"/>
    </row>
    <row r="16" spans="1:44" s="55" customFormat="1">
      <c r="A16" s="55">
        <v>14</v>
      </c>
      <c r="B16" s="55">
        <v>16</v>
      </c>
      <c r="C16" s="55">
        <v>3</v>
      </c>
      <c r="D16" s="67">
        <f t="shared" si="0"/>
        <v>0.60000000000000009</v>
      </c>
      <c r="E16" s="69">
        <v>0.02</v>
      </c>
      <c r="F16" s="70">
        <v>1.4999999999999999E-2</v>
      </c>
      <c r="G16" s="70">
        <v>0.03</v>
      </c>
      <c r="H16" s="76">
        <v>0.5</v>
      </c>
      <c r="I16" s="38">
        <f>$E$1*$F$1*SUM($F$3:$F16)*(1-SUM(G$3:G15))</f>
        <v>760.50000000000011</v>
      </c>
      <c r="J16" s="38">
        <f>I16*H16</f>
        <v>380.25000000000006</v>
      </c>
      <c r="K16" s="78"/>
      <c r="L16" s="74">
        <v>4</v>
      </c>
      <c r="M16" s="65">
        <f t="shared" si="1"/>
        <v>1521.0000000000002</v>
      </c>
      <c r="N16" s="65">
        <f>SUM(M$3:M16)/$E$1</f>
        <v>0.43935649999999998</v>
      </c>
      <c r="O16" s="38" t="s">
        <v>107</v>
      </c>
      <c r="P16" s="40"/>
      <c r="Q16" s="38"/>
    </row>
    <row r="17" spans="1:18" s="55" customFormat="1">
      <c r="A17" s="55">
        <v>15</v>
      </c>
      <c r="B17" s="55">
        <v>17</v>
      </c>
      <c r="C17" s="55">
        <v>3.6</v>
      </c>
      <c r="D17" s="67">
        <f t="shared" si="0"/>
        <v>0.69999999999999973</v>
      </c>
      <c r="E17" s="69">
        <v>0.02</v>
      </c>
      <c r="F17" s="70">
        <v>0.01</v>
      </c>
      <c r="G17" s="70">
        <v>0.02</v>
      </c>
      <c r="H17" s="76">
        <v>0.5</v>
      </c>
      <c r="I17" s="38">
        <f>$E$1*$F$1*SUM($F$3:$F17)*(1-SUM(G$3:G16))</f>
        <v>679.65000000000009</v>
      </c>
      <c r="J17" s="38">
        <f>I17*H17</f>
        <v>339.82500000000005</v>
      </c>
      <c r="K17" s="78"/>
      <c r="L17" s="74">
        <v>5</v>
      </c>
      <c r="M17" s="65">
        <f t="shared" si="1"/>
        <v>1699.1250000000002</v>
      </c>
      <c r="N17" s="65">
        <f>SUM(M$3:M17)/$E$1</f>
        <v>0.49599399999999999</v>
      </c>
      <c r="P17" s="40"/>
      <c r="Q17" s="38"/>
    </row>
    <row r="18" spans="1:18" s="55" customFormat="1">
      <c r="A18" s="55">
        <v>16</v>
      </c>
      <c r="B18" s="55">
        <v>18</v>
      </c>
      <c r="C18" s="55">
        <v>4.3</v>
      </c>
      <c r="D18" s="67">
        <f t="shared" si="0"/>
        <v>0.79999999999999982</v>
      </c>
      <c r="E18" s="69">
        <v>0.02</v>
      </c>
      <c r="F18" s="70">
        <v>5.0000000000000001E-3</v>
      </c>
      <c r="G18" s="70">
        <v>1.9E-2</v>
      </c>
      <c r="H18" s="76">
        <v>0.5</v>
      </c>
      <c r="I18" s="38">
        <f>$E$1*$F$1*SUM($F$3:$F18)*(1-SUM(G$3:G17))</f>
        <v>623.70000000000005</v>
      </c>
      <c r="J18" s="38">
        <f>I18*H18</f>
        <v>311.85000000000002</v>
      </c>
      <c r="K18" s="78"/>
      <c r="L18" s="74">
        <v>7</v>
      </c>
      <c r="M18" s="65">
        <f t="shared" si="1"/>
        <v>2182.9500000000003</v>
      </c>
      <c r="N18" s="65">
        <f>SUM(M$3:M18)/$E$1</f>
        <v>0.56875900000000001</v>
      </c>
      <c r="P18" s="40"/>
      <c r="Q18" s="38"/>
    </row>
    <row r="19" spans="1:18" s="55" customFormat="1">
      <c r="A19" s="55">
        <v>17</v>
      </c>
      <c r="B19" s="55">
        <v>19</v>
      </c>
      <c r="C19" s="55">
        <v>5.0999999999999996</v>
      </c>
      <c r="D19" s="67">
        <f t="shared" si="0"/>
        <v>0.90000000000000036</v>
      </c>
      <c r="E19" s="69">
        <v>0.02</v>
      </c>
      <c r="F19" s="70">
        <v>4.0000000000000001E-3</v>
      </c>
      <c r="G19" s="70">
        <v>1.7999999999999999E-2</v>
      </c>
      <c r="H19" s="76">
        <v>0.5</v>
      </c>
      <c r="I19" s="38">
        <f>$E$1*$F$1*SUM($F$3:$F19)*(1-SUM(G$3:G18))</f>
        <v>569.5619999999999</v>
      </c>
      <c r="J19" s="38">
        <f>I19*H19</f>
        <v>284.78099999999995</v>
      </c>
      <c r="K19" s="78"/>
      <c r="L19" s="74">
        <v>8</v>
      </c>
      <c r="M19" s="65">
        <f t="shared" si="1"/>
        <v>2278.2479999999996</v>
      </c>
      <c r="N19" s="65">
        <f>SUM(M$3:M19)/$E$1</f>
        <v>0.64470059999999996</v>
      </c>
      <c r="O19" s="38"/>
      <c r="P19" s="40"/>
      <c r="Q19" s="38"/>
      <c r="R19" s="79"/>
    </row>
    <row r="20" spans="1:18" s="55" customFormat="1">
      <c r="A20" s="55">
        <v>18</v>
      </c>
      <c r="B20" s="55">
        <v>20</v>
      </c>
      <c r="C20" s="55">
        <v>6</v>
      </c>
      <c r="D20" s="67">
        <f t="shared" si="0"/>
        <v>1.2000000000000002</v>
      </c>
      <c r="E20" s="69">
        <v>0.01</v>
      </c>
      <c r="F20" s="70">
        <v>3.0000000000000001E-3</v>
      </c>
      <c r="G20" s="70">
        <v>1.7000000000000001E-2</v>
      </c>
      <c r="H20" s="76">
        <v>0.5</v>
      </c>
      <c r="I20" s="38">
        <f>$E$1*$F$1*SUM($F$3:$F20)*(1-SUM(G$3:G19))</f>
        <v>517.44299999999987</v>
      </c>
      <c r="J20" s="38">
        <f>I20*H20</f>
        <v>258.72149999999993</v>
      </c>
      <c r="K20" s="74">
        <v>10</v>
      </c>
      <c r="L20" s="65">
        <f>K20*D20</f>
        <v>12.000000000000002</v>
      </c>
      <c r="M20" s="65">
        <f t="shared" si="1"/>
        <v>3104.6579999999999</v>
      </c>
      <c r="N20" s="65">
        <f>SUM(M$3:M20)/$E$1</f>
        <v>0.7481892</v>
      </c>
      <c r="O20" s="38"/>
      <c r="P20" s="40"/>
      <c r="Q20" s="38"/>
      <c r="R20" s="79"/>
    </row>
    <row r="21" spans="1:18" s="55" customFormat="1">
      <c r="A21" s="55">
        <v>19</v>
      </c>
      <c r="B21" s="55">
        <v>21</v>
      </c>
      <c r="C21" s="55">
        <v>7.2</v>
      </c>
      <c r="D21" s="67">
        <f t="shared" si="0"/>
        <v>1.2999999999999998</v>
      </c>
      <c r="E21" s="69">
        <v>8.9999999999999993E-3</v>
      </c>
      <c r="F21" s="70">
        <v>2E-3</v>
      </c>
      <c r="G21" s="70">
        <v>1.6E-2</v>
      </c>
      <c r="H21" s="76">
        <v>0.5</v>
      </c>
      <c r="I21" s="38">
        <f>$E$1*$F$1*SUM($F$3:$F21)*(1-SUM(G$3:G20))</f>
        <v>467.53199999999981</v>
      </c>
      <c r="J21" s="38">
        <f>I21*H21</f>
        <v>233.76599999999991</v>
      </c>
      <c r="K21" s="74">
        <v>11</v>
      </c>
      <c r="L21" s="65">
        <f>K21*D21</f>
        <v>14.299999999999997</v>
      </c>
      <c r="M21" s="65">
        <f t="shared" si="1"/>
        <v>3342.853799999998</v>
      </c>
      <c r="N21" s="65">
        <f>SUM(M$3:M21)/$E$1</f>
        <v>0.85961765999999984</v>
      </c>
      <c r="O21" s="38" t="s">
        <v>111</v>
      </c>
      <c r="P21" s="40"/>
      <c r="Q21" s="38"/>
      <c r="R21" s="79"/>
    </row>
    <row r="22" spans="1:18" s="55" customFormat="1">
      <c r="A22" s="55">
        <v>20</v>
      </c>
      <c r="B22" s="55">
        <v>22</v>
      </c>
      <c r="C22" s="55">
        <v>8.5</v>
      </c>
      <c r="D22" s="67">
        <f t="shared" si="0"/>
        <v>1.4000000000000004</v>
      </c>
      <c r="E22" s="69">
        <v>8.0000000000000002E-3</v>
      </c>
      <c r="F22" s="70">
        <v>1E-3</v>
      </c>
      <c r="G22" s="70">
        <v>1.4999999999999999E-2</v>
      </c>
      <c r="H22" s="76">
        <v>0.4</v>
      </c>
      <c r="I22" s="38">
        <f>$E$1*$F$1*SUM($F$3:$F22)*(1-SUM(G$3:G21))</f>
        <v>419.99999999999977</v>
      </c>
      <c r="J22" s="38">
        <f>I22*H22</f>
        <v>167.99999999999991</v>
      </c>
      <c r="K22" s="74">
        <v>12</v>
      </c>
      <c r="L22" s="65">
        <f>K22*D22</f>
        <v>16.800000000000004</v>
      </c>
      <c r="M22" s="65">
        <f t="shared" si="1"/>
        <v>2822.3999999999992</v>
      </c>
      <c r="N22" s="65">
        <f>SUM(M$3:M22)/$E$1</f>
        <v>0.95369765999999978</v>
      </c>
      <c r="O22" s="38"/>
      <c r="P22" s="40"/>
      <c r="Q22" s="38"/>
      <c r="R22" s="79"/>
    </row>
    <row r="23" spans="1:18" s="55" customFormat="1">
      <c r="A23" s="55">
        <v>21</v>
      </c>
      <c r="B23" s="55">
        <v>23</v>
      </c>
      <c r="C23" s="55">
        <v>9.9</v>
      </c>
      <c r="D23" s="67">
        <f t="shared" si="0"/>
        <v>1.5</v>
      </c>
      <c r="E23" s="69">
        <v>7.0000000000000001E-3</v>
      </c>
      <c r="F23" s="70">
        <v>0</v>
      </c>
      <c r="G23" s="70">
        <v>1.4E-2</v>
      </c>
      <c r="H23" s="76">
        <v>0.4</v>
      </c>
      <c r="I23" s="38">
        <f>$E$1*$F$1*SUM($F$3:$F23)*(1-SUM(G$3:G22))</f>
        <v>374.99999999999972</v>
      </c>
      <c r="J23" s="38">
        <f>I23*H23</f>
        <v>149.99999999999989</v>
      </c>
      <c r="K23" s="74">
        <v>13</v>
      </c>
      <c r="L23" s="65">
        <f>K23*D23</f>
        <v>19.5</v>
      </c>
      <c r="M23" s="65">
        <f t="shared" si="1"/>
        <v>2924.9999999999977</v>
      </c>
      <c r="N23" s="65">
        <f>SUM(M$3:M23)/$E$1</f>
        <v>1.0511976599999997</v>
      </c>
      <c r="O23" s="38"/>
      <c r="P23" s="40"/>
      <c r="Q23" s="38"/>
      <c r="R23" s="79"/>
    </row>
    <row r="24" spans="1:18" s="55" customFormat="1">
      <c r="A24" s="55">
        <v>22</v>
      </c>
      <c r="B24" s="55">
        <v>24</v>
      </c>
      <c r="C24" s="55">
        <v>11.4</v>
      </c>
      <c r="D24" s="67">
        <f t="shared" si="0"/>
        <v>1.5999999999999996</v>
      </c>
      <c r="E24" s="69">
        <v>6.0000000000000001E-3</v>
      </c>
      <c r="F24" s="70">
        <v>0</v>
      </c>
      <c r="G24" s="70">
        <v>1.2999999999999999E-2</v>
      </c>
      <c r="H24" s="76">
        <v>0.4</v>
      </c>
      <c r="I24" s="38">
        <f>$E$1*$F$1*SUM($F$3:$F24)*(1-SUM(G$3:G23))</f>
        <v>332.99999999999966</v>
      </c>
      <c r="J24" s="38">
        <f>I24*H24</f>
        <v>133.19999999999987</v>
      </c>
      <c r="K24" s="74">
        <v>14</v>
      </c>
      <c r="L24" s="65">
        <f>K24*D24</f>
        <v>22.399999999999995</v>
      </c>
      <c r="M24" s="65">
        <f t="shared" si="1"/>
        <v>2983.6799999999967</v>
      </c>
      <c r="N24" s="65">
        <f>SUM(M$3:M24)/$E$1</f>
        <v>1.1506536599999997</v>
      </c>
      <c r="O24" s="38"/>
      <c r="P24" s="40"/>
      <c r="Q24" s="38"/>
    </row>
    <row r="25" spans="1:18" s="55" customFormat="1">
      <c r="A25" s="55">
        <v>23</v>
      </c>
      <c r="B25" s="55">
        <v>25</v>
      </c>
      <c r="C25" s="55">
        <v>13</v>
      </c>
      <c r="D25" s="67">
        <f t="shared" si="0"/>
        <v>2</v>
      </c>
      <c r="E25" s="69">
        <v>5.0000000000000001E-3</v>
      </c>
      <c r="F25" s="70">
        <v>0</v>
      </c>
      <c r="G25" s="70">
        <v>1.2E-2</v>
      </c>
      <c r="H25" s="76">
        <v>0.4</v>
      </c>
      <c r="I25" s="38">
        <f>$E$1*$F$1*SUM($F$3:$F25)*(1-SUM(G$3:G24))</f>
        <v>293.99999999999966</v>
      </c>
      <c r="J25" s="38">
        <f>I25*H25</f>
        <v>117.59999999999987</v>
      </c>
      <c r="K25" s="74">
        <v>15</v>
      </c>
      <c r="L25" s="65">
        <f>K25*D25</f>
        <v>30</v>
      </c>
      <c r="M25" s="65">
        <f t="shared" si="1"/>
        <v>3527.9999999999959</v>
      </c>
      <c r="N25" s="65">
        <f>SUM(M$3:M25)/$E$1</f>
        <v>1.2682536599999994</v>
      </c>
      <c r="O25" s="38"/>
      <c r="P25" s="40"/>
      <c r="Q25" s="38"/>
    </row>
    <row r="26" spans="1:18" s="55" customFormat="1">
      <c r="A26" s="55">
        <v>24</v>
      </c>
      <c r="B26" s="55">
        <v>26</v>
      </c>
      <c r="C26" s="55">
        <v>15</v>
      </c>
      <c r="D26" s="67">
        <f t="shared" si="0"/>
        <v>2.5</v>
      </c>
      <c r="E26" s="69">
        <v>4.0000000000000001E-3</v>
      </c>
      <c r="F26" s="70">
        <v>0</v>
      </c>
      <c r="G26" s="70">
        <v>1.15E-2</v>
      </c>
      <c r="H26" s="76">
        <v>0.4</v>
      </c>
      <c r="I26" s="38">
        <f>$E$1*$F$1*SUM($F$3:$F26)*(1-SUM(G$3:G25))</f>
        <v>257.9999999999996</v>
      </c>
      <c r="J26" s="38">
        <f>I26*H26</f>
        <v>103.19999999999985</v>
      </c>
      <c r="K26" s="74">
        <v>16</v>
      </c>
      <c r="L26" s="65">
        <f>K26*D26</f>
        <v>40</v>
      </c>
      <c r="M26" s="65">
        <f t="shared" si="1"/>
        <v>4127.9999999999936</v>
      </c>
      <c r="N26" s="65">
        <f>SUM(M$3:M26)/$E$1</f>
        <v>1.4058536599999991</v>
      </c>
      <c r="O26" s="38" t="s">
        <v>115</v>
      </c>
      <c r="P26" s="40"/>
      <c r="Q26" s="38"/>
    </row>
    <row r="27" spans="1:18" s="55" customFormat="1">
      <c r="A27" s="55">
        <v>25</v>
      </c>
      <c r="B27" s="55">
        <v>27</v>
      </c>
      <c r="C27" s="55">
        <v>17.5</v>
      </c>
      <c r="D27" s="67">
        <f t="shared" si="0"/>
        <v>3.3999999999999986</v>
      </c>
      <c r="E27" s="69">
        <v>3.00000000000001E-3</v>
      </c>
      <c r="F27" s="70">
        <v>0</v>
      </c>
      <c r="G27" s="70">
        <v>1.0999999999999999E-2</v>
      </c>
      <c r="H27" s="76">
        <v>0.4</v>
      </c>
      <c r="I27" s="38">
        <f>$E$1*$F$1*SUM($F$3:$F27)*(1-SUM(G$3:G26))</f>
        <v>223.49999999999974</v>
      </c>
      <c r="J27" s="38">
        <f>I27*H27</f>
        <v>89.399999999999906</v>
      </c>
      <c r="K27" s="74">
        <v>17</v>
      </c>
      <c r="L27" s="65">
        <f>K27*D27</f>
        <v>57.799999999999976</v>
      </c>
      <c r="M27" s="65">
        <f t="shared" si="1"/>
        <v>5167.3199999999924</v>
      </c>
      <c r="N27" s="65">
        <f>SUM(M$3:M27)/$E$1</f>
        <v>1.578097659999999</v>
      </c>
      <c r="O27" s="38"/>
      <c r="P27" s="40"/>
      <c r="Q27" s="38"/>
    </row>
    <row r="28" spans="1:18" s="55" customFormat="1">
      <c r="A28" s="55">
        <v>26</v>
      </c>
      <c r="B28" s="55">
        <v>28</v>
      </c>
      <c r="C28" s="55">
        <v>20.9</v>
      </c>
      <c r="D28" s="67">
        <f t="shared" si="0"/>
        <v>5.1000000000000014</v>
      </c>
      <c r="E28" s="69">
        <v>2.00000000000001E-3</v>
      </c>
      <c r="F28" s="70">
        <v>0</v>
      </c>
      <c r="G28" s="70">
        <v>1.0500000000000001E-2</v>
      </c>
      <c r="H28" s="76">
        <v>0.4</v>
      </c>
      <c r="I28" s="38">
        <f>$E$1*$F$1*SUM($F$3:$F28)*(1-SUM(G$3:G27))</f>
        <v>190.49999999999969</v>
      </c>
      <c r="J28" s="38">
        <f>I28*H28</f>
        <v>76.199999999999875</v>
      </c>
      <c r="K28" s="74">
        <v>18</v>
      </c>
      <c r="L28" s="65">
        <f>K28*D28</f>
        <v>91.800000000000026</v>
      </c>
      <c r="M28" s="65">
        <f t="shared" si="1"/>
        <v>6995.1599999999908</v>
      </c>
      <c r="N28" s="65">
        <f>SUM(M$3:M28)/$E$1</f>
        <v>1.8112696599999987</v>
      </c>
      <c r="O28" s="38"/>
      <c r="P28" s="40"/>
      <c r="Q28" s="38"/>
    </row>
    <row r="29" spans="1:18">
      <c r="A29" s="38">
        <v>27</v>
      </c>
      <c r="B29" s="38">
        <v>29</v>
      </c>
      <c r="C29" s="38">
        <v>26</v>
      </c>
      <c r="D29" s="64">
        <f t="shared" si="0"/>
        <v>8</v>
      </c>
      <c r="E29" s="69">
        <v>1.00000000000001E-3</v>
      </c>
      <c r="F29" s="70">
        <v>0</v>
      </c>
      <c r="G29" s="70">
        <v>0.01</v>
      </c>
      <c r="H29" s="76">
        <v>0.4</v>
      </c>
      <c r="I29" s="38">
        <f>$E$1*$F$1*SUM($F$3:$F29)*(1-SUM(G$3:G28))</f>
        <v>158.99999999999983</v>
      </c>
      <c r="J29" s="38">
        <f>I29*H29</f>
        <v>63.599999999999937</v>
      </c>
      <c r="K29" s="74">
        <v>19</v>
      </c>
      <c r="L29" s="65">
        <f>K29*D29</f>
        <v>152</v>
      </c>
      <c r="M29" s="65">
        <f t="shared" si="1"/>
        <v>9667.1999999999898</v>
      </c>
      <c r="N29" s="65">
        <f>SUM(M$3:M29)/$E$1</f>
        <v>2.1335096599999983</v>
      </c>
      <c r="P29" s="40"/>
    </row>
    <row r="30" spans="1:18">
      <c r="A30" s="38">
        <v>28</v>
      </c>
      <c r="B30" s="38">
        <v>30</v>
      </c>
      <c r="C30" s="38">
        <v>34</v>
      </c>
      <c r="D30" s="64">
        <f t="shared" si="0"/>
        <v>10</v>
      </c>
      <c r="E30" s="69">
        <v>1.00000000000001E-3</v>
      </c>
      <c r="F30" s="70">
        <v>0</v>
      </c>
      <c r="G30" s="70">
        <v>9.4999999999999998E-3</v>
      </c>
      <c r="H30" s="76">
        <v>0.4</v>
      </c>
      <c r="I30" s="38">
        <f>$E$1*$F$1*SUM($F$3:$F30)*(1-SUM(G$3:G29))</f>
        <v>128.9999999999998</v>
      </c>
      <c r="J30" s="38">
        <f>I30*H30</f>
        <v>51.599999999999923</v>
      </c>
      <c r="K30" s="74">
        <v>20</v>
      </c>
      <c r="L30" s="65">
        <f>K30*D30</f>
        <v>200</v>
      </c>
      <c r="M30" s="65">
        <f t="shared" si="1"/>
        <v>10319.999999999985</v>
      </c>
      <c r="N30" s="65">
        <f>SUM(M$3:M30)/$E$1</f>
        <v>2.4775096599999982</v>
      </c>
      <c r="O30" s="38" t="s">
        <v>117</v>
      </c>
      <c r="P30" s="40"/>
    </row>
    <row r="31" spans="1:18">
      <c r="A31" s="38">
        <v>29</v>
      </c>
      <c r="B31" s="38">
        <v>31</v>
      </c>
      <c r="C31" s="38">
        <v>44</v>
      </c>
      <c r="D31" s="64">
        <f t="shared" si="0"/>
        <v>12</v>
      </c>
      <c r="E31" s="69">
        <v>1.00000000000001E-3</v>
      </c>
      <c r="F31" s="70">
        <v>0</v>
      </c>
      <c r="G31" s="70">
        <v>8.9999999999999993E-3</v>
      </c>
      <c r="H31" s="76">
        <v>0.4</v>
      </c>
      <c r="I31" s="38">
        <f>$E$1*$F$1*SUM($F$3:$F31)*(1-SUM(G$3:G30))</f>
        <v>100.49999999999994</v>
      </c>
      <c r="J31" s="38">
        <f>I31*H31</f>
        <v>40.199999999999982</v>
      </c>
      <c r="K31" s="74">
        <v>70</v>
      </c>
      <c r="L31" s="65">
        <f>K31*D31</f>
        <v>840</v>
      </c>
      <c r="M31" s="65">
        <f t="shared" si="1"/>
        <v>33767.999999999985</v>
      </c>
      <c r="N31" s="65">
        <f>SUM(M$3:M31)/$E$1</f>
        <v>3.6031096599999977</v>
      </c>
      <c r="O31" s="38" t="s">
        <v>118</v>
      </c>
      <c r="P31" s="40"/>
    </row>
    <row r="32" spans="1:18">
      <c r="A32" s="38">
        <v>30</v>
      </c>
      <c r="B32" s="38">
        <v>32</v>
      </c>
      <c r="C32" s="38">
        <v>56</v>
      </c>
      <c r="D32" s="64">
        <f t="shared" si="0"/>
        <v>14</v>
      </c>
      <c r="E32" s="69">
        <v>1.00000000000001E-3</v>
      </c>
      <c r="F32" s="70">
        <v>0</v>
      </c>
      <c r="G32" s="70">
        <v>8.5000000000000006E-3</v>
      </c>
      <c r="H32" s="76">
        <v>0.4</v>
      </c>
      <c r="I32" s="38">
        <f>$E$1*$F$1*SUM($F$3:$F32)*(1-SUM(G$3:G31))</f>
        <v>73.499999999999915</v>
      </c>
      <c r="J32" s="38">
        <f>I32*H32</f>
        <v>29.399999999999967</v>
      </c>
      <c r="K32" s="74">
        <v>100</v>
      </c>
      <c r="L32" s="65">
        <f>K32*D32</f>
        <v>1400</v>
      </c>
      <c r="M32" s="65">
        <f t="shared" si="1"/>
        <v>41159.999999999956</v>
      </c>
      <c r="N32" s="65">
        <f>SUM(M$3:M32)/$E$1</f>
        <v>4.9751096599999958</v>
      </c>
      <c r="O32" s="38" t="s">
        <v>119</v>
      </c>
      <c r="P32" s="40"/>
    </row>
    <row r="33" spans="3:18" s="85" customFormat="1">
      <c r="C33" s="85">
        <v>70</v>
      </c>
      <c r="G33" s="87"/>
      <c r="M33" s="87"/>
      <c r="N33" s="87"/>
      <c r="P33" s="87"/>
    </row>
    <row r="42" spans="3:18">
      <c r="R42" s="66"/>
    </row>
  </sheetData>
  <phoneticPr fontId="2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23A5-9F96-4999-984E-B9DD20C5B703}">
  <dimension ref="A1:Z33"/>
  <sheetViews>
    <sheetView workbookViewId="0">
      <selection activeCell="Y3" sqref="Y3:Y14"/>
    </sheetView>
  </sheetViews>
  <sheetFormatPr defaultRowHeight="15"/>
  <cols>
    <col min="1" max="1" width="3.625" style="38" bestFit="1" customWidth="1"/>
    <col min="2" max="2" width="7" style="38" customWidth="1"/>
    <col min="3" max="3" width="6.375" style="38" customWidth="1"/>
    <col min="4" max="4" width="8.875" style="38" customWidth="1"/>
    <col min="5" max="5" width="7.625" style="38" bestFit="1" customWidth="1"/>
    <col min="6" max="6" width="9" style="38" bestFit="1" customWidth="1"/>
    <col min="7" max="8" width="9.125" style="38" bestFit="1" customWidth="1"/>
    <col min="9" max="9" width="8.125" style="38" customWidth="1"/>
    <col min="10" max="10" width="8.75" style="38" customWidth="1"/>
    <col min="11" max="11" width="6.875" style="38" customWidth="1"/>
    <col min="12" max="12" width="7.625" style="38" bestFit="1" customWidth="1"/>
    <col min="13" max="13" width="8.625" style="38" bestFit="1" customWidth="1"/>
    <col min="14" max="14" width="5.25" style="38" customWidth="1"/>
    <col min="15" max="15" width="5.125" style="38" customWidth="1"/>
    <col min="19" max="19" width="6.5" style="38" bestFit="1" customWidth="1"/>
    <col min="20" max="20" width="3.375" style="38" bestFit="1" customWidth="1"/>
    <col min="21" max="21" width="7.25" style="38" bestFit="1" customWidth="1"/>
    <col min="22" max="22" width="9" style="38" bestFit="1"/>
    <col min="23" max="23" width="9" style="38"/>
    <col min="24" max="24" width="8" style="38" customWidth="1"/>
    <col min="25" max="25" width="7.625" style="38" bestFit="1" customWidth="1"/>
    <col min="26" max="26" width="4.625" style="38" customWidth="1"/>
  </cols>
  <sheetData>
    <row r="1" spans="1:26">
      <c r="E1" s="71">
        <v>2624</v>
      </c>
      <c r="F1" s="68">
        <v>0.1048</v>
      </c>
      <c r="S1" s="54" t="s">
        <v>160</v>
      </c>
    </row>
    <row r="2" spans="1:26">
      <c r="A2" s="39" t="s">
        <v>79</v>
      </c>
      <c r="B2" s="39" t="s">
        <v>81</v>
      </c>
      <c r="C2" s="39" t="s">
        <v>0</v>
      </c>
      <c r="D2" s="39" t="s">
        <v>85</v>
      </c>
      <c r="E2" s="39" t="s">
        <v>120</v>
      </c>
      <c r="F2" s="39" t="s">
        <v>99</v>
      </c>
      <c r="G2" s="39" t="s">
        <v>95</v>
      </c>
      <c r="H2" s="39" t="s">
        <v>100</v>
      </c>
      <c r="I2" s="39" t="s">
        <v>164</v>
      </c>
      <c r="J2" s="39" t="s">
        <v>163</v>
      </c>
      <c r="K2" s="39" t="s">
        <v>116</v>
      </c>
      <c r="L2" s="39" t="s">
        <v>84</v>
      </c>
      <c r="M2" s="39" t="s">
        <v>101</v>
      </c>
      <c r="N2" s="39" t="s">
        <v>76</v>
      </c>
      <c r="O2" s="39" t="s">
        <v>71</v>
      </c>
      <c r="S2" s="39"/>
      <c r="T2" s="39" t="s">
        <v>79</v>
      </c>
      <c r="U2" s="39" t="s">
        <v>120</v>
      </c>
      <c r="V2" s="39" t="s">
        <v>99</v>
      </c>
      <c r="W2" s="39" t="s">
        <v>95</v>
      </c>
      <c r="X2" s="39" t="s">
        <v>100</v>
      </c>
      <c r="Y2" s="39" t="s">
        <v>162</v>
      </c>
      <c r="Z2" s="39" t="s">
        <v>76</v>
      </c>
    </row>
    <row r="3" spans="1:26">
      <c r="A3" s="38">
        <v>1</v>
      </c>
      <c r="B3" s="38">
        <v>1</v>
      </c>
      <c r="C3" s="38">
        <v>0</v>
      </c>
      <c r="D3" s="73">
        <f>C4-C3</f>
        <v>1.3888888888888889E-3</v>
      </c>
      <c r="E3" s="69">
        <v>0.17416158536585366</v>
      </c>
      <c r="F3" s="70">
        <v>0</v>
      </c>
      <c r="G3" s="70">
        <v>0</v>
      </c>
      <c r="H3" s="80">
        <v>0</v>
      </c>
      <c r="I3" s="38">
        <f>$E$1*$F$1*SUM($F$3:$F3)*(1-SUM(G2:G$3))</f>
        <v>0</v>
      </c>
      <c r="J3" s="38">
        <f>I3*H3</f>
        <v>0</v>
      </c>
      <c r="K3" s="78"/>
      <c r="L3" s="74">
        <v>0</v>
      </c>
      <c r="M3" s="65">
        <f>$J3*$L3</f>
        <v>0</v>
      </c>
      <c r="N3" s="65">
        <f>SUM(M$3:M3)/$E$1</f>
        <v>0</v>
      </c>
      <c r="O3" s="40"/>
      <c r="S3" s="65" t="s">
        <v>103</v>
      </c>
      <c r="T3" s="38">
        <v>7</v>
      </c>
      <c r="U3" s="75">
        <f>SUMIF($A$3:$A$32,"&lt;"&amp;$T3,E$3:E$32)</f>
        <v>0.64939024390243905</v>
      </c>
      <c r="V3" s="75">
        <f>SUMIF($A$3:$A$32,"&lt;"&amp;$T3,F$3:F$32)</f>
        <v>0.83636363636363631</v>
      </c>
      <c r="W3" s="75">
        <f>SUMIF($A$3:$A$32,"&lt;"&amp;$T3,G$3:G$32)</f>
        <v>0.27636363636363637</v>
      </c>
      <c r="X3" s="65">
        <f>(SUMIF($A$3:$A$32,"&lt;"&amp;$T3,J$3:J$32)-0)/($E$1*$F$1*$V3*(1-0))</f>
        <v>1.3676768278584932</v>
      </c>
      <c r="Y3" s="77">
        <f>SUMIF($A$3:$A$32,"&lt;"&amp;$T3,M$3:M$32)/SUMIF($A$3:$A$32,"&lt;"&amp;$T3,J$3:J$32)</f>
        <v>3.3604101956149992</v>
      </c>
      <c r="Z3" s="38">
        <f>INDEX($N$3:$N$32,T3,1)</f>
        <v>0.43845026374480894</v>
      </c>
    </row>
    <row r="4" spans="1:26">
      <c r="A4" s="38">
        <v>2</v>
      </c>
      <c r="B4" s="38">
        <v>2</v>
      </c>
      <c r="C4" s="38">
        <f>2/(60*24)</f>
        <v>1.3888888888888889E-3</v>
      </c>
      <c r="D4" s="73">
        <f t="shared" ref="D4:D32" si="0">C5-C4</f>
        <v>2.0833333333333329E-3</v>
      </c>
      <c r="E4" s="69">
        <v>7.1646341463414628E-2</v>
      </c>
      <c r="F4" s="70">
        <v>0</v>
      </c>
      <c r="G4" s="70">
        <v>0</v>
      </c>
      <c r="H4" s="80">
        <v>0</v>
      </c>
      <c r="I4" s="38">
        <f>$E$1*$F$1*SUM($F$3:$F4)*(1-SUM(G3:G$3))</f>
        <v>0</v>
      </c>
      <c r="J4" s="38">
        <f>I4*H4</f>
        <v>0</v>
      </c>
      <c r="K4" s="78"/>
      <c r="L4" s="74">
        <v>0</v>
      </c>
      <c r="M4" s="65">
        <f t="shared" ref="M4:M32" si="1">$J4*$L4</f>
        <v>0</v>
      </c>
      <c r="N4" s="65">
        <f>SUM(M$3:M4)/$E$1</f>
        <v>0</v>
      </c>
      <c r="O4" s="40"/>
      <c r="S4" s="65" t="s">
        <v>104</v>
      </c>
      <c r="T4" s="38">
        <v>8</v>
      </c>
      <c r="U4" s="75">
        <f>SUMIF($A$3:$A$32,"&lt;"&amp;$T4,E$3:E$32)</f>
        <v>0.74542682926829273</v>
      </c>
      <c r="V4" s="75">
        <f>SUMIF($A$3:$A$32,"&lt;"&amp;$T4,F$3:F$32)</f>
        <v>0.88727272727272721</v>
      </c>
      <c r="W4" s="75">
        <f>SUMIF($A$3:$A$32,"&lt;"&amp;$T4,G$3:G$32)</f>
        <v>0.39636363636363636</v>
      </c>
      <c r="X4" s="65">
        <f>(SUMIF($A$3:$A$32,"&lt;"&amp;$T4,J$3:J$32)-SUMIF($A$3:$A$32,"&lt;"&amp;$T3,J$3:J$32))/($E$1*$F$1*$V4*(1-W3))</f>
        <v>0.14078024067012435</v>
      </c>
      <c r="Y4" s="77">
        <f t="shared" ref="Y4:Y14" si="2">SUMIF($A$3:$A$32,"&lt;"&amp;$T4,M$3:M$32)/SUMIF($A$3:$A$32,"&lt;"&amp;$T4,J$3:J$32)</f>
        <v>3.3896172921262901</v>
      </c>
      <c r="Z4" s="38">
        <f>INDEX($N$3:$N$32,T4,1)</f>
        <v>0.50261624827810958</v>
      </c>
    </row>
    <row r="5" spans="1:26" ht="16.5">
      <c r="A5" s="38">
        <v>3</v>
      </c>
      <c r="B5" s="38">
        <v>3</v>
      </c>
      <c r="C5" s="38">
        <f>5/(60*24)</f>
        <v>3.472222222222222E-3</v>
      </c>
      <c r="D5" s="73">
        <f t="shared" si="0"/>
        <v>3.472222222222222E-3</v>
      </c>
      <c r="E5" s="69">
        <v>0.1253810975609756</v>
      </c>
      <c r="F5" s="70">
        <v>0.69090909090909092</v>
      </c>
      <c r="G5" s="70">
        <v>2.9090909090909091E-2</v>
      </c>
      <c r="H5" s="80">
        <v>1.1533150485667867</v>
      </c>
      <c r="I5" s="38">
        <f>$E$1*$F$1*SUM($F$3:$F5)*(1-SUM(G$3:G4))</f>
        <v>189.99668363636366</v>
      </c>
      <c r="J5" s="38">
        <f>I5*H5</f>
        <v>219.12603441560117</v>
      </c>
      <c r="K5" s="78"/>
      <c r="L5" s="74">
        <v>2.0369483568075117</v>
      </c>
      <c r="M5" s="65">
        <f t="shared" si="1"/>
        <v>446.34841573660509</v>
      </c>
      <c r="N5" s="65">
        <f>SUM(M$3:M5)/$E$1</f>
        <v>0.17010229258254767</v>
      </c>
      <c r="O5" s="40"/>
      <c r="S5" s="65" t="s">
        <v>121</v>
      </c>
      <c r="T5" s="38">
        <v>9</v>
      </c>
      <c r="U5" s="75">
        <f>SUMIF($A$3:$A$32,"&lt;"&amp;$T5,E$3:E$32)</f>
        <v>0.85823170731707321</v>
      </c>
      <c r="V5" s="75">
        <f>SUMIF($A$3:$A$32,"&lt;"&amp;$T5,F$3:F$32)</f>
        <v>0.93818181818181812</v>
      </c>
      <c r="W5" s="75">
        <f>SUMIF($A$3:$A$32,"&lt;"&amp;$T5,G$3:G$32)</f>
        <v>0.5636363636363636</v>
      </c>
      <c r="X5" s="65">
        <f t="shared" ref="X5:X10" si="3">(SUMIF($A$3:$A$32,"&lt;"&amp;$T5,J$3:J$32)-SUMIF($A$3:$A$32,"&lt;"&amp;$T4,J$3:J$32))/($E$1*$F$1*$V5*(1-W4))</f>
        <v>0.17868261315823455</v>
      </c>
      <c r="Y5" s="77">
        <f t="shared" si="2"/>
        <v>3.5912486020310888</v>
      </c>
      <c r="Z5" s="38">
        <f>INDEX($N$3:$N$32,T5,1)</f>
        <v>0.58755798932089875</v>
      </c>
    </row>
    <row r="6" spans="1:26">
      <c r="A6" s="38">
        <v>4</v>
      </c>
      <c r="B6" s="38">
        <v>4</v>
      </c>
      <c r="C6" s="38">
        <f>10/(60*24)</f>
        <v>6.9444444444444441E-3</v>
      </c>
      <c r="D6" s="73">
        <f t="shared" si="0"/>
        <v>1.3888888888888888E-2</v>
      </c>
      <c r="E6" s="69">
        <v>9.184451219512195E-2</v>
      </c>
      <c r="F6" s="70">
        <v>3.6363636363636362E-2</v>
      </c>
      <c r="G6" s="70">
        <v>6.545454545454546E-2</v>
      </c>
      <c r="H6" s="80">
        <v>5.4146246411586232E-2</v>
      </c>
      <c r="I6" s="38">
        <f>$E$1*$F$1*SUM($F$3:$F6)*(1-SUM(G$3:G5))</f>
        <v>194.17842882644632</v>
      </c>
      <c r="J6" s="38">
        <f>I6*H6</f>
        <v>10.514033055051422</v>
      </c>
      <c r="K6" s="78"/>
      <c r="L6" s="74">
        <v>1.7899999999999998</v>
      </c>
      <c r="M6" s="65">
        <f t="shared" si="1"/>
        <v>18.820119168542043</v>
      </c>
      <c r="N6" s="65">
        <f>SUM(M$3:M6)/$E$1</f>
        <v>0.17727459409494936</v>
      </c>
      <c r="O6" s="40"/>
      <c r="S6" s="65" t="s">
        <v>106</v>
      </c>
      <c r="T6" s="38">
        <v>10</v>
      </c>
      <c r="U6" s="75">
        <f>SUMIF($A$3:$A$32,"&lt;"&amp;$T6,E$3:E$32)</f>
        <v>0.93254573170731714</v>
      </c>
      <c r="V6" s="75">
        <f>SUMIF($A$3:$A$32,"&lt;"&amp;$T6,F$3:F$32)</f>
        <v>0.97818181818181815</v>
      </c>
      <c r="W6" s="75">
        <f>SUMIF($A$3:$A$32,"&lt;"&amp;$T6,G$3:G$32)</f>
        <v>0.72363636363636363</v>
      </c>
      <c r="X6" s="65">
        <f t="shared" si="3"/>
        <v>0.16785336387591737</v>
      </c>
      <c r="Y6" s="77">
        <f t="shared" si="2"/>
        <v>3.9844040881831231</v>
      </c>
      <c r="Z6" s="38">
        <f>INDEX($N$3:$N$32,T6,1)</f>
        <v>0.60948279076240708</v>
      </c>
    </row>
    <row r="7" spans="1:26" ht="16.5">
      <c r="A7" s="38">
        <v>5</v>
      </c>
      <c r="B7" s="38">
        <v>5</v>
      </c>
      <c r="C7" s="38">
        <f>30/(60*24)</f>
        <v>2.0833333333333332E-2</v>
      </c>
      <c r="D7" s="73">
        <f t="shared" si="0"/>
        <v>2.0833333333333332E-2</v>
      </c>
      <c r="E7" s="69">
        <v>0.10022865853658537</v>
      </c>
      <c r="F7" s="70">
        <v>6.1818181818181821E-2</v>
      </c>
      <c r="G7" s="70">
        <v>8.3636363636363634E-2</v>
      </c>
      <c r="H7" s="80">
        <v>0.27073123205793115</v>
      </c>
      <c r="I7" s="38">
        <f>$E$1*$F$1*SUM($F$3:$F7)*(1-SUM(G$3:G6))</f>
        <v>196.48020683107441</v>
      </c>
      <c r="J7" s="38">
        <f>I7*H7</f>
        <v>53.193328470373913</v>
      </c>
      <c r="K7" s="78"/>
      <c r="L7" s="74">
        <v>8.17</v>
      </c>
      <c r="M7" s="65">
        <f t="shared" si="1"/>
        <v>434.58949360295486</v>
      </c>
      <c r="N7" s="65">
        <f>SUM(M$3:M7)/$E$1</f>
        <v>0.3428955901326608</v>
      </c>
      <c r="S7" s="65" t="s">
        <v>122</v>
      </c>
      <c r="T7" s="38">
        <v>11</v>
      </c>
      <c r="U7" s="75">
        <f>SUMIF($A$3:$A$32,"&lt;"&amp;$T7,E$3:E$32)</f>
        <v>0.96417682926829273</v>
      </c>
      <c r="V7" s="75">
        <f>SUMIF($A$3:$A$32,"&lt;"&amp;$T7,F$3:F$32)</f>
        <v>0.99272727272727268</v>
      </c>
      <c r="W7" s="75">
        <f>SUMIF($A$3:$A$32,"&lt;"&amp;$T7,G$3:G$32)</f>
        <v>0.83272727272727276</v>
      </c>
      <c r="X7" s="65">
        <f t="shared" si="3"/>
        <v>9.2048618899696344E-2</v>
      </c>
      <c r="Y7" s="77">
        <f t="shared" si="2"/>
        <v>4.0602122960856279</v>
      </c>
      <c r="Z7" s="38">
        <f>INDEX($N$3:$N$32,T7,1)</f>
        <v>0.61526337944760323</v>
      </c>
    </row>
    <row r="8" spans="1:26">
      <c r="A8" s="38">
        <v>6</v>
      </c>
      <c r="B8" s="38">
        <v>6</v>
      </c>
      <c r="C8" s="38">
        <f>60/(60*24)</f>
        <v>4.1666666666666664E-2</v>
      </c>
      <c r="D8" s="73">
        <f t="shared" si="0"/>
        <v>2.0833333333333336E-2</v>
      </c>
      <c r="E8" s="69">
        <v>8.6128048780487798E-2</v>
      </c>
      <c r="F8" s="70">
        <v>4.7272727272727272E-2</v>
      </c>
      <c r="G8" s="70">
        <v>9.8181818181818176E-2</v>
      </c>
      <c r="H8" s="80">
        <v>0.16785336387591732</v>
      </c>
      <c r="I8" s="38">
        <f>$E$1*$F$1*SUM($F$3:$F8)*(1-SUM(G$3:G7))</f>
        <v>189.01488259173553</v>
      </c>
      <c r="J8" s="38">
        <f>I8*H8</f>
        <v>31.726783865634374</v>
      </c>
      <c r="K8" s="78"/>
      <c r="L8" s="74">
        <v>4.9577419354838712</v>
      </c>
      <c r="M8" s="65">
        <f t="shared" si="1"/>
        <v>157.29320684868861</v>
      </c>
      <c r="N8" s="65">
        <f>SUM(M$3:M8)/$E$1</f>
        <v>0.4028396476207281</v>
      </c>
      <c r="S8" s="65" t="s">
        <v>113</v>
      </c>
      <c r="T8" s="38">
        <v>12</v>
      </c>
      <c r="U8" s="75">
        <f>SUMIF($A$3:$A$32,"&lt;"&amp;$T8,E$3:E$32)</f>
        <v>0.98018292682926833</v>
      </c>
      <c r="V8" s="75">
        <f>SUMIF($A$3:$A$32,"&lt;"&amp;$T8,F$3:F$32)</f>
        <v>1</v>
      </c>
      <c r="W8" s="75">
        <f>SUMIF($A$3:$A$32,"&lt;"&amp;$T8,G$3:G$32)</f>
        <v>0.89818181818181819</v>
      </c>
      <c r="X8" s="65">
        <f t="shared" si="3"/>
        <v>5.4146246411586461E-2</v>
      </c>
      <c r="Y8" s="77">
        <f t="shared" si="2"/>
        <v>4.0729665532748029</v>
      </c>
      <c r="Z8" s="38">
        <f>INDEX($N$3:$N$32,T8,1)</f>
        <v>0.61901195110073204</v>
      </c>
    </row>
    <row r="9" spans="1:26" ht="16.5">
      <c r="A9" s="38">
        <v>7</v>
      </c>
      <c r="B9" s="38">
        <v>7</v>
      </c>
      <c r="C9" s="38">
        <f>90/(60*24)</f>
        <v>6.25E-2</v>
      </c>
      <c r="D9" s="73">
        <f t="shared" si="0"/>
        <v>0.27083333333333331</v>
      </c>
      <c r="E9" s="69">
        <v>9.6036585365853661E-2</v>
      </c>
      <c r="F9" s="70">
        <v>5.0909090909090911E-2</v>
      </c>
      <c r="G9" s="70">
        <v>0.12</v>
      </c>
      <c r="H9" s="80">
        <v>0.14078024067012421</v>
      </c>
      <c r="I9" s="38">
        <f>$E$1*$F$1*SUM($F$3:$F9)*(1-SUM(G$3:G8))</f>
        <v>176.56419082578512</v>
      </c>
      <c r="J9" s="38">
        <f>I9*H9</f>
        <v>24.856749278179766</v>
      </c>
      <c r="K9" s="78"/>
      <c r="L9" s="74">
        <v>3.7592307692307689</v>
      </c>
      <c r="M9" s="65">
        <f t="shared" si="1"/>
        <v>93.442256709588079</v>
      </c>
      <c r="N9" s="65">
        <f>SUM(M$3:M9)/$E$1</f>
        <v>0.43845026374480894</v>
      </c>
      <c r="S9" s="65" t="s">
        <v>123</v>
      </c>
      <c r="T9" s="38">
        <v>13</v>
      </c>
      <c r="U9" s="75">
        <f>SUMIF($A$3:$A$32,"&lt;"&amp;$T9,E$3:E$32)</f>
        <v>0.98628048780487809</v>
      </c>
      <c r="V9" s="75">
        <f>SUMIF($A$3:$A$32,"&lt;"&amp;$T9,F$3:F$32)</f>
        <v>1</v>
      </c>
      <c r="W9" s="75">
        <f>SUMIF($A$3:$A$32,"&lt;"&amp;$T9,G$3:G$32)</f>
        <v>0.94545454545454544</v>
      </c>
      <c r="X9" s="65">
        <f t="shared" si="3"/>
        <v>6.4975495693903207E-2</v>
      </c>
      <c r="Y9" s="77">
        <f t="shared" si="2"/>
        <v>4.0790598939219622</v>
      </c>
      <c r="Z9" s="38">
        <f>INDEX($N$3:$N$32,T9,1)</f>
        <v>0.61904259354450131</v>
      </c>
    </row>
    <row r="10" spans="1:26">
      <c r="A10" s="38">
        <v>8</v>
      </c>
      <c r="B10" s="38">
        <v>8</v>
      </c>
      <c r="C10" s="38">
        <f>8/24</f>
        <v>0.33333333333333331</v>
      </c>
      <c r="D10" s="73">
        <f t="shared" si="0"/>
        <v>0.36666666666666664</v>
      </c>
      <c r="E10" s="69">
        <v>0.11280487804878049</v>
      </c>
      <c r="F10" s="70">
        <v>5.0909090909090911E-2</v>
      </c>
      <c r="G10" s="70">
        <v>0.16727272727272727</v>
      </c>
      <c r="H10" s="80">
        <v>0.17868261315823455</v>
      </c>
      <c r="I10" s="38">
        <f>$E$1*$F$1*SUM($F$3:$F10)*(1-SUM(G$3:G9))</f>
        <v>155.73546347900827</v>
      </c>
      <c r="J10" s="38">
        <f>I10*H10</f>
        <v>27.827219575838001</v>
      </c>
      <c r="K10" s="78"/>
      <c r="L10" s="74">
        <v>6.0506060606060599</v>
      </c>
      <c r="M10" s="65">
        <f t="shared" si="1"/>
        <v>168.37154341538101</v>
      </c>
      <c r="N10" s="65">
        <f>SUM(M$3:M10)/$E$1</f>
        <v>0.50261624827810958</v>
      </c>
      <c r="O10" s="38" t="s">
        <v>103</v>
      </c>
      <c r="S10" s="65" t="s">
        <v>110</v>
      </c>
      <c r="T10" s="38">
        <v>14</v>
      </c>
      <c r="U10" s="75">
        <f>SUMIF($A$3:$A$32,"&lt;"&amp;$T10,E$3:E$32)</f>
        <v>0.99275914634146345</v>
      </c>
      <c r="V10" s="75">
        <f>SUMIF($A$3:$A$32,"&lt;"&amp;$T10,F$3:F$32)</f>
        <v>1</v>
      </c>
      <c r="W10" s="75">
        <f>SUMIF($A$3:$A$32,"&lt;"&amp;$T10,G$3:G$32)</f>
        <v>0.97454545454545449</v>
      </c>
      <c r="X10" s="65">
        <f t="shared" si="3"/>
        <v>5.4146246411578194E-3</v>
      </c>
      <c r="Y10" s="77">
        <f t="shared" si="2"/>
        <v>4.0784299715831356</v>
      </c>
      <c r="Z10" s="38">
        <f>INDEX($N$3:$N$32,T10,1)</f>
        <v>0.61911467034994638</v>
      </c>
    </row>
    <row r="11" spans="1:26">
      <c r="A11" s="55">
        <v>9</v>
      </c>
      <c r="B11" s="55">
        <v>9</v>
      </c>
      <c r="C11" s="55">
        <v>0.7</v>
      </c>
      <c r="D11" s="67">
        <f t="shared" si="0"/>
        <v>0.40000000000000013</v>
      </c>
      <c r="E11" s="69">
        <v>7.4314024390243899E-2</v>
      </c>
      <c r="F11" s="70">
        <v>0.04</v>
      </c>
      <c r="G11" s="70">
        <v>0.16</v>
      </c>
      <c r="H11" s="80">
        <v>0.16785336387591732</v>
      </c>
      <c r="I11" s="38">
        <f>$E$1*$F$1*SUM($F$3:$F11)*(1-SUM(G$3:G10))</f>
        <v>117.3797693355372</v>
      </c>
      <c r="J11" s="38">
        <f>I11*H11</f>
        <v>19.702589133949168</v>
      </c>
      <c r="K11" s="78"/>
      <c r="L11" s="74">
        <v>11.31258064516129</v>
      </c>
      <c r="M11" s="65">
        <f t="shared" si="1"/>
        <v>222.88712849627851</v>
      </c>
      <c r="N11" s="65">
        <f>SUM(M$3:M11)/$E$1</f>
        <v>0.58755798932089875</v>
      </c>
      <c r="S11" s="84" t="s">
        <v>115</v>
      </c>
      <c r="T11" s="85">
        <v>24</v>
      </c>
      <c r="U11" s="86">
        <f>SUMIF($A$3:$A$32,"&lt;"&amp;$T11,E$3:E$32)</f>
        <v>1</v>
      </c>
      <c r="V11" s="86">
        <f>SUMIF($A$3:$A$32,"&lt;"&amp;$T11,F$3:F$32)</f>
        <v>1</v>
      </c>
      <c r="W11" s="86">
        <f>SUMIF($A$3:$A$32,"&lt;"&amp;$T11,G$3:G$32)</f>
        <v>1</v>
      </c>
      <c r="X11" s="85">
        <v>0</v>
      </c>
      <c r="Y11" s="85">
        <f t="shared" si="2"/>
        <v>4.0785167109350162</v>
      </c>
      <c r="Z11" s="85">
        <f>INDEX($N$3:$N$32,T11,1)</f>
        <v>0.61911467034994638</v>
      </c>
    </row>
    <row r="12" spans="1:26">
      <c r="A12" s="55">
        <v>10</v>
      </c>
      <c r="B12" s="55">
        <v>11</v>
      </c>
      <c r="C12" s="55">
        <v>1.1000000000000001</v>
      </c>
      <c r="D12" s="67">
        <f t="shared" si="0"/>
        <v>0.39999999999999991</v>
      </c>
      <c r="E12" s="69">
        <v>3.163109756097561E-2</v>
      </c>
      <c r="F12" s="70">
        <v>1.4545454545454545E-2</v>
      </c>
      <c r="G12" s="70">
        <v>0.10909090909090909</v>
      </c>
      <c r="H12" s="80">
        <v>9.2048618899696594E-2</v>
      </c>
      <c r="I12" s="38">
        <f>$E$1*$F$1*SUM($F$3:$F12)*(1-SUM(G$3:G11))</f>
        <v>75.445955829421493</v>
      </c>
      <c r="J12" s="38">
        <f>I12*H12</f>
        <v>6.9446960356657614</v>
      </c>
      <c r="K12" s="78"/>
      <c r="L12" s="74">
        <v>8.2841176470588245</v>
      </c>
      <c r="M12" s="65">
        <f t="shared" si="1"/>
        <v>57.530678982518197</v>
      </c>
      <c r="N12" s="65">
        <f>SUM(M$3:M12)/$E$1</f>
        <v>0.60948279076240708</v>
      </c>
      <c r="O12" s="55"/>
      <c r="S12" s="84" t="s">
        <v>117</v>
      </c>
      <c r="T12" s="85">
        <v>28</v>
      </c>
      <c r="U12" s="86">
        <f>SUMIF($A$3:$A$32,"&lt;"&amp;$T12,E$3:E$32)</f>
        <v>1</v>
      </c>
      <c r="V12" s="86">
        <f>SUMIF($A$3:$A$32,"&lt;"&amp;$T12,F$3:F$32)</f>
        <v>1</v>
      </c>
      <c r="W12" s="86">
        <f>SUMIF($A$3:$A$32,"&lt;"&amp;$T12,G$3:G$32)</f>
        <v>1</v>
      </c>
      <c r="X12" s="85">
        <v>0</v>
      </c>
      <c r="Y12" s="85">
        <f t="shared" si="2"/>
        <v>4.0785167109350162</v>
      </c>
      <c r="Z12" s="85">
        <f>INDEX($N$3:$N$32,T12,1)</f>
        <v>0.61911467034994638</v>
      </c>
    </row>
    <row r="13" spans="1:26">
      <c r="A13" s="55">
        <v>11</v>
      </c>
      <c r="B13" s="55">
        <v>12</v>
      </c>
      <c r="C13" s="55">
        <v>1.5</v>
      </c>
      <c r="D13" s="67">
        <f t="shared" si="0"/>
        <v>0.5</v>
      </c>
      <c r="E13" s="69">
        <v>1.600609756097561E-2</v>
      </c>
      <c r="F13" s="70">
        <v>7.2727272727272727E-3</v>
      </c>
      <c r="G13" s="70">
        <v>6.545454545454546E-2</v>
      </c>
      <c r="H13" s="80">
        <v>5.4146246411586232E-2</v>
      </c>
      <c r="I13" s="38">
        <f>$E$1*$F$1*SUM($F$3:$F13)*(1-SUM(G$3:G12))</f>
        <v>45.999197090909085</v>
      </c>
      <c r="J13" s="38">
        <f>I13*H13</f>
        <v>2.4906838604194839</v>
      </c>
      <c r="K13" s="78"/>
      <c r="L13" s="74">
        <v>6.09</v>
      </c>
      <c r="M13" s="65">
        <f t="shared" si="1"/>
        <v>15.168264709954656</v>
      </c>
      <c r="N13" s="65">
        <f>SUM(M$3:M13)/$E$1</f>
        <v>0.61526337944760323</v>
      </c>
      <c r="O13" s="38" t="s">
        <v>104</v>
      </c>
      <c r="S13" s="84" t="s">
        <v>118</v>
      </c>
      <c r="T13" s="85">
        <v>29</v>
      </c>
      <c r="U13" s="86">
        <f>SUMIF($A$3:$A$32,"&lt;"&amp;$T13,E$3:E$32)</f>
        <v>1</v>
      </c>
      <c r="V13" s="86">
        <f>SUMIF($A$3:$A$32,"&lt;"&amp;$T13,F$3:F$32)</f>
        <v>1</v>
      </c>
      <c r="W13" s="86">
        <f>SUMIF($A$3:$A$32,"&lt;"&amp;$T13,G$3:G$32)</f>
        <v>1</v>
      </c>
      <c r="X13" s="85">
        <v>0</v>
      </c>
      <c r="Y13" s="85">
        <f t="shared" si="2"/>
        <v>4.0785167109350162</v>
      </c>
      <c r="Z13" s="85">
        <f>INDEX($N$3:$N$32,T13,1)</f>
        <v>0.61911467034994638</v>
      </c>
    </row>
    <row r="14" spans="1:26">
      <c r="A14" s="55">
        <v>12</v>
      </c>
      <c r="B14" s="55">
        <v>13</v>
      </c>
      <c r="C14" s="55">
        <v>2</v>
      </c>
      <c r="D14" s="67">
        <f t="shared" si="0"/>
        <v>0.5</v>
      </c>
      <c r="E14" s="69">
        <v>6.0975609756097563E-3</v>
      </c>
      <c r="F14" s="70">
        <v>0</v>
      </c>
      <c r="G14" s="70">
        <v>4.7272727272727272E-2</v>
      </c>
      <c r="H14" s="80">
        <v>6.4975495693903484E-2</v>
      </c>
      <c r="I14" s="38">
        <f>$E$1*$F$1*SUM($F$3:$F14)*(1-SUM(G$3:G13))</f>
        <v>27.999511272727272</v>
      </c>
      <c r="J14" s="38">
        <f>I14*H14</f>
        <v>1.819282124132493</v>
      </c>
      <c r="K14" s="78"/>
      <c r="L14" s="74">
        <v>5.4066666666666663</v>
      </c>
      <c r="M14" s="65">
        <f t="shared" si="1"/>
        <v>9.8362520178096791</v>
      </c>
      <c r="N14" s="65">
        <f>SUM(M$3:M14)/$E$1</f>
        <v>0.61901195110073204</v>
      </c>
      <c r="S14" s="84" t="s">
        <v>119</v>
      </c>
      <c r="T14" s="85">
        <v>30</v>
      </c>
      <c r="U14" s="86">
        <f>SUMIF($A$3:$A$32,"&lt;"&amp;$T14,E$3:E$32)</f>
        <v>1</v>
      </c>
      <c r="V14" s="86">
        <f>SUMIF($A$3:$A$32,"&lt;"&amp;$T14,F$3:F$32)</f>
        <v>1</v>
      </c>
      <c r="W14" s="86">
        <f>SUMIF($A$3:$A$32,"&lt;"&amp;$T14,G$3:G$32)</f>
        <v>1</v>
      </c>
      <c r="X14" s="85">
        <v>0</v>
      </c>
      <c r="Y14" s="85">
        <f t="shared" si="2"/>
        <v>4.0785167109350162</v>
      </c>
      <c r="Z14" s="85">
        <f>INDEX($N$3:$N$32,T14,1)</f>
        <v>0.61911467034994638</v>
      </c>
    </row>
    <row r="15" spans="1:26">
      <c r="A15" s="55">
        <v>13</v>
      </c>
      <c r="B15" s="55">
        <v>14</v>
      </c>
      <c r="C15" s="55">
        <v>2.5</v>
      </c>
      <c r="D15" s="67">
        <f t="shared" si="0"/>
        <v>0.5</v>
      </c>
      <c r="E15" s="69">
        <v>6.4786585365853655E-3</v>
      </c>
      <c r="F15" s="70">
        <v>0</v>
      </c>
      <c r="G15" s="70">
        <v>2.9090909090909091E-2</v>
      </c>
      <c r="H15" s="80">
        <v>5.4146246411586234E-3</v>
      </c>
      <c r="I15" s="38">
        <f>$E$1*$F$1*SUM($F$3:$F15)*(1-SUM(G$3:G14))</f>
        <v>14.999738181818188</v>
      </c>
      <c r="J15" s="38">
        <f>I15*H15</f>
        <v>8.1217951970200611E-2</v>
      </c>
      <c r="K15" s="78"/>
      <c r="L15" s="74">
        <v>0.99</v>
      </c>
      <c r="M15" s="65">
        <f t="shared" si="1"/>
        <v>8.0405772450498597E-2</v>
      </c>
      <c r="N15" s="65">
        <f>SUM(M$3:M15)/$E$1</f>
        <v>0.61904259354450131</v>
      </c>
      <c r="O15" s="55"/>
      <c r="S15" s="55"/>
      <c r="T15" s="55"/>
      <c r="U15" s="55"/>
      <c r="V15" s="55"/>
      <c r="W15" s="55"/>
      <c r="X15" s="55"/>
      <c r="Y15" s="55"/>
      <c r="Z15" s="55"/>
    </row>
    <row r="16" spans="1:26">
      <c r="A16" s="55">
        <v>14</v>
      </c>
      <c r="B16" s="55">
        <v>16</v>
      </c>
      <c r="C16" s="55">
        <v>3</v>
      </c>
      <c r="D16" s="67">
        <f t="shared" si="0"/>
        <v>0.60000000000000009</v>
      </c>
      <c r="E16" s="69">
        <v>3.4298780487804878E-3</v>
      </c>
      <c r="F16" s="70">
        <v>0</v>
      </c>
      <c r="G16" s="70">
        <v>1.090909090909091E-2</v>
      </c>
      <c r="H16" s="80">
        <v>5.4146246411586234E-3</v>
      </c>
      <c r="I16" s="38">
        <f>$E$1*$F$1*SUM($F$3:$F16)*(1-SUM(G$3:G15))</f>
        <v>6.9998778181818331</v>
      </c>
      <c r="J16" s="38">
        <f>I16*H16</f>
        <v>3.7901710919427019E-2</v>
      </c>
      <c r="K16" s="78"/>
      <c r="L16" s="74">
        <v>4.99</v>
      </c>
      <c r="M16" s="65">
        <f t="shared" si="1"/>
        <v>0.18912953748794084</v>
      </c>
      <c r="N16" s="65">
        <f>SUM(M$3:M16)/$E$1</f>
        <v>0.61911467034994638</v>
      </c>
      <c r="O16" s="38" t="s">
        <v>107</v>
      </c>
      <c r="S16" s="55"/>
      <c r="T16" s="55"/>
      <c r="U16" s="55"/>
      <c r="V16" s="55"/>
      <c r="W16" s="55"/>
      <c r="X16" s="55"/>
      <c r="Y16" s="55"/>
      <c r="Z16" s="55"/>
    </row>
    <row r="17" spans="1:26">
      <c r="A17" s="55">
        <v>15</v>
      </c>
      <c r="B17" s="55">
        <v>17</v>
      </c>
      <c r="C17" s="55">
        <v>3.6</v>
      </c>
      <c r="D17" s="67">
        <f t="shared" si="0"/>
        <v>0.69999999999999973</v>
      </c>
      <c r="E17" s="69">
        <v>2.6676829268292685E-3</v>
      </c>
      <c r="F17" s="70">
        <v>0</v>
      </c>
      <c r="G17" s="70">
        <v>7.2727272727272727E-3</v>
      </c>
      <c r="H17" s="80">
        <v>0</v>
      </c>
      <c r="I17" s="38">
        <f>$E$1*$F$1*SUM($F$3:$F17)*(1-SUM(G$3:G16))</f>
        <v>3.9999301818182076</v>
      </c>
      <c r="J17" s="38">
        <f>I17*H17</f>
        <v>0</v>
      </c>
      <c r="K17" s="78"/>
      <c r="L17" s="74">
        <v>0</v>
      </c>
      <c r="M17" s="65">
        <f t="shared" si="1"/>
        <v>0</v>
      </c>
      <c r="N17" s="65">
        <f>SUM(M$3:M17)/$E$1</f>
        <v>0.61911467034994638</v>
      </c>
      <c r="O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55">
        <v>16</v>
      </c>
      <c r="B18" s="55">
        <v>18</v>
      </c>
      <c r="C18" s="55">
        <v>4.3</v>
      </c>
      <c r="D18" s="67">
        <f t="shared" si="0"/>
        <v>0.79999999999999982</v>
      </c>
      <c r="E18" s="69">
        <v>1.1432926829268292E-3</v>
      </c>
      <c r="F18" s="70">
        <v>0</v>
      </c>
      <c r="G18" s="70">
        <v>7.2727272727272727E-3</v>
      </c>
      <c r="H18" s="80">
        <v>0</v>
      </c>
      <c r="I18" s="38">
        <f>$E$1*$F$1*SUM($F$3:$F18)*(1-SUM(G$3:G17))</f>
        <v>1.9999650909091038</v>
      </c>
      <c r="J18" s="38">
        <f>I18*H18</f>
        <v>0</v>
      </c>
      <c r="K18" s="78"/>
      <c r="L18" s="74">
        <v>0</v>
      </c>
      <c r="M18" s="65">
        <f t="shared" si="1"/>
        <v>0</v>
      </c>
      <c r="N18" s="65">
        <f>SUM(M$3:M18)/$E$1</f>
        <v>0.61911467034994638</v>
      </c>
      <c r="O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55">
        <v>17</v>
      </c>
      <c r="B19" s="55">
        <v>19</v>
      </c>
      <c r="C19" s="55">
        <v>5.0999999999999996</v>
      </c>
      <c r="D19" s="67">
        <f t="shared" si="0"/>
        <v>0.90000000000000036</v>
      </c>
      <c r="E19" s="69">
        <v>0</v>
      </c>
      <c r="F19" s="70">
        <v>0</v>
      </c>
      <c r="G19" s="70">
        <v>0</v>
      </c>
      <c r="H19" s="80">
        <v>0</v>
      </c>
      <c r="I19" s="38">
        <f>$E$1*$F$1*SUM($F$3:$F19)*(1-SUM(G$3:G18))</f>
        <v>0</v>
      </c>
      <c r="J19" s="38">
        <f>I19*H19</f>
        <v>0</v>
      </c>
      <c r="K19" s="78"/>
      <c r="L19" s="74">
        <v>0</v>
      </c>
      <c r="M19" s="65">
        <f t="shared" si="1"/>
        <v>0</v>
      </c>
      <c r="N19" s="65">
        <f>SUM(M$3:M19)/$E$1</f>
        <v>0.61911467034994638</v>
      </c>
      <c r="S19" s="55"/>
      <c r="T19" s="55"/>
      <c r="U19" s="55"/>
      <c r="V19" s="55"/>
      <c r="W19" s="55"/>
      <c r="X19" s="55"/>
      <c r="Y19" s="55"/>
      <c r="Z19" s="55"/>
    </row>
    <row r="20" spans="1:26">
      <c r="A20" s="55">
        <v>18</v>
      </c>
      <c r="B20" s="55">
        <v>20</v>
      </c>
      <c r="C20" s="55">
        <v>6</v>
      </c>
      <c r="D20" s="67">
        <f t="shared" si="0"/>
        <v>1.2000000000000002</v>
      </c>
      <c r="E20" s="69">
        <v>0</v>
      </c>
      <c r="F20" s="70">
        <v>0</v>
      </c>
      <c r="G20" s="70">
        <v>0</v>
      </c>
      <c r="H20" s="80">
        <v>0</v>
      </c>
      <c r="I20" s="38">
        <f>$E$1*$F$1*SUM($F$3:$F20)*(1-SUM(G$3:G19))</f>
        <v>0</v>
      </c>
      <c r="J20" s="38">
        <f>I20*H20</f>
        <v>0</v>
      </c>
      <c r="K20" s="74">
        <v>0</v>
      </c>
      <c r="L20" s="65">
        <f>K20*D20</f>
        <v>0</v>
      </c>
      <c r="M20" s="65">
        <f t="shared" si="1"/>
        <v>0</v>
      </c>
      <c r="N20" s="65">
        <f>SUM(M$3:M20)/$E$1</f>
        <v>0.61911467034994638</v>
      </c>
      <c r="S20" s="55"/>
      <c r="T20" s="55"/>
      <c r="U20" s="55"/>
      <c r="V20" s="55"/>
      <c r="W20" s="55"/>
      <c r="X20" s="55"/>
      <c r="Y20" s="55"/>
      <c r="Z20" s="55"/>
    </row>
    <row r="21" spans="1:26">
      <c r="A21" s="55">
        <v>19</v>
      </c>
      <c r="B21" s="55">
        <v>21</v>
      </c>
      <c r="C21" s="55">
        <v>7.2</v>
      </c>
      <c r="D21" s="67">
        <f t="shared" si="0"/>
        <v>1.2999999999999998</v>
      </c>
      <c r="E21" s="69">
        <v>0</v>
      </c>
      <c r="F21" s="70">
        <v>0</v>
      </c>
      <c r="G21" s="70">
        <v>0</v>
      </c>
      <c r="H21" s="80">
        <v>0</v>
      </c>
      <c r="I21" s="38">
        <f>$E$1*$F$1*SUM($F$3:$F21)*(1-SUM(G$3:G20))</f>
        <v>0</v>
      </c>
      <c r="J21" s="38">
        <f>I21*H21</f>
        <v>0</v>
      </c>
      <c r="K21" s="74">
        <v>0</v>
      </c>
      <c r="L21" s="65">
        <f>K21*D21</f>
        <v>0</v>
      </c>
      <c r="M21" s="65">
        <f t="shared" si="1"/>
        <v>0</v>
      </c>
      <c r="N21" s="65">
        <f>SUM(M$3:M21)/$E$1</f>
        <v>0.61911467034994638</v>
      </c>
      <c r="O21" s="38" t="s">
        <v>111</v>
      </c>
      <c r="S21" s="55"/>
      <c r="T21" s="55"/>
      <c r="U21" s="55"/>
      <c r="V21" s="55"/>
      <c r="W21" s="55"/>
      <c r="X21" s="55"/>
      <c r="Y21" s="55"/>
      <c r="Z21" s="55"/>
    </row>
    <row r="22" spans="1:26">
      <c r="A22" s="55">
        <v>20</v>
      </c>
      <c r="B22" s="55">
        <v>22</v>
      </c>
      <c r="C22" s="55">
        <v>8.5</v>
      </c>
      <c r="D22" s="67">
        <f t="shared" si="0"/>
        <v>1.4000000000000004</v>
      </c>
      <c r="E22" s="69">
        <v>0</v>
      </c>
      <c r="F22" s="70">
        <v>0</v>
      </c>
      <c r="G22" s="70">
        <v>0</v>
      </c>
      <c r="H22" s="80">
        <v>0</v>
      </c>
      <c r="I22" s="38">
        <f>$E$1*$F$1*SUM($F$3:$F22)*(1-SUM(G$3:G21))</f>
        <v>0</v>
      </c>
      <c r="J22" s="38">
        <f>I22*H22</f>
        <v>0</v>
      </c>
      <c r="K22" s="74">
        <v>0</v>
      </c>
      <c r="L22" s="65">
        <f>K22*D22</f>
        <v>0</v>
      </c>
      <c r="M22" s="65">
        <f t="shared" si="1"/>
        <v>0</v>
      </c>
      <c r="N22" s="65">
        <f>SUM(M$3:M22)/$E$1</f>
        <v>0.61911467034994638</v>
      </c>
      <c r="S22" s="55"/>
      <c r="T22" s="55"/>
      <c r="U22" s="55"/>
      <c r="V22" s="55"/>
      <c r="W22" s="55"/>
      <c r="X22" s="55"/>
      <c r="Y22" s="55"/>
      <c r="Z22" s="55"/>
    </row>
    <row r="23" spans="1:26">
      <c r="A23" s="55">
        <v>21</v>
      </c>
      <c r="B23" s="55">
        <v>23</v>
      </c>
      <c r="C23" s="55">
        <v>9.9</v>
      </c>
      <c r="D23" s="67">
        <f t="shared" si="0"/>
        <v>1.5</v>
      </c>
      <c r="E23" s="69">
        <v>0</v>
      </c>
      <c r="F23" s="70">
        <v>0</v>
      </c>
      <c r="G23" s="70">
        <v>0</v>
      </c>
      <c r="H23" s="80">
        <v>0</v>
      </c>
      <c r="I23" s="38">
        <f>$E$1*$F$1*SUM($F$3:$F23)*(1-SUM(G$3:G22))</f>
        <v>0</v>
      </c>
      <c r="J23" s="38">
        <f>I23*H23</f>
        <v>0</v>
      </c>
      <c r="K23" s="74">
        <v>0</v>
      </c>
      <c r="L23" s="65">
        <f>K23*D23</f>
        <v>0</v>
      </c>
      <c r="M23" s="65">
        <f t="shared" si="1"/>
        <v>0</v>
      </c>
      <c r="N23" s="65">
        <f>SUM(M$3:M23)/$E$1</f>
        <v>0.61911467034994638</v>
      </c>
      <c r="S23" s="55"/>
      <c r="T23" s="55"/>
      <c r="U23" s="55"/>
      <c r="V23" s="55"/>
      <c r="W23" s="55"/>
      <c r="X23" s="55"/>
      <c r="Y23" s="55"/>
      <c r="Z23" s="55"/>
    </row>
    <row r="24" spans="1:26">
      <c r="A24" s="55">
        <v>22</v>
      </c>
      <c r="B24" s="55">
        <v>24</v>
      </c>
      <c r="C24" s="55">
        <v>11.4</v>
      </c>
      <c r="D24" s="67">
        <f t="shared" si="0"/>
        <v>1.5999999999999996</v>
      </c>
      <c r="E24" s="69">
        <v>0</v>
      </c>
      <c r="F24" s="70">
        <v>0</v>
      </c>
      <c r="G24" s="70">
        <v>0</v>
      </c>
      <c r="H24" s="80">
        <v>0</v>
      </c>
      <c r="I24" s="38">
        <f>$E$1*$F$1*SUM($F$3:$F24)*(1-SUM(G$3:G23))</f>
        <v>0</v>
      </c>
      <c r="J24" s="38">
        <f>I24*H24</f>
        <v>0</v>
      </c>
      <c r="K24" s="74">
        <v>0</v>
      </c>
      <c r="L24" s="65">
        <f>K24*D24</f>
        <v>0</v>
      </c>
      <c r="M24" s="65">
        <f t="shared" si="1"/>
        <v>0</v>
      </c>
      <c r="N24" s="65">
        <f>SUM(M$3:M24)/$E$1</f>
        <v>0.61911467034994638</v>
      </c>
      <c r="S24" s="55"/>
      <c r="T24" s="55"/>
      <c r="U24" s="55"/>
      <c r="V24" s="55"/>
      <c r="W24" s="55"/>
      <c r="X24" s="55"/>
      <c r="Y24" s="55"/>
      <c r="Z24" s="55"/>
    </row>
    <row r="25" spans="1:26">
      <c r="A25" s="55">
        <v>23</v>
      </c>
      <c r="B25" s="55">
        <v>25</v>
      </c>
      <c r="C25" s="55">
        <v>13</v>
      </c>
      <c r="D25" s="67">
        <f t="shared" si="0"/>
        <v>2</v>
      </c>
      <c r="E25" s="69">
        <v>0</v>
      </c>
      <c r="F25" s="70">
        <v>0</v>
      </c>
      <c r="G25" s="70">
        <v>0</v>
      </c>
      <c r="H25" s="80">
        <v>0</v>
      </c>
      <c r="I25" s="38">
        <f>$E$1*$F$1*SUM($F$3:$F25)*(1-SUM(G$3:G24))</f>
        <v>0</v>
      </c>
      <c r="J25" s="38">
        <f>I25*H25</f>
        <v>0</v>
      </c>
      <c r="K25" s="74">
        <v>0</v>
      </c>
      <c r="L25" s="65">
        <f>K25*D25</f>
        <v>0</v>
      </c>
      <c r="M25" s="65">
        <f t="shared" si="1"/>
        <v>0</v>
      </c>
      <c r="N25" s="65">
        <f>SUM(M$3:M25)/$E$1</f>
        <v>0.61911467034994638</v>
      </c>
      <c r="S25" s="55"/>
      <c r="T25" s="55"/>
      <c r="U25" s="55"/>
      <c r="V25" s="55"/>
      <c r="W25" s="55"/>
      <c r="X25" s="55"/>
      <c r="Y25" s="55"/>
      <c r="Z25" s="55"/>
    </row>
    <row r="26" spans="1:26">
      <c r="A26" s="55">
        <v>24</v>
      </c>
      <c r="B26" s="55">
        <v>26</v>
      </c>
      <c r="C26" s="55">
        <v>15</v>
      </c>
      <c r="D26" s="67">
        <f t="shared" si="0"/>
        <v>2.5</v>
      </c>
      <c r="E26" s="69">
        <v>0</v>
      </c>
      <c r="F26" s="70">
        <v>0</v>
      </c>
      <c r="G26" s="70">
        <v>0</v>
      </c>
      <c r="H26" s="80">
        <v>0</v>
      </c>
      <c r="I26" s="38">
        <f>$E$1*$F$1*SUM($F$3:$F26)*(1-SUM(G$3:G25))</f>
        <v>0</v>
      </c>
      <c r="J26" s="38">
        <f>I26*H26</f>
        <v>0</v>
      </c>
      <c r="K26" s="74">
        <v>0</v>
      </c>
      <c r="L26" s="65">
        <f>K26*D26</f>
        <v>0</v>
      </c>
      <c r="M26" s="65">
        <f t="shared" si="1"/>
        <v>0</v>
      </c>
      <c r="N26" s="65">
        <f>SUM(M$3:M26)/$E$1</f>
        <v>0.61911467034994638</v>
      </c>
      <c r="O26" s="38" t="s">
        <v>115</v>
      </c>
      <c r="S26" s="55"/>
      <c r="T26" s="55"/>
      <c r="U26" s="55"/>
      <c r="V26" s="55"/>
      <c r="W26" s="55"/>
      <c r="X26" s="55"/>
      <c r="Y26" s="55"/>
      <c r="Z26" s="55"/>
    </row>
    <row r="27" spans="1:26">
      <c r="A27" s="55">
        <v>25</v>
      </c>
      <c r="B27" s="55">
        <v>27</v>
      </c>
      <c r="C27" s="55">
        <v>17.5</v>
      </c>
      <c r="D27" s="67">
        <f t="shared" si="0"/>
        <v>3.3999999999999986</v>
      </c>
      <c r="E27" s="69">
        <v>0</v>
      </c>
      <c r="F27" s="70">
        <v>0</v>
      </c>
      <c r="G27" s="70">
        <v>0</v>
      </c>
      <c r="H27" s="80">
        <v>0</v>
      </c>
      <c r="I27" s="38">
        <f>$E$1*$F$1*SUM($F$3:$F27)*(1-SUM(G$3:G26))</f>
        <v>0</v>
      </c>
      <c r="J27" s="38">
        <f>I27*H27</f>
        <v>0</v>
      </c>
      <c r="K27" s="74">
        <v>0</v>
      </c>
      <c r="L27" s="65">
        <f>K27*D27</f>
        <v>0</v>
      </c>
      <c r="M27" s="65">
        <f t="shared" si="1"/>
        <v>0</v>
      </c>
      <c r="N27" s="65">
        <f>SUM(M$3:M27)/$E$1</f>
        <v>0.61911467034994638</v>
      </c>
      <c r="S27" s="55"/>
      <c r="T27" s="55"/>
      <c r="U27" s="55"/>
      <c r="V27" s="55"/>
      <c r="W27" s="55"/>
      <c r="X27" s="55"/>
      <c r="Y27" s="55"/>
      <c r="Z27" s="55"/>
    </row>
    <row r="28" spans="1:26">
      <c r="A28" s="55">
        <v>26</v>
      </c>
      <c r="B28" s="55">
        <v>28</v>
      </c>
      <c r="C28" s="55">
        <v>20.9</v>
      </c>
      <c r="D28" s="67">
        <f t="shared" si="0"/>
        <v>5.1000000000000014</v>
      </c>
      <c r="E28" s="69">
        <v>0</v>
      </c>
      <c r="F28" s="70">
        <v>0</v>
      </c>
      <c r="G28" s="70">
        <v>0</v>
      </c>
      <c r="H28" s="80">
        <v>0</v>
      </c>
      <c r="I28" s="38">
        <f>$E$1*$F$1*SUM($F$3:$F28)*(1-SUM(G$3:G27))</f>
        <v>0</v>
      </c>
      <c r="J28" s="38">
        <f>I28*H28</f>
        <v>0</v>
      </c>
      <c r="K28" s="74">
        <v>0</v>
      </c>
      <c r="L28" s="65">
        <f>K28*D28</f>
        <v>0</v>
      </c>
      <c r="M28" s="65">
        <f t="shared" si="1"/>
        <v>0</v>
      </c>
      <c r="N28" s="65">
        <f>SUM(M$3:M28)/$E$1</f>
        <v>0.61911467034994638</v>
      </c>
      <c r="S28" s="55"/>
      <c r="T28" s="55"/>
      <c r="U28" s="55"/>
      <c r="V28" s="55"/>
      <c r="W28" s="55"/>
      <c r="X28" s="55"/>
      <c r="Y28" s="55"/>
      <c r="Z28" s="55"/>
    </row>
    <row r="29" spans="1:26">
      <c r="A29" s="38">
        <v>27</v>
      </c>
      <c r="B29" s="38">
        <v>29</v>
      </c>
      <c r="C29" s="38">
        <v>26</v>
      </c>
      <c r="D29" s="64">
        <f t="shared" si="0"/>
        <v>8</v>
      </c>
      <c r="E29" s="69">
        <v>0</v>
      </c>
      <c r="F29" s="70">
        <v>0</v>
      </c>
      <c r="G29" s="70">
        <v>0</v>
      </c>
      <c r="H29" s="80">
        <v>0</v>
      </c>
      <c r="I29" s="38">
        <f>$E$1*$F$1*SUM($F$3:$F29)*(1-SUM(G$3:G28))</f>
        <v>0</v>
      </c>
      <c r="J29" s="38">
        <f>I29*H29</f>
        <v>0</v>
      </c>
      <c r="K29" s="74">
        <v>0</v>
      </c>
      <c r="L29" s="65">
        <f>K29*D29</f>
        <v>0</v>
      </c>
      <c r="M29" s="65">
        <f t="shared" si="1"/>
        <v>0</v>
      </c>
      <c r="N29" s="65">
        <f>SUM(M$3:M29)/$E$1</f>
        <v>0.61911467034994638</v>
      </c>
    </row>
    <row r="30" spans="1:26">
      <c r="A30" s="38">
        <v>28</v>
      </c>
      <c r="B30" s="38">
        <v>30</v>
      </c>
      <c r="C30" s="38">
        <v>34</v>
      </c>
      <c r="D30" s="64">
        <f t="shared" si="0"/>
        <v>10</v>
      </c>
      <c r="E30" s="69">
        <v>0</v>
      </c>
      <c r="F30" s="70">
        <v>0</v>
      </c>
      <c r="G30" s="70">
        <v>0</v>
      </c>
      <c r="H30" s="80">
        <v>0</v>
      </c>
      <c r="I30" s="38">
        <f>$E$1*$F$1*SUM($F$3:$F30)*(1-SUM(G$3:G29))</f>
        <v>0</v>
      </c>
      <c r="J30" s="38">
        <f>I30*H30</f>
        <v>0</v>
      </c>
      <c r="K30" s="74">
        <v>0</v>
      </c>
      <c r="L30" s="65">
        <f>K30*D30</f>
        <v>0</v>
      </c>
      <c r="M30" s="65">
        <f t="shared" si="1"/>
        <v>0</v>
      </c>
      <c r="N30" s="65">
        <f>SUM(M$3:M30)/$E$1</f>
        <v>0.61911467034994638</v>
      </c>
      <c r="O30" s="38" t="s">
        <v>117</v>
      </c>
    </row>
    <row r="31" spans="1:26">
      <c r="A31" s="38">
        <v>29</v>
      </c>
      <c r="B31" s="38">
        <v>31</v>
      </c>
      <c r="C31" s="38">
        <v>44</v>
      </c>
      <c r="D31" s="64">
        <f t="shared" si="0"/>
        <v>12</v>
      </c>
      <c r="E31" s="69">
        <v>0</v>
      </c>
      <c r="F31" s="70">
        <v>0</v>
      </c>
      <c r="G31" s="70">
        <v>0</v>
      </c>
      <c r="H31" s="80">
        <v>0</v>
      </c>
      <c r="I31" s="38">
        <f>$E$1*$F$1*SUM($F$3:$F31)*(1-SUM(G$3:G30))</f>
        <v>0</v>
      </c>
      <c r="J31" s="38">
        <f>I31*H31</f>
        <v>0</v>
      </c>
      <c r="K31" s="74">
        <v>0</v>
      </c>
      <c r="L31" s="65">
        <f>K31*D31</f>
        <v>0</v>
      </c>
      <c r="M31" s="65">
        <f t="shared" si="1"/>
        <v>0</v>
      </c>
      <c r="N31" s="65">
        <f>SUM(M$3:M31)/$E$1</f>
        <v>0.61911467034994638</v>
      </c>
      <c r="O31" s="38" t="s">
        <v>118</v>
      </c>
    </row>
    <row r="32" spans="1:26">
      <c r="A32" s="38">
        <v>30</v>
      </c>
      <c r="B32" s="38">
        <v>32</v>
      </c>
      <c r="C32" s="38">
        <v>56</v>
      </c>
      <c r="D32" s="64">
        <f t="shared" si="0"/>
        <v>14</v>
      </c>
      <c r="E32" s="69">
        <v>0</v>
      </c>
      <c r="F32" s="70">
        <v>0</v>
      </c>
      <c r="G32" s="70">
        <v>0</v>
      </c>
      <c r="H32" s="80">
        <v>0</v>
      </c>
      <c r="I32" s="38">
        <f>$E$1*$F$1*SUM($F$3:$F32)*(1-SUM(G$3:G31))</f>
        <v>0</v>
      </c>
      <c r="J32" s="38">
        <f>I32*H32</f>
        <v>0</v>
      </c>
      <c r="K32" s="74">
        <v>0</v>
      </c>
      <c r="L32" s="65">
        <f>K32*D32</f>
        <v>0</v>
      </c>
      <c r="M32" s="65">
        <f t="shared" si="1"/>
        <v>0</v>
      </c>
      <c r="N32" s="65">
        <f>SUM(M$3:M32)/$E$1</f>
        <v>0.61911467034994638</v>
      </c>
      <c r="O32" s="38" t="s">
        <v>119</v>
      </c>
    </row>
    <row r="33" spans="3:25">
      <c r="C33" s="38">
        <v>70</v>
      </c>
      <c r="G33" s="40"/>
      <c r="I33" s="85"/>
      <c r="J33" s="85"/>
      <c r="M33" s="87"/>
      <c r="N33" s="87"/>
      <c r="O33" s="85"/>
      <c r="X33" s="85"/>
      <c r="Y33" s="85"/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6537-BA00-4155-BA1B-215683B8DFA1}">
  <dimension ref="A2:AL16"/>
  <sheetViews>
    <sheetView workbookViewId="0">
      <selection activeCell="E20" sqref="E20"/>
    </sheetView>
  </sheetViews>
  <sheetFormatPr defaultRowHeight="16.5"/>
  <cols>
    <col min="1" max="1" width="3.5" style="9" bestFit="1" customWidth="1"/>
    <col min="2" max="2" width="9.5" style="9" bestFit="1" customWidth="1"/>
    <col min="3" max="3" width="4.5" style="9" bestFit="1" customWidth="1"/>
    <col min="4" max="4" width="6.125" style="9" customWidth="1"/>
    <col min="5" max="5" width="9" style="9" bestFit="1" customWidth="1"/>
    <col min="6" max="6" width="9" style="9" customWidth="1"/>
    <col min="7" max="10" width="3.375" style="9" bestFit="1" customWidth="1"/>
    <col min="11" max="19" width="5.25" style="9" bestFit="1" customWidth="1"/>
    <col min="20" max="22" width="7.125" style="9" bestFit="1" customWidth="1"/>
    <col min="23" max="29" width="5.25" style="9" bestFit="1" customWidth="1"/>
    <col min="30" max="32" width="7.125" style="9" bestFit="1" customWidth="1"/>
    <col min="33" max="38" width="5.25" style="9" bestFit="1" customWidth="1"/>
    <col min="39" max="16384" width="9" style="9"/>
  </cols>
  <sheetData>
    <row r="2" spans="1:38">
      <c r="A2" s="39" t="s">
        <v>2</v>
      </c>
      <c r="B2" s="39" t="s">
        <v>130</v>
      </c>
      <c r="C2" s="39" t="s">
        <v>0</v>
      </c>
      <c r="D2" s="39" t="s">
        <v>76</v>
      </c>
      <c r="E2" s="39" t="s">
        <v>156</v>
      </c>
      <c r="F2" s="39" t="s">
        <v>157</v>
      </c>
      <c r="G2" s="81" t="s">
        <v>131</v>
      </c>
      <c r="H2" s="81"/>
      <c r="I2" s="81"/>
      <c r="J2" s="81"/>
      <c r="K2" s="81" t="s">
        <v>149</v>
      </c>
      <c r="L2" s="81"/>
      <c r="M2" s="81"/>
      <c r="N2" s="81"/>
      <c r="O2" s="81" t="s">
        <v>148</v>
      </c>
      <c r="P2" s="81"/>
      <c r="Q2" s="81"/>
      <c r="R2" s="81"/>
      <c r="S2" s="81" t="s">
        <v>155</v>
      </c>
      <c r="T2" s="81"/>
      <c r="U2" s="81"/>
      <c r="V2" s="81"/>
      <c r="W2" s="81"/>
      <c r="X2" s="81"/>
      <c r="Y2" s="81"/>
      <c r="Z2" s="81"/>
      <c r="AA2" s="81"/>
      <c r="AB2" s="81"/>
      <c r="AC2" s="81" t="s">
        <v>131</v>
      </c>
      <c r="AD2" s="81"/>
      <c r="AE2" s="81"/>
      <c r="AF2" s="81"/>
      <c r="AG2" s="81"/>
      <c r="AH2" s="81"/>
      <c r="AI2" s="81"/>
      <c r="AJ2" s="81"/>
      <c r="AK2" s="81"/>
      <c r="AL2" s="81"/>
    </row>
    <row r="3" spans="1:38" s="25" customFormat="1">
      <c r="A3" s="82"/>
      <c r="B3" s="82"/>
      <c r="C3" s="82"/>
      <c r="D3" s="82" t="s">
        <v>101</v>
      </c>
      <c r="E3" s="82"/>
      <c r="F3" s="82"/>
      <c r="G3" s="83" t="s">
        <v>9</v>
      </c>
      <c r="H3" s="83" t="s">
        <v>10</v>
      </c>
      <c r="I3" s="83" t="s">
        <v>11</v>
      </c>
      <c r="J3" s="83" t="s">
        <v>12</v>
      </c>
      <c r="K3" s="82" t="s">
        <v>144</v>
      </c>
      <c r="L3" s="82" t="s">
        <v>145</v>
      </c>
      <c r="M3" s="82" t="s">
        <v>146</v>
      </c>
      <c r="N3" s="82" t="s">
        <v>147</v>
      </c>
      <c r="O3" s="83" t="s">
        <v>144</v>
      </c>
      <c r="P3" s="83" t="s">
        <v>145</v>
      </c>
      <c r="Q3" s="83" t="s">
        <v>146</v>
      </c>
      <c r="R3" s="83" t="s">
        <v>147</v>
      </c>
      <c r="S3" s="82" t="s">
        <v>90</v>
      </c>
      <c r="T3" s="82" t="s">
        <v>150</v>
      </c>
      <c r="U3" s="82" t="s">
        <v>151</v>
      </c>
      <c r="V3" s="82" t="s">
        <v>152</v>
      </c>
      <c r="W3" s="82" t="s">
        <v>91</v>
      </c>
      <c r="X3" s="82" t="s">
        <v>96</v>
      </c>
      <c r="Y3" s="82" t="s">
        <v>92</v>
      </c>
      <c r="Z3" s="82" t="s">
        <v>153</v>
      </c>
      <c r="AA3" s="82" t="s">
        <v>154</v>
      </c>
      <c r="AB3" s="82" t="s">
        <v>32</v>
      </c>
      <c r="AC3" s="83" t="s">
        <v>90</v>
      </c>
      <c r="AD3" s="83" t="s">
        <v>150</v>
      </c>
      <c r="AE3" s="83" t="s">
        <v>151</v>
      </c>
      <c r="AF3" s="83" t="s">
        <v>152</v>
      </c>
      <c r="AG3" s="83" t="s">
        <v>91</v>
      </c>
      <c r="AH3" s="83" t="s">
        <v>96</v>
      </c>
      <c r="AI3" s="83" t="s">
        <v>92</v>
      </c>
      <c r="AJ3" s="83" t="s">
        <v>153</v>
      </c>
      <c r="AK3" s="83" t="s">
        <v>154</v>
      </c>
      <c r="AL3" s="83" t="s">
        <v>32</v>
      </c>
    </row>
    <row r="4" spans="1:38">
      <c r="A4" s="9">
        <v>1</v>
      </c>
      <c r="B4" s="9" t="s">
        <v>132</v>
      </c>
      <c r="C4" s="9">
        <v>0</v>
      </c>
      <c r="D4" s="9">
        <f>VLOOKUP(C4,benchmark!$W:$X,2,FALSE)</f>
        <v>0.15</v>
      </c>
    </row>
    <row r="5" spans="1:38">
      <c r="A5" s="9">
        <v>2</v>
      </c>
      <c r="B5" s="9" t="s">
        <v>158</v>
      </c>
      <c r="C5" s="9">
        <v>1</v>
      </c>
      <c r="D5" s="9">
        <f>VLOOKUP(C5,benchmark!$W:$X,2,FALSE)</f>
        <v>0.24</v>
      </c>
    </row>
    <row r="6" spans="1:38">
      <c r="A6" s="9">
        <v>3</v>
      </c>
      <c r="B6" s="9" t="s">
        <v>133</v>
      </c>
      <c r="C6" s="9">
        <v>2</v>
      </c>
      <c r="D6" s="9">
        <f>VLOOKUP(C6,benchmark!$W:$X,2,FALSE)</f>
        <v>0.33</v>
      </c>
    </row>
    <row r="7" spans="1:38">
      <c r="A7" s="9">
        <v>4</v>
      </c>
      <c r="B7" s="9" t="s">
        <v>134</v>
      </c>
      <c r="C7" s="9">
        <v>7</v>
      </c>
      <c r="D7" s="9">
        <f>VLOOKUP(C7,benchmark!$W:$X,2,FALSE)</f>
        <v>0.76</v>
      </c>
    </row>
    <row r="8" spans="1:38">
      <c r="A8" s="9">
        <v>5</v>
      </c>
      <c r="B8" s="9" t="s">
        <v>135</v>
      </c>
      <c r="C8" s="9">
        <v>15</v>
      </c>
      <c r="D8" s="9">
        <f>VLOOKUP(C8,benchmark!$W:$X,2,FALSE)</f>
        <v>1.26</v>
      </c>
    </row>
    <row r="9" spans="1:38">
      <c r="A9" s="9">
        <v>6</v>
      </c>
      <c r="B9" s="9" t="s">
        <v>136</v>
      </c>
      <c r="C9" s="9">
        <v>22</v>
      </c>
      <c r="D9" s="9">
        <f>VLOOKUP(C9,benchmark!$W:$X,2,FALSE)</f>
        <v>1.7000000000000002</v>
      </c>
    </row>
    <row r="10" spans="1:38">
      <c r="A10" s="9">
        <v>7</v>
      </c>
      <c r="B10" s="9" t="s">
        <v>137</v>
      </c>
      <c r="C10" s="9">
        <v>30</v>
      </c>
      <c r="D10" s="9">
        <f>VLOOKUP(C10,benchmark!$W:$X,2,FALSE)</f>
        <v>2.14</v>
      </c>
    </row>
    <row r="11" spans="1:38">
      <c r="A11" s="9">
        <v>8</v>
      </c>
      <c r="B11" s="9" t="s">
        <v>138</v>
      </c>
      <c r="C11" s="9">
        <v>60</v>
      </c>
      <c r="D11" s="9">
        <f>VLOOKUP(C11,benchmark!$W:$X,2,FALSE)</f>
        <v>3.89</v>
      </c>
    </row>
    <row r="12" spans="1:38">
      <c r="A12" s="9">
        <v>9</v>
      </c>
      <c r="B12" s="9" t="s">
        <v>139</v>
      </c>
      <c r="C12" s="9">
        <v>120</v>
      </c>
      <c r="D12" s="9">
        <f>VLOOKUP(C12,benchmark!$W:$X,2,FALSE)</f>
        <v>7.21</v>
      </c>
    </row>
    <row r="13" spans="1:38">
      <c r="A13" s="9">
        <v>10</v>
      </c>
      <c r="B13" s="9" t="s">
        <v>140</v>
      </c>
      <c r="C13" s="9">
        <v>180</v>
      </c>
      <c r="D13" s="9">
        <f>VLOOKUP(C13,benchmark!$W:$X,2,FALSE)</f>
        <v>9.9</v>
      </c>
    </row>
    <row r="14" spans="1:38">
      <c r="A14" s="9">
        <v>11</v>
      </c>
      <c r="B14" s="9" t="s">
        <v>141</v>
      </c>
      <c r="C14" s="9">
        <v>240</v>
      </c>
      <c r="D14" s="9">
        <f>VLOOKUP(C14,benchmark!$W:$X,2,FALSE)</f>
        <v>12.13</v>
      </c>
    </row>
    <row r="15" spans="1:38">
      <c r="A15" s="9">
        <v>12</v>
      </c>
      <c r="B15" s="9" t="s">
        <v>142</v>
      </c>
      <c r="C15" s="9">
        <v>300</v>
      </c>
      <c r="D15" s="9">
        <f>VLOOKUP(C15,benchmark!$W:$X,2,FALSE)</f>
        <v>14.15</v>
      </c>
    </row>
    <row r="16" spans="1:38">
      <c r="A16" s="9">
        <v>13</v>
      </c>
      <c r="B16" s="9" t="s">
        <v>143</v>
      </c>
      <c r="C16" s="9">
        <v>360</v>
      </c>
      <c r="D16" s="9">
        <f>VLOOKUP(C16,benchmark!$W:$X,2,FALSE)</f>
        <v>15.93</v>
      </c>
    </row>
  </sheetData>
  <mergeCells count="5">
    <mergeCell ref="AC2:AL2"/>
    <mergeCell ref="G2:J2"/>
    <mergeCell ref="K2:N2"/>
    <mergeCell ref="O2:R2"/>
    <mergeCell ref="S2:AB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CB77-38F6-41E5-9BA0-6DAC50A87CB0}">
  <dimension ref="A1:T42"/>
  <sheetViews>
    <sheetView zoomScale="115" zoomScaleNormal="115" workbookViewId="0">
      <selection activeCell="J3" sqref="J3:J19"/>
    </sheetView>
  </sheetViews>
  <sheetFormatPr defaultRowHeight="14.25"/>
  <cols>
    <col min="1" max="1" width="3.5" style="38" bestFit="1" customWidth="1"/>
    <col min="2" max="2" width="7.75" style="38" customWidth="1"/>
    <col min="3" max="3" width="5" style="38" bestFit="1" customWidth="1"/>
    <col min="4" max="4" width="9.125" style="38" customWidth="1"/>
    <col min="5" max="5" width="7.5" style="38" bestFit="1" customWidth="1"/>
    <col min="6" max="7" width="8.625" style="38" customWidth="1"/>
    <col min="8" max="8" width="8.25" style="38" customWidth="1"/>
    <col min="9" max="9" width="5.5" style="38" customWidth="1"/>
    <col min="10" max="10" width="6.5" style="38" bestFit="1" customWidth="1"/>
    <col min="11" max="11" width="5.75" style="38" customWidth="1"/>
    <col min="12" max="13" width="5.25" style="38" customWidth="1"/>
    <col min="14" max="14" width="4.125" style="38" bestFit="1" customWidth="1"/>
    <col min="15" max="15" width="3.375" style="38" bestFit="1" customWidth="1"/>
    <col min="16" max="16" width="6.375" style="38" customWidth="1"/>
    <col min="17" max="17" width="4.375" style="38" bestFit="1" customWidth="1"/>
    <col min="18" max="18" width="4.625" style="38" customWidth="1"/>
    <col min="19" max="19" width="5.125" style="38" customWidth="1"/>
    <col min="20" max="20" width="6.875" style="38" bestFit="1" customWidth="1"/>
    <col min="21" max="16384" width="9" style="38"/>
  </cols>
  <sheetData>
    <row r="1" spans="1:20">
      <c r="E1" s="71">
        <v>2624</v>
      </c>
      <c r="F1" s="68">
        <v>0.1048</v>
      </c>
    </row>
    <row r="2" spans="1:20" s="39" customFormat="1">
      <c r="A2" s="39" t="s">
        <v>79</v>
      </c>
      <c r="B2" s="39" t="s">
        <v>81</v>
      </c>
      <c r="C2" s="39" t="s">
        <v>0</v>
      </c>
      <c r="D2" s="39" t="s">
        <v>85</v>
      </c>
      <c r="E2" s="41" t="s">
        <v>97</v>
      </c>
      <c r="F2" s="39" t="s">
        <v>99</v>
      </c>
      <c r="G2" s="39" t="s">
        <v>95</v>
      </c>
      <c r="H2" s="39" t="s">
        <v>100</v>
      </c>
      <c r="I2" s="72" t="s">
        <v>112</v>
      </c>
      <c r="J2" s="39" t="s">
        <v>84</v>
      </c>
      <c r="K2" s="39" t="s">
        <v>101</v>
      </c>
      <c r="L2" s="54" t="s">
        <v>76</v>
      </c>
      <c r="O2" s="39" t="s">
        <v>79</v>
      </c>
      <c r="P2" s="39" t="s">
        <v>94</v>
      </c>
      <c r="R2" s="39" t="s">
        <v>76</v>
      </c>
      <c r="T2" s="39" t="s">
        <v>17</v>
      </c>
    </row>
    <row r="3" spans="1:20">
      <c r="A3" s="38">
        <v>1</v>
      </c>
      <c r="B3" s="38">
        <v>1</v>
      </c>
      <c r="C3" s="38">
        <v>0.1</v>
      </c>
      <c r="D3" s="38">
        <f>C4-C3</f>
        <v>0.1</v>
      </c>
      <c r="E3" s="69">
        <v>0.17416158536585366</v>
      </c>
      <c r="F3" s="70">
        <v>0</v>
      </c>
      <c r="G3" s="70">
        <v>0</v>
      </c>
      <c r="H3" s="80">
        <v>0</v>
      </c>
      <c r="I3" s="42">
        <f>$F$1*SUM($F$3:$F3)*(1-SUM(G$3:G3))</f>
        <v>0</v>
      </c>
      <c r="J3" s="74">
        <v>0</v>
      </c>
      <c r="K3" s="65">
        <f>$E$1*$I3*H3*J3</f>
        <v>0</v>
      </c>
      <c r="L3" s="65">
        <f>SUM(K$3:K3)/$E$1</f>
        <v>0</v>
      </c>
      <c r="M3" s="40"/>
      <c r="N3" s="65" t="s">
        <v>104</v>
      </c>
      <c r="O3" s="38">
        <v>8</v>
      </c>
      <c r="P3" s="75">
        <f>1-SUMIF($A$3:$A$32,"&lt;"&amp;O3,$E$3:$E$32)</f>
        <v>0.25457317073170727</v>
      </c>
      <c r="Q3" s="65" t="s">
        <v>103</v>
      </c>
      <c r="R3" s="38">
        <f>INDEX($L$3:$L$32,O3,1)</f>
        <v>0.45103829534928153</v>
      </c>
      <c r="T3" s="77">
        <v>0.15</v>
      </c>
    </row>
    <row r="4" spans="1:20">
      <c r="A4" s="38">
        <v>2</v>
      </c>
      <c r="B4" s="38">
        <v>2</v>
      </c>
      <c r="C4" s="38">
        <v>0.2</v>
      </c>
      <c r="D4" s="38">
        <f t="shared" ref="D4:D32" si="0">C5-C4</f>
        <v>9.9999999999999978E-2</v>
      </c>
      <c r="E4" s="69">
        <v>7.1646341463414628E-2</v>
      </c>
      <c r="F4" s="70">
        <v>0</v>
      </c>
      <c r="G4" s="70">
        <v>0</v>
      </c>
      <c r="H4" s="80">
        <v>0</v>
      </c>
      <c r="I4" s="42">
        <f>$F$1*SUM($F$3:$F4)*(1-SUM(G$3:G4))</f>
        <v>0</v>
      </c>
      <c r="J4" s="74">
        <v>0</v>
      </c>
      <c r="K4" s="65">
        <f>$E$1*$I4*H4*J4</f>
        <v>0</v>
      </c>
      <c r="L4" s="65">
        <f>SUM(K$3:K4)/$E$1</f>
        <v>0</v>
      </c>
      <c r="M4" s="40"/>
      <c r="N4" s="65" t="s">
        <v>105</v>
      </c>
      <c r="O4" s="38">
        <v>11</v>
      </c>
      <c r="P4" s="75">
        <f t="shared" ref="P4:P14" si="1">1-SUMIF($A$3:$A$32,"&lt;"&amp;O4,$E$3:$E$32)</f>
        <v>3.5823170731707266E-2</v>
      </c>
      <c r="Q4" s="65" t="s">
        <v>104</v>
      </c>
      <c r="R4" s="38">
        <f t="shared" ref="R4:R14" si="2">INDEX($L$3:$L$32,O4,1)</f>
        <v>0.52162362509943505</v>
      </c>
      <c r="T4" s="77">
        <v>0.24</v>
      </c>
    </row>
    <row r="5" spans="1:20" ht="16.5">
      <c r="A5" s="38">
        <v>3</v>
      </c>
      <c r="B5" s="38">
        <v>3</v>
      </c>
      <c r="C5" s="38">
        <v>0.3</v>
      </c>
      <c r="D5" s="38">
        <f t="shared" si="0"/>
        <v>0.10000000000000003</v>
      </c>
      <c r="E5" s="69">
        <v>0.1253810975609756</v>
      </c>
      <c r="F5" s="70">
        <v>0.69090909090909092</v>
      </c>
      <c r="G5" s="70">
        <v>2.9090909090909091E-2</v>
      </c>
      <c r="H5" s="80">
        <v>1.1533150485667867</v>
      </c>
      <c r="I5" s="42">
        <f>$F$1*SUM($F$3:$F5)*(1-SUM(G$3:G5))</f>
        <v>7.0300879338842992E-2</v>
      </c>
      <c r="J5" s="74">
        <v>2.0369483568075117</v>
      </c>
      <c r="K5" s="65">
        <f>$E$1*$I5*H5*J5</f>
        <v>433.36373455154023</v>
      </c>
      <c r="L5" s="65">
        <f>SUM(K$3:K5)/$E$1</f>
        <v>0.16515386225287357</v>
      </c>
      <c r="M5" s="40"/>
      <c r="N5" s="65" t="s">
        <v>106</v>
      </c>
      <c r="O5" s="38">
        <v>13</v>
      </c>
      <c r="P5" s="75">
        <f t="shared" si="1"/>
        <v>1.3719512195121908E-2</v>
      </c>
      <c r="Q5" s="65" t="s">
        <v>121</v>
      </c>
      <c r="R5" s="38">
        <f t="shared" si="2"/>
        <v>0.52364608829213199</v>
      </c>
      <c r="T5" s="77">
        <v>0.33</v>
      </c>
    </row>
    <row r="6" spans="1:20">
      <c r="A6" s="38">
        <v>4</v>
      </c>
      <c r="B6" s="38">
        <v>4</v>
      </c>
      <c r="C6" s="38">
        <v>0.4</v>
      </c>
      <c r="D6" s="38">
        <f t="shared" si="0"/>
        <v>9.9999999999999978E-2</v>
      </c>
      <c r="E6" s="69">
        <v>9.184451219512195E-2</v>
      </c>
      <c r="F6" s="70">
        <v>3.6363636363636362E-2</v>
      </c>
      <c r="G6" s="70">
        <v>6.545454545454546E-2</v>
      </c>
      <c r="H6" s="80">
        <v>5.4146246411586232E-2</v>
      </c>
      <c r="I6" s="42">
        <f>$F$1*SUM($F$3:$F6)*(1-SUM(G$3:G6))</f>
        <v>6.9012099173553734E-2</v>
      </c>
      <c r="J6" s="74">
        <v>1.7899999999999998</v>
      </c>
      <c r="K6" s="65">
        <f>$E$1*$I6*H6*J6</f>
        <v>17.551347089763929</v>
      </c>
      <c r="L6" s="65">
        <f>SUM(K$3:K6)/$E$1</f>
        <v>0.17184263782061895</v>
      </c>
      <c r="M6" s="40"/>
      <c r="N6" s="65" t="s">
        <v>108</v>
      </c>
      <c r="O6" s="38">
        <v>14</v>
      </c>
      <c r="P6" s="75">
        <f t="shared" si="1"/>
        <v>7.2408536585365502E-3</v>
      </c>
      <c r="Q6" s="65" t="s">
        <v>106</v>
      </c>
      <c r="R6" s="38">
        <f t="shared" si="2"/>
        <v>0.52368727503810064</v>
      </c>
      <c r="T6" s="77">
        <v>0.42</v>
      </c>
    </row>
    <row r="7" spans="1:20" ht="16.5">
      <c r="A7" s="38">
        <v>5</v>
      </c>
      <c r="B7" s="38">
        <v>5</v>
      </c>
      <c r="C7" s="38">
        <v>0.5</v>
      </c>
      <c r="D7" s="38">
        <f t="shared" si="0"/>
        <v>9.9999999999999978E-2</v>
      </c>
      <c r="E7" s="69">
        <v>0.10022865853658537</v>
      </c>
      <c r="F7" s="70">
        <v>6.1818181818181821E-2</v>
      </c>
      <c r="G7" s="70">
        <v>8.3636363636363634E-2</v>
      </c>
      <c r="H7" s="80">
        <v>0.27073123205793115</v>
      </c>
      <c r="I7" s="42">
        <f>$F$1*SUM($F$3:$F7)*(1-SUM(G$3:G7))</f>
        <v>6.7961674049586765E-2</v>
      </c>
      <c r="J7" s="74">
        <v>8.17</v>
      </c>
      <c r="K7" s="65">
        <f>$E$1*$I7*H7*J7</f>
        <v>394.44668897296293</v>
      </c>
      <c r="L7" s="65">
        <f>SUM(K$3:K7)/$E$1</f>
        <v>0.32216530892312006</v>
      </c>
      <c r="M7" s="40"/>
      <c r="N7" s="65" t="s">
        <v>113</v>
      </c>
      <c r="O7" s="38">
        <v>16</v>
      </c>
      <c r="P7" s="75">
        <f t="shared" si="1"/>
        <v>1.1432926829267887E-3</v>
      </c>
      <c r="Q7" s="65" t="s">
        <v>122</v>
      </c>
      <c r="R7" s="38">
        <f t="shared" si="2"/>
        <v>0.52368727503810064</v>
      </c>
      <c r="T7" s="77">
        <v>0.51</v>
      </c>
    </row>
    <row r="8" spans="1:20">
      <c r="A8" s="38">
        <v>6</v>
      </c>
      <c r="B8" s="38">
        <v>6</v>
      </c>
      <c r="C8" s="38">
        <v>0.6</v>
      </c>
      <c r="D8" s="38">
        <f t="shared" si="0"/>
        <v>9.9999999999999978E-2</v>
      </c>
      <c r="E8" s="69">
        <v>8.6128048780487798E-2</v>
      </c>
      <c r="F8" s="70">
        <v>4.7272727272727272E-2</v>
      </c>
      <c r="G8" s="70">
        <v>9.8181818181818176E-2</v>
      </c>
      <c r="H8" s="80">
        <v>0.16785336387591732</v>
      </c>
      <c r="I8" s="42">
        <f>$F$1*SUM($F$3:$F8)*(1-SUM(G$3:G8))</f>
        <v>6.3427385123966937E-2</v>
      </c>
      <c r="J8" s="74">
        <v>4.9577419354838712</v>
      </c>
      <c r="K8" s="65">
        <f>$E$1*$I8*H8*J8</f>
        <v>138.50154054375679</v>
      </c>
      <c r="L8" s="65">
        <f>SUM(K$3:K8)/$E$1</f>
        <v>0.37494790821571033</v>
      </c>
      <c r="M8" s="40"/>
      <c r="N8" s="65" t="s">
        <v>109</v>
      </c>
      <c r="O8" s="38">
        <v>17</v>
      </c>
      <c r="P8" s="75">
        <f t="shared" si="1"/>
        <v>0</v>
      </c>
      <c r="Q8" s="65" t="s">
        <v>113</v>
      </c>
      <c r="R8" s="38">
        <f t="shared" si="2"/>
        <v>0.52368727503810064</v>
      </c>
      <c r="T8" s="77">
        <v>0.6</v>
      </c>
    </row>
    <row r="9" spans="1:20" ht="16.5">
      <c r="A9" s="38">
        <v>7</v>
      </c>
      <c r="B9" s="38">
        <v>7</v>
      </c>
      <c r="C9" s="38">
        <v>0.7</v>
      </c>
      <c r="D9" s="38">
        <f t="shared" si="0"/>
        <v>0.10000000000000009</v>
      </c>
      <c r="E9" s="69">
        <v>9.6036585365853661E-2</v>
      </c>
      <c r="F9" s="70">
        <v>5.0909090909090911E-2</v>
      </c>
      <c r="G9" s="70">
        <v>0.12</v>
      </c>
      <c r="H9" s="80">
        <v>0.14078024067012421</v>
      </c>
      <c r="I9" s="42">
        <f>$F$1*SUM($F$3:$F9)*(1-SUM(G$3:G9))</f>
        <v>5.6129840661157025E-2</v>
      </c>
      <c r="J9" s="74">
        <v>3.7592307692307689</v>
      </c>
      <c r="K9" s="65">
        <f>$E$1*$I9*H9*J9</f>
        <v>77.946807104480513</v>
      </c>
      <c r="L9" s="65">
        <f>SUM(K$3:K9)/$E$1</f>
        <v>0.40465324628906418</v>
      </c>
      <c r="N9" s="65" t="s">
        <v>110</v>
      </c>
      <c r="O9" s="38">
        <v>18</v>
      </c>
      <c r="P9" s="75">
        <f t="shared" si="1"/>
        <v>0</v>
      </c>
      <c r="Q9" s="65" t="s">
        <v>123</v>
      </c>
      <c r="R9" s="38">
        <f t="shared" si="2"/>
        <v>0.52368727503810064</v>
      </c>
      <c r="T9" s="77">
        <v>0.68</v>
      </c>
    </row>
    <row r="10" spans="1:20">
      <c r="A10" s="38">
        <v>8</v>
      </c>
      <c r="B10" s="38">
        <v>8</v>
      </c>
      <c r="C10" s="38">
        <v>0.8</v>
      </c>
      <c r="D10" s="38">
        <f t="shared" si="0"/>
        <v>0.19999999999999996</v>
      </c>
      <c r="E10" s="69">
        <v>0.11280487804878049</v>
      </c>
      <c r="F10" s="70">
        <v>5.0909090909090911E-2</v>
      </c>
      <c r="G10" s="70">
        <v>0.16727272727272727</v>
      </c>
      <c r="H10" s="80">
        <v>0.17868261315823455</v>
      </c>
      <c r="I10" s="42">
        <f>$F$1*SUM($F$3:$F10)*(1-SUM(G$3:G10))</f>
        <v>4.2903907438016531E-2</v>
      </c>
      <c r="J10" s="74">
        <v>6.0506060606060599</v>
      </c>
      <c r="K10" s="65">
        <f>$E$1*$I10*H10*J10</f>
        <v>121.71436873401038</v>
      </c>
      <c r="L10" s="65">
        <f>SUM(K$3:K10)/$E$1</f>
        <v>0.45103829534928153</v>
      </c>
      <c r="N10" s="65" t="s">
        <v>124</v>
      </c>
      <c r="O10" s="38">
        <v>19</v>
      </c>
      <c r="P10" s="75">
        <f t="shared" si="1"/>
        <v>0</v>
      </c>
      <c r="Q10" s="65" t="s">
        <v>110</v>
      </c>
      <c r="R10" s="38">
        <f t="shared" si="2"/>
        <v>0.52368727503810064</v>
      </c>
      <c r="T10" s="77">
        <v>0.76</v>
      </c>
    </row>
    <row r="11" spans="1:20" s="55" customFormat="1">
      <c r="A11" s="55">
        <v>9</v>
      </c>
      <c r="B11" s="55">
        <v>9</v>
      </c>
      <c r="C11" s="55">
        <v>1</v>
      </c>
      <c r="D11" s="55">
        <f t="shared" si="0"/>
        <v>0.33000000000000007</v>
      </c>
      <c r="E11" s="69">
        <v>7.4314024390243899E-2</v>
      </c>
      <c r="F11" s="70">
        <v>0.04</v>
      </c>
      <c r="G11" s="70">
        <v>0.16</v>
      </c>
      <c r="H11" s="80">
        <v>0.16785336387591732</v>
      </c>
      <c r="I11" s="42">
        <f>$F$1*SUM($F$3:$F11)*(1-SUM(G$3:G11))</f>
        <v>2.8330991074380165E-2</v>
      </c>
      <c r="J11" s="74">
        <v>11.31258064516129</v>
      </c>
      <c r="K11" s="65">
        <f>$E$1*$I11*H11*J11</f>
        <v>141.16184804764305</v>
      </c>
      <c r="L11" s="65">
        <f>SUM(K$3:K11)/$E$1</f>
        <v>0.5048347313430479</v>
      </c>
      <c r="M11" s="38"/>
      <c r="N11" s="65" t="s">
        <v>125</v>
      </c>
      <c r="O11" s="55">
        <v>24</v>
      </c>
      <c r="P11" s="75">
        <f t="shared" si="1"/>
        <v>0</v>
      </c>
      <c r="Q11" s="65" t="s">
        <v>115</v>
      </c>
      <c r="R11" s="38">
        <f t="shared" si="2"/>
        <v>0.52368727503810064</v>
      </c>
      <c r="T11" s="77">
        <v>1.26</v>
      </c>
    </row>
    <row r="12" spans="1:20" s="55" customFormat="1">
      <c r="A12" s="55">
        <v>10</v>
      </c>
      <c r="B12" s="55">
        <v>11</v>
      </c>
      <c r="C12" s="55">
        <v>1.33</v>
      </c>
      <c r="D12" s="55">
        <f t="shared" si="0"/>
        <v>0.32999999999999985</v>
      </c>
      <c r="E12" s="69">
        <v>3.163109756097561E-2</v>
      </c>
      <c r="F12" s="70">
        <v>1.4545454545454545E-2</v>
      </c>
      <c r="G12" s="70">
        <v>0.10909090909090909</v>
      </c>
      <c r="H12" s="80">
        <v>9.2048618899696594E-2</v>
      </c>
      <c r="I12" s="42">
        <f>$F$1*SUM($F$3:$F12)*(1-SUM(G$3:G12))</f>
        <v>1.7402689586776855E-2</v>
      </c>
      <c r="J12" s="74">
        <v>8.2841176470588245</v>
      </c>
      <c r="K12" s="65">
        <f>$E$1*$I12*H12*J12</f>
        <v>34.821200436787322</v>
      </c>
      <c r="L12" s="65">
        <f>SUM(K$3:K12)/$E$1</f>
        <v>0.51810500589975039</v>
      </c>
      <c r="M12" s="38"/>
      <c r="N12" s="65" t="s">
        <v>126</v>
      </c>
      <c r="O12" s="55">
        <v>28</v>
      </c>
      <c r="P12" s="75">
        <f t="shared" si="1"/>
        <v>0</v>
      </c>
      <c r="Q12" s="65" t="s">
        <v>117</v>
      </c>
      <c r="R12" s="38">
        <f t="shared" si="2"/>
        <v>0.52368727503810064</v>
      </c>
      <c r="T12" s="77">
        <v>2.14</v>
      </c>
    </row>
    <row r="13" spans="1:20" s="55" customFormat="1">
      <c r="A13" s="55">
        <v>11</v>
      </c>
      <c r="B13" s="55">
        <v>12</v>
      </c>
      <c r="C13" s="55">
        <v>1.66</v>
      </c>
      <c r="D13" s="55">
        <f t="shared" si="0"/>
        <v>0.34000000000000008</v>
      </c>
      <c r="E13" s="69">
        <v>1.600609756097561E-2</v>
      </c>
      <c r="F13" s="70">
        <v>7.2727272727272727E-3</v>
      </c>
      <c r="G13" s="70">
        <v>6.545454545454546E-2</v>
      </c>
      <c r="H13" s="80">
        <v>5.4146246411586232E-2</v>
      </c>
      <c r="I13" s="42">
        <f>$F$1*SUM($F$3:$F13)*(1-SUM(G$3:G13))</f>
        <v>1.0670545454545453E-2</v>
      </c>
      <c r="J13" s="74">
        <v>6.09</v>
      </c>
      <c r="K13" s="65">
        <f>$E$1*$I13*H13*J13</f>
        <v>9.2328567799723995</v>
      </c>
      <c r="L13" s="65">
        <f>SUM(K$3:K13)/$E$1</f>
        <v>0.52162362509943505</v>
      </c>
      <c r="M13" s="38"/>
      <c r="N13" s="65" t="s">
        <v>127</v>
      </c>
      <c r="O13" s="55">
        <v>29</v>
      </c>
      <c r="P13" s="75">
        <f t="shared" si="1"/>
        <v>0</v>
      </c>
      <c r="Q13" s="65" t="s">
        <v>118</v>
      </c>
      <c r="R13" s="38">
        <f t="shared" si="2"/>
        <v>0.52368727503810064</v>
      </c>
      <c r="T13" s="77">
        <v>2.96</v>
      </c>
    </row>
    <row r="14" spans="1:20" s="55" customFormat="1">
      <c r="A14" s="55">
        <v>12</v>
      </c>
      <c r="B14" s="55">
        <v>13</v>
      </c>
      <c r="C14" s="55">
        <v>2</v>
      </c>
      <c r="D14" s="55">
        <f t="shared" si="0"/>
        <v>0.39999999999999991</v>
      </c>
      <c r="E14" s="69">
        <v>6.0975609756097563E-3</v>
      </c>
      <c r="F14" s="70">
        <v>0</v>
      </c>
      <c r="G14" s="70">
        <v>4.7272727272727272E-2</v>
      </c>
      <c r="H14" s="80">
        <v>6.4975495693903484E-2</v>
      </c>
      <c r="I14" s="42">
        <f>$F$1*SUM($F$3:$F14)*(1-SUM(G$3:G14))</f>
        <v>5.7163636363636383E-3</v>
      </c>
      <c r="J14" s="74">
        <v>5.4066666666666663</v>
      </c>
      <c r="K14" s="65">
        <f>$E$1*$I14*H14*J14</f>
        <v>5.2694207238266157</v>
      </c>
      <c r="L14" s="65">
        <f>SUM(K$3:K14)/$E$1</f>
        <v>0.52363178848503977</v>
      </c>
      <c r="M14" s="38"/>
      <c r="N14" s="65" t="s">
        <v>128</v>
      </c>
      <c r="O14" s="55">
        <v>30</v>
      </c>
      <c r="P14" s="75">
        <f t="shared" si="1"/>
        <v>0</v>
      </c>
      <c r="Q14" s="65" t="s">
        <v>119</v>
      </c>
      <c r="R14" s="38">
        <f t="shared" si="2"/>
        <v>0.52368727503810064</v>
      </c>
      <c r="T14" s="77">
        <v>3.89</v>
      </c>
    </row>
    <row r="15" spans="1:20" s="55" customFormat="1">
      <c r="A15" s="55">
        <v>13</v>
      </c>
      <c r="B15" s="55">
        <v>14</v>
      </c>
      <c r="C15" s="55">
        <v>2.4</v>
      </c>
      <c r="D15" s="55">
        <f t="shared" si="0"/>
        <v>0.5</v>
      </c>
      <c r="E15" s="69">
        <v>6.4786585365853655E-3</v>
      </c>
      <c r="F15" s="70">
        <v>0</v>
      </c>
      <c r="G15" s="70">
        <v>2.9090909090909091E-2</v>
      </c>
      <c r="H15" s="80">
        <v>5.4146246411586234E-3</v>
      </c>
      <c r="I15" s="42">
        <f>$F$1*SUM($F$3:$F15)*(1-SUM(G$3:G15))</f>
        <v>2.6676363636363694E-3</v>
      </c>
      <c r="J15" s="74">
        <v>0.99</v>
      </c>
      <c r="K15" s="65">
        <f>$E$1*$I15*H15*J15</f>
        <v>3.7522693810232752E-2</v>
      </c>
      <c r="L15" s="65">
        <f>SUM(K$3:K15)/$E$1</f>
        <v>0.52364608829213199</v>
      </c>
      <c r="M15" s="38"/>
    </row>
    <row r="16" spans="1:20" s="55" customFormat="1">
      <c r="A16" s="55">
        <v>14</v>
      </c>
      <c r="B16" s="55">
        <v>16</v>
      </c>
      <c r="C16" s="55">
        <v>2.9</v>
      </c>
      <c r="D16" s="55">
        <f t="shared" si="0"/>
        <v>0.5</v>
      </c>
      <c r="E16" s="69">
        <v>3.4298780487804878E-3</v>
      </c>
      <c r="F16" s="70">
        <v>0</v>
      </c>
      <c r="G16" s="70">
        <v>1.090909090909091E-2</v>
      </c>
      <c r="H16" s="80">
        <v>5.4146246411586234E-3</v>
      </c>
      <c r="I16" s="42">
        <f>$F$1*SUM($F$3:$F16)*(1-SUM(G$3:G16))</f>
        <v>1.5243636363636462E-3</v>
      </c>
      <c r="J16" s="74">
        <v>4.99</v>
      </c>
      <c r="K16" s="65">
        <f>$E$1*$I16*H16*J16</f>
        <v>0.10807402142168093</v>
      </c>
      <c r="L16" s="65">
        <f>SUM(K$3:K16)/$E$1</f>
        <v>0.52368727503810064</v>
      </c>
      <c r="M16" s="38"/>
    </row>
    <row r="17" spans="1:14" s="55" customFormat="1">
      <c r="A17" s="55">
        <v>15</v>
      </c>
      <c r="B17" s="55">
        <v>17</v>
      </c>
      <c r="C17" s="55">
        <v>3.4</v>
      </c>
      <c r="D17" s="55">
        <f t="shared" si="0"/>
        <v>0.60000000000000009</v>
      </c>
      <c r="E17" s="69">
        <v>2.6676829268292685E-3</v>
      </c>
      <c r="F17" s="70">
        <v>0</v>
      </c>
      <c r="G17" s="70">
        <v>7.2727272727272727E-3</v>
      </c>
      <c r="H17" s="80">
        <v>0</v>
      </c>
      <c r="I17" s="42">
        <f>$F$1*SUM($F$3:$F17)*(1-SUM(G$3:G17))</f>
        <v>7.6218181818182309E-4</v>
      </c>
      <c r="J17" s="74">
        <v>0</v>
      </c>
      <c r="K17" s="65">
        <f>$E$1*$I17*H17*J17</f>
        <v>0</v>
      </c>
      <c r="L17" s="65">
        <f>SUM(K$3:K17)/$E$1</f>
        <v>0.52368727503810064</v>
      </c>
      <c r="M17" s="38"/>
    </row>
    <row r="18" spans="1:14" s="55" customFormat="1">
      <c r="A18" s="55">
        <v>16</v>
      </c>
      <c r="B18" s="55">
        <v>18</v>
      </c>
      <c r="C18" s="55">
        <v>4</v>
      </c>
      <c r="D18" s="55">
        <f t="shared" si="0"/>
        <v>0.90000000000000036</v>
      </c>
      <c r="E18" s="69">
        <v>1.1432926829268292E-3</v>
      </c>
      <c r="F18" s="70">
        <v>0</v>
      </c>
      <c r="G18" s="70">
        <v>7.2727272727272727E-3</v>
      </c>
      <c r="H18" s="80">
        <v>0</v>
      </c>
      <c r="I18" s="42">
        <f>$F$1*SUM($F$3:$F18)*(1-SUM(G$3:G18))</f>
        <v>0</v>
      </c>
      <c r="J18" s="74">
        <v>0</v>
      </c>
      <c r="K18" s="65">
        <f>$E$1*$I18*H18*J18</f>
        <v>0</v>
      </c>
      <c r="L18" s="65">
        <f>SUM(K$3:K18)/$E$1</f>
        <v>0.52368727503810064</v>
      </c>
      <c r="M18" s="38"/>
    </row>
    <row r="19" spans="1:14" s="55" customFormat="1">
      <c r="A19" s="55">
        <v>17</v>
      </c>
      <c r="B19" s="55">
        <v>19</v>
      </c>
      <c r="C19" s="55">
        <v>4.9000000000000004</v>
      </c>
      <c r="D19" s="55">
        <f t="shared" si="0"/>
        <v>1.0999999999999996</v>
      </c>
      <c r="E19" s="69">
        <v>0</v>
      </c>
      <c r="F19" s="70">
        <v>0</v>
      </c>
      <c r="G19" s="70">
        <v>0</v>
      </c>
      <c r="H19" s="80">
        <v>0</v>
      </c>
      <c r="I19" s="42">
        <f>$F$1*SUM($F$3:$F19)*(1-SUM(G$3:G19))</f>
        <v>0</v>
      </c>
      <c r="J19" s="74">
        <v>0</v>
      </c>
      <c r="K19" s="65">
        <f>$E$1*$I19*H19*J19</f>
        <v>0</v>
      </c>
      <c r="L19" s="65">
        <f>SUM(K$3:K19)/$E$1</f>
        <v>0.52368727503810064</v>
      </c>
      <c r="M19" s="38"/>
      <c r="N19" s="79"/>
    </row>
    <row r="20" spans="1:14" s="55" customFormat="1">
      <c r="A20" s="55">
        <v>18</v>
      </c>
      <c r="B20" s="55">
        <v>20</v>
      </c>
      <c r="C20" s="55">
        <v>6</v>
      </c>
      <c r="D20" s="55">
        <f t="shared" si="0"/>
        <v>1.2000000000000002</v>
      </c>
      <c r="E20" s="69">
        <v>0</v>
      </c>
      <c r="F20" s="70">
        <v>0</v>
      </c>
      <c r="G20" s="70">
        <v>0</v>
      </c>
      <c r="H20" s="80">
        <v>0</v>
      </c>
      <c r="I20" s="42">
        <f>$F$1*SUM($F$3:$F20)*(1-SUM(G$3:G20))</f>
        <v>0</v>
      </c>
      <c r="J20" s="74">
        <v>0</v>
      </c>
      <c r="K20" s="65">
        <f>$E$1*$I20*H20*J20</f>
        <v>0</v>
      </c>
      <c r="L20" s="65">
        <f>SUM(K$3:K20)/$E$1</f>
        <v>0.52368727503810064</v>
      </c>
      <c r="M20" s="38"/>
      <c r="N20" s="79"/>
    </row>
    <row r="21" spans="1:14" s="55" customFormat="1">
      <c r="A21" s="55">
        <v>19</v>
      </c>
      <c r="B21" s="55">
        <v>21</v>
      </c>
      <c r="C21" s="55">
        <v>7.2</v>
      </c>
      <c r="D21" s="55">
        <f t="shared" si="0"/>
        <v>1.2999999999999998</v>
      </c>
      <c r="E21" s="69">
        <v>0</v>
      </c>
      <c r="F21" s="70">
        <v>0</v>
      </c>
      <c r="G21" s="70">
        <v>0</v>
      </c>
      <c r="H21" s="80">
        <v>0</v>
      </c>
      <c r="I21" s="42">
        <f>$F$1*SUM($F$3:$F21)*(1-SUM(G$3:G21))</f>
        <v>0</v>
      </c>
      <c r="J21" s="74">
        <v>0</v>
      </c>
      <c r="K21" s="65">
        <f>$E$1*$I21*H21*J21</f>
        <v>0</v>
      </c>
      <c r="L21" s="65">
        <f>SUM(K$3:K21)/$E$1</f>
        <v>0.52368727503810064</v>
      </c>
      <c r="M21" s="38"/>
      <c r="N21" s="79"/>
    </row>
    <row r="22" spans="1:14" s="55" customFormat="1">
      <c r="A22" s="55">
        <v>20</v>
      </c>
      <c r="B22" s="55">
        <v>22</v>
      </c>
      <c r="C22" s="55">
        <v>8.5</v>
      </c>
      <c r="D22" s="55">
        <f t="shared" si="0"/>
        <v>1.4000000000000004</v>
      </c>
      <c r="E22" s="69">
        <v>0</v>
      </c>
      <c r="F22" s="70">
        <v>0</v>
      </c>
      <c r="G22" s="70">
        <v>0</v>
      </c>
      <c r="H22" s="80">
        <v>0</v>
      </c>
      <c r="I22" s="42">
        <f>$F$1*SUM($F$3:$F22)*(1-SUM(G$3:G22))</f>
        <v>0</v>
      </c>
      <c r="J22" s="74">
        <v>0</v>
      </c>
      <c r="K22" s="65">
        <f>$E$1*$I22*H22*J22</f>
        <v>0</v>
      </c>
      <c r="L22" s="65">
        <f>SUM(K$3:K22)/$E$1</f>
        <v>0.52368727503810064</v>
      </c>
      <c r="M22" s="38"/>
      <c r="N22" s="79"/>
    </row>
    <row r="23" spans="1:14" s="55" customFormat="1">
      <c r="A23" s="55">
        <v>21</v>
      </c>
      <c r="B23" s="55">
        <v>23</v>
      </c>
      <c r="C23" s="55">
        <v>9.9</v>
      </c>
      <c r="D23" s="55">
        <f t="shared" si="0"/>
        <v>1.5</v>
      </c>
      <c r="E23" s="69">
        <v>0</v>
      </c>
      <c r="F23" s="70">
        <v>0</v>
      </c>
      <c r="G23" s="70">
        <v>0</v>
      </c>
      <c r="H23" s="80">
        <v>0</v>
      </c>
      <c r="I23" s="42">
        <f>$F$1*SUM($F$3:$F23)*(1-SUM(G$3:G23))</f>
        <v>0</v>
      </c>
      <c r="J23" s="74">
        <v>0</v>
      </c>
      <c r="K23" s="65">
        <f>$E$1*$I23*H23*J23</f>
        <v>0</v>
      </c>
      <c r="L23" s="65">
        <f>SUM(K$3:K23)/$E$1</f>
        <v>0.52368727503810064</v>
      </c>
      <c r="M23" s="38"/>
      <c r="N23" s="79"/>
    </row>
    <row r="24" spans="1:14" s="55" customFormat="1">
      <c r="A24" s="55">
        <v>22</v>
      </c>
      <c r="B24" s="55">
        <v>24</v>
      </c>
      <c r="C24" s="55">
        <v>11.4</v>
      </c>
      <c r="D24" s="55">
        <f t="shared" si="0"/>
        <v>1.5999999999999996</v>
      </c>
      <c r="E24" s="69">
        <v>0</v>
      </c>
      <c r="F24" s="70">
        <v>0</v>
      </c>
      <c r="G24" s="70">
        <v>0</v>
      </c>
      <c r="H24" s="80">
        <v>0</v>
      </c>
      <c r="I24" s="42">
        <f>$F$1*SUM($F$3:$F24)*(1-SUM(G$3:G24))</f>
        <v>0</v>
      </c>
      <c r="J24" s="74">
        <v>0</v>
      </c>
      <c r="K24" s="65">
        <f>$E$1*$I24*H24*J24</f>
        <v>0</v>
      </c>
      <c r="L24" s="65">
        <f>SUM(K$3:K24)/$E$1</f>
        <v>0.52368727503810064</v>
      </c>
      <c r="M24" s="38"/>
    </row>
    <row r="25" spans="1:14" s="55" customFormat="1">
      <c r="A25" s="55">
        <v>23</v>
      </c>
      <c r="B25" s="55">
        <v>25</v>
      </c>
      <c r="C25" s="55">
        <v>13</v>
      </c>
      <c r="D25" s="55">
        <f t="shared" si="0"/>
        <v>2</v>
      </c>
      <c r="E25" s="69">
        <v>0</v>
      </c>
      <c r="F25" s="70">
        <v>0</v>
      </c>
      <c r="G25" s="70">
        <v>0</v>
      </c>
      <c r="H25" s="80">
        <v>0</v>
      </c>
      <c r="I25" s="42">
        <f>$F$1*SUM($F$3:$F25)*(1-SUM(G$3:G25))</f>
        <v>0</v>
      </c>
      <c r="J25" s="74">
        <v>0</v>
      </c>
      <c r="K25" s="65">
        <f>$E$1*$I25*H25*J25</f>
        <v>0</v>
      </c>
      <c r="L25" s="65">
        <f>SUM(K$3:K25)/$E$1</f>
        <v>0.52368727503810064</v>
      </c>
      <c r="M25" s="38"/>
    </row>
    <row r="26" spans="1:14" s="55" customFormat="1">
      <c r="A26" s="55">
        <v>24</v>
      </c>
      <c r="B26" s="55">
        <v>26</v>
      </c>
      <c r="C26" s="55">
        <v>15</v>
      </c>
      <c r="D26" s="55">
        <f t="shared" si="0"/>
        <v>2.5</v>
      </c>
      <c r="E26" s="69">
        <v>0</v>
      </c>
      <c r="F26" s="70">
        <v>0</v>
      </c>
      <c r="G26" s="70">
        <v>0</v>
      </c>
      <c r="H26" s="80">
        <v>0</v>
      </c>
      <c r="I26" s="42">
        <f>$F$1*SUM($F$3:$F26)*(1-SUM(G$3:G26))</f>
        <v>0</v>
      </c>
      <c r="J26" s="74">
        <v>0</v>
      </c>
      <c r="K26" s="65">
        <f>$E$1*$I26*H26*J26</f>
        <v>0</v>
      </c>
      <c r="L26" s="65">
        <f>SUM(K$3:K26)/$E$1</f>
        <v>0.52368727503810064</v>
      </c>
      <c r="M26" s="38"/>
    </row>
    <row r="27" spans="1:14" s="55" customFormat="1">
      <c r="A27" s="55">
        <v>25</v>
      </c>
      <c r="B27" s="55">
        <v>27</v>
      </c>
      <c r="C27" s="55">
        <v>17.5</v>
      </c>
      <c r="D27" s="55">
        <f t="shared" si="0"/>
        <v>3.3999999999999986</v>
      </c>
      <c r="E27" s="69">
        <v>0</v>
      </c>
      <c r="F27" s="70">
        <v>0</v>
      </c>
      <c r="G27" s="70">
        <v>0</v>
      </c>
      <c r="H27" s="80">
        <v>0</v>
      </c>
      <c r="I27" s="42">
        <f>$F$1*SUM($F$3:$F27)*(1-SUM(G$3:G27))</f>
        <v>0</v>
      </c>
      <c r="J27" s="74">
        <v>0</v>
      </c>
      <c r="K27" s="65">
        <f>$E$1*$I27*H27*J27</f>
        <v>0</v>
      </c>
      <c r="L27" s="65">
        <f>SUM(K$3:K27)/$E$1</f>
        <v>0.52368727503810064</v>
      </c>
      <c r="M27" s="38"/>
    </row>
    <row r="28" spans="1:14" s="55" customFormat="1">
      <c r="A28" s="55">
        <v>26</v>
      </c>
      <c r="B28" s="55">
        <v>28</v>
      </c>
      <c r="C28" s="55">
        <v>20.9</v>
      </c>
      <c r="D28" s="55">
        <f t="shared" si="0"/>
        <v>5.1000000000000014</v>
      </c>
      <c r="E28" s="69">
        <v>0</v>
      </c>
      <c r="F28" s="70">
        <v>0</v>
      </c>
      <c r="G28" s="70">
        <v>0</v>
      </c>
      <c r="H28" s="80">
        <v>0</v>
      </c>
      <c r="I28" s="42">
        <f>$F$1*SUM($F$3:$F28)*(1-SUM(G$3:G28))</f>
        <v>0</v>
      </c>
      <c r="J28" s="74">
        <v>0</v>
      </c>
      <c r="K28" s="65">
        <f>$E$1*$I28*H28*J28</f>
        <v>0</v>
      </c>
      <c r="L28" s="65">
        <f>SUM(K$3:K28)/$E$1</f>
        <v>0.52368727503810064</v>
      </c>
      <c r="M28" s="38"/>
    </row>
    <row r="29" spans="1:14">
      <c r="A29" s="38">
        <v>27</v>
      </c>
      <c r="B29" s="38">
        <v>29</v>
      </c>
      <c r="C29" s="38">
        <v>26</v>
      </c>
      <c r="D29" s="38">
        <f t="shared" si="0"/>
        <v>8</v>
      </c>
      <c r="E29" s="69">
        <v>0</v>
      </c>
      <c r="F29" s="70">
        <v>0</v>
      </c>
      <c r="G29" s="70">
        <v>0</v>
      </c>
      <c r="H29" s="80">
        <v>0</v>
      </c>
      <c r="I29" s="42">
        <f>$F$1*SUM($F$3:$F29)*(1-SUM(G$3:G29))</f>
        <v>0</v>
      </c>
      <c r="J29" s="74">
        <v>0</v>
      </c>
      <c r="K29" s="65">
        <f>$E$1*$I29*H29*J29</f>
        <v>0</v>
      </c>
      <c r="L29" s="65">
        <f>SUM(K$3:K29)/$E$1</f>
        <v>0.52368727503810064</v>
      </c>
    </row>
    <row r="30" spans="1:14">
      <c r="A30" s="38">
        <v>28</v>
      </c>
      <c r="B30" s="38">
        <v>30</v>
      </c>
      <c r="C30" s="38">
        <v>34</v>
      </c>
      <c r="D30" s="38">
        <f t="shared" si="0"/>
        <v>10</v>
      </c>
      <c r="E30" s="69">
        <v>0</v>
      </c>
      <c r="F30" s="70">
        <v>0</v>
      </c>
      <c r="G30" s="70">
        <v>0</v>
      </c>
      <c r="H30" s="80">
        <v>0</v>
      </c>
      <c r="I30" s="42">
        <f>$F$1*SUM($F$3:$F30)*(1-SUM(G$3:G30))</f>
        <v>0</v>
      </c>
      <c r="J30" s="74">
        <v>0</v>
      </c>
      <c r="K30" s="65">
        <f>$E$1*$I30*H30*J30</f>
        <v>0</v>
      </c>
      <c r="L30" s="65">
        <f>SUM(K$3:K30)/$E$1</f>
        <v>0.52368727503810064</v>
      </c>
    </row>
    <row r="31" spans="1:14">
      <c r="A31" s="38">
        <v>29</v>
      </c>
      <c r="B31" s="38">
        <v>31</v>
      </c>
      <c r="C31" s="38">
        <v>44</v>
      </c>
      <c r="D31" s="38">
        <f t="shared" si="0"/>
        <v>12</v>
      </c>
      <c r="E31" s="69">
        <v>0</v>
      </c>
      <c r="F31" s="70">
        <v>0</v>
      </c>
      <c r="G31" s="70">
        <v>0</v>
      </c>
      <c r="H31" s="80">
        <v>0</v>
      </c>
      <c r="I31" s="42">
        <f>$F$1*SUM($F$3:$F31)*(1-SUM(G$3:G31))</f>
        <v>0</v>
      </c>
      <c r="J31" s="74">
        <v>0</v>
      </c>
      <c r="K31" s="65">
        <f>$E$1*$I31*H31*J31</f>
        <v>0</v>
      </c>
      <c r="L31" s="65">
        <f>SUM(K$3:K31)/$E$1</f>
        <v>0.52368727503810064</v>
      </c>
    </row>
    <row r="32" spans="1:14">
      <c r="A32" s="38">
        <v>30</v>
      </c>
      <c r="B32" s="38">
        <v>32</v>
      </c>
      <c r="C32" s="38">
        <v>56</v>
      </c>
      <c r="D32" s="38">
        <f t="shared" si="0"/>
        <v>14</v>
      </c>
      <c r="E32" s="69">
        <v>0</v>
      </c>
      <c r="F32" s="70">
        <v>0</v>
      </c>
      <c r="G32" s="70">
        <v>0</v>
      </c>
      <c r="H32" s="80">
        <v>0</v>
      </c>
      <c r="I32" s="42">
        <f>$F$1*SUM($F$3:$F32)*(1-SUM(G$3:G32))</f>
        <v>0</v>
      </c>
      <c r="J32" s="74">
        <v>0</v>
      </c>
      <c r="K32" s="65">
        <f>$E$1*$I32*H32*J32</f>
        <v>0</v>
      </c>
      <c r="L32" s="65">
        <f>SUM(K$3:K32)/$E$1</f>
        <v>0.52368727503810064</v>
      </c>
    </row>
    <row r="33" spans="3:14">
      <c r="C33" s="38">
        <v>70</v>
      </c>
      <c r="G33" s="40"/>
      <c r="K33" s="40"/>
      <c r="L33" s="40"/>
    </row>
    <row r="42" spans="3:14">
      <c r="N42" s="66"/>
    </row>
  </sheetData>
  <phoneticPr fontId="2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5B18-0859-4D12-9DA1-A38BB7DE57C4}">
  <dimension ref="A1"/>
  <sheetViews>
    <sheetView workbookViewId="0">
      <selection activeCell="M26" sqref="M26"/>
    </sheetView>
  </sheetViews>
  <sheetFormatPr defaultRowHeight="14.2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E23F-697F-46E1-A864-99085A5F9307}">
  <sheetPr codeName="Sheet4"/>
  <dimension ref="A1:N8"/>
  <sheetViews>
    <sheetView workbookViewId="0">
      <selection activeCell="N24" sqref="N24"/>
    </sheetView>
  </sheetViews>
  <sheetFormatPr defaultColWidth="9" defaultRowHeight="16.5"/>
  <cols>
    <col min="1" max="1" width="5.5" style="9" bestFit="1" customWidth="1"/>
    <col min="2" max="8" width="6.5" style="9" bestFit="1" customWidth="1"/>
    <col min="9" max="9" width="6.5" style="9" customWidth="1"/>
    <col min="10" max="11" width="9.875" style="9" customWidth="1"/>
    <col min="12" max="12" width="10.125" style="9" customWidth="1"/>
    <col min="13" max="14" width="9.875" style="9" customWidth="1"/>
    <col min="15" max="15" width="5.25" style="9" bestFit="1" customWidth="1"/>
    <col min="16" max="16" width="7.625" style="9" bestFit="1" customWidth="1"/>
    <col min="17" max="17" width="10.125" style="9" bestFit="1" customWidth="1"/>
    <col min="18" max="18" width="9.625" style="9" customWidth="1"/>
    <col min="19" max="19" width="6.75" style="9" bestFit="1" customWidth="1"/>
    <col min="20" max="20" width="5.5" style="9" bestFit="1" customWidth="1"/>
    <col min="21" max="16384" width="9" style="9"/>
  </cols>
  <sheetData>
    <row r="1" spans="1:14">
      <c r="A1" s="12" t="s">
        <v>4</v>
      </c>
      <c r="B1" s="12" t="s">
        <v>4</v>
      </c>
      <c r="C1" s="23" t="s">
        <v>45</v>
      </c>
      <c r="D1" s="23" t="s">
        <v>45</v>
      </c>
      <c r="E1" s="23" t="s">
        <v>45</v>
      </c>
      <c r="F1" s="23" t="s">
        <v>45</v>
      </c>
      <c r="G1" s="23" t="s">
        <v>45</v>
      </c>
      <c r="H1" s="23" t="s">
        <v>45</v>
      </c>
      <c r="I1" s="23" t="s">
        <v>45</v>
      </c>
      <c r="J1" s="24" t="s">
        <v>51</v>
      </c>
      <c r="K1" s="24" t="s">
        <v>51</v>
      </c>
      <c r="L1" s="24" t="s">
        <v>51</v>
      </c>
      <c r="M1" s="24" t="s">
        <v>51</v>
      </c>
      <c r="N1" s="24" t="s">
        <v>51</v>
      </c>
    </row>
    <row r="2" spans="1:14" s="8" customFormat="1" ht="14.25">
      <c r="A2" s="8" t="s">
        <v>8</v>
      </c>
      <c r="B2" s="8" t="s">
        <v>3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38</v>
      </c>
      <c r="I2" s="8" t="s">
        <v>52</v>
      </c>
      <c r="J2" s="8" t="s">
        <v>46</v>
      </c>
      <c r="K2" s="8" t="s">
        <v>47</v>
      </c>
      <c r="L2" s="8" t="s">
        <v>48</v>
      </c>
      <c r="M2" s="8" t="s">
        <v>49</v>
      </c>
      <c r="N2" s="8" t="s">
        <v>50</v>
      </c>
    </row>
    <row r="3" spans="1:14">
      <c r="A3" s="11" t="s">
        <v>6</v>
      </c>
      <c r="B3" s="9" t="s">
        <v>40</v>
      </c>
      <c r="C3" s="9">
        <v>25</v>
      </c>
      <c r="D3" s="9">
        <v>18</v>
      </c>
      <c r="E3" s="9">
        <v>7</v>
      </c>
      <c r="F3" s="9">
        <v>4</v>
      </c>
      <c r="G3" s="9">
        <v>2</v>
      </c>
      <c r="H3" s="9">
        <v>1</v>
      </c>
      <c r="I3" s="9">
        <v>0</v>
      </c>
      <c r="J3" s="9">
        <v>1</v>
      </c>
      <c r="K3" s="9">
        <v>1</v>
      </c>
      <c r="L3" s="9">
        <v>1</v>
      </c>
      <c r="M3" s="9">
        <v>1</v>
      </c>
      <c r="N3" s="9">
        <v>1</v>
      </c>
    </row>
    <row r="4" spans="1:14">
      <c r="A4" s="11" t="s">
        <v>7</v>
      </c>
      <c r="B4" s="26" t="s">
        <v>53</v>
      </c>
      <c r="C4" s="9">
        <v>10</v>
      </c>
      <c r="D4" s="9">
        <v>7</v>
      </c>
      <c r="E4" s="9">
        <v>5</v>
      </c>
      <c r="F4" s="9">
        <v>3</v>
      </c>
      <c r="G4" s="9">
        <v>2</v>
      </c>
      <c r="H4" s="9">
        <v>0</v>
      </c>
      <c r="I4" s="9">
        <v>0</v>
      </c>
      <c r="J4" s="9">
        <v>2</v>
      </c>
      <c r="K4" s="9">
        <v>1</v>
      </c>
      <c r="L4" s="9">
        <v>1</v>
      </c>
      <c r="M4" s="9">
        <v>0.5</v>
      </c>
      <c r="N4" s="9">
        <v>0.2</v>
      </c>
    </row>
    <row r="5" spans="1:14">
      <c r="A5" s="11" t="s">
        <v>43</v>
      </c>
      <c r="B5" s="9" t="s">
        <v>31</v>
      </c>
      <c r="C5" s="9">
        <v>20</v>
      </c>
      <c r="D5" s="9">
        <v>15</v>
      </c>
      <c r="E5" s="9">
        <v>5</v>
      </c>
      <c r="F5" s="9">
        <v>4</v>
      </c>
      <c r="G5" s="9">
        <v>0</v>
      </c>
      <c r="H5" s="9">
        <v>0</v>
      </c>
      <c r="I5" s="9">
        <v>0</v>
      </c>
      <c r="J5" s="9">
        <v>3</v>
      </c>
      <c r="K5" s="9">
        <v>1</v>
      </c>
      <c r="L5" s="9">
        <v>1</v>
      </c>
      <c r="M5" s="9">
        <v>0.5</v>
      </c>
      <c r="N5" s="9">
        <v>0</v>
      </c>
    </row>
    <row r="6" spans="1:14">
      <c r="A6" s="11" t="s">
        <v>32</v>
      </c>
      <c r="B6" s="9" t="s">
        <v>41</v>
      </c>
      <c r="C6" s="9">
        <v>150</v>
      </c>
      <c r="D6" s="9">
        <v>40</v>
      </c>
      <c r="E6" s="9">
        <v>5</v>
      </c>
      <c r="F6" s="9">
        <v>0</v>
      </c>
      <c r="G6" s="9">
        <v>0</v>
      </c>
      <c r="H6" s="9">
        <v>0</v>
      </c>
      <c r="I6" s="9">
        <v>0</v>
      </c>
      <c r="J6" s="9">
        <v>1</v>
      </c>
      <c r="K6" s="9">
        <v>2</v>
      </c>
      <c r="L6" s="9">
        <v>3</v>
      </c>
      <c r="M6" s="9">
        <v>2.5</v>
      </c>
      <c r="N6" s="9">
        <v>2</v>
      </c>
    </row>
    <row r="7" spans="1:14">
      <c r="A7" s="11" t="s">
        <v>15</v>
      </c>
      <c r="B7" s="9" t="s">
        <v>42</v>
      </c>
      <c r="C7" s="9">
        <v>60</v>
      </c>
      <c r="D7" s="9">
        <v>15</v>
      </c>
      <c r="E7" s="9">
        <v>8</v>
      </c>
      <c r="F7" s="9">
        <v>4</v>
      </c>
      <c r="G7" s="9">
        <v>2</v>
      </c>
      <c r="H7" s="9">
        <v>0</v>
      </c>
      <c r="I7" s="9">
        <v>0</v>
      </c>
      <c r="J7" s="9">
        <v>0</v>
      </c>
      <c r="K7" s="9">
        <v>0.5</v>
      </c>
      <c r="L7" s="9">
        <v>1</v>
      </c>
      <c r="M7" s="9">
        <v>1.5</v>
      </c>
      <c r="N7" s="9">
        <v>2</v>
      </c>
    </row>
    <row r="8" spans="1:14">
      <c r="A8" s="11" t="s">
        <v>16</v>
      </c>
      <c r="B8" s="9" t="s">
        <v>39</v>
      </c>
      <c r="C8" s="9">
        <v>35</v>
      </c>
      <c r="D8" s="9">
        <v>5</v>
      </c>
      <c r="E8" s="9">
        <v>2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0.5</v>
      </c>
      <c r="M8" s="9">
        <v>1</v>
      </c>
      <c r="N8" s="9">
        <v>1.5</v>
      </c>
    </row>
  </sheetData>
  <phoneticPr fontId="2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benchmark</vt:lpstr>
      <vt:lpstr>operate</vt:lpstr>
      <vt:lpstr>base</vt:lpstr>
      <vt:lpstr>0.6.5</vt:lpstr>
      <vt:lpstr>path</vt:lpstr>
      <vt:lpstr>0.6.0</vt:lpstr>
      <vt:lpstr>pay</vt:lpstr>
      <vt:lpstr>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2023-10-18T15:24:13Z</dcterms:modified>
</cp:coreProperties>
</file>