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mav/Desktop/Inma/IDIBAPS/CoALeS/"/>
    </mc:Choice>
  </mc:AlternateContent>
  <xr:revisionPtr revIDLastSave="0" documentId="13_ncr:1_{4EA9E9AA-19A5-674B-8482-8D319779821B}" xr6:coauthVersionLast="47" xr6:coauthVersionMax="47" xr10:uidLastSave="{00000000-0000-0000-0000-000000000000}"/>
  <bookViews>
    <workbookView xWindow="0" yWindow="760" windowWidth="34560" windowHeight="19840" firstSheet="1" activeTab="1" xr2:uid="{00000000-000D-0000-FFFF-FFFF00000000}"/>
  </bookViews>
  <sheets>
    <sheet name="Healthy" sheetId="3" r:id="rId1"/>
    <sheet name="Healthy_Pooja" sheetId="7" r:id="rId2"/>
    <sheet name="CoA_all_ist_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5" l="1"/>
  <c r="AA13" i="5"/>
  <c r="Z13" i="5"/>
  <c r="Y13" i="5"/>
  <c r="AB12" i="5"/>
  <c r="AA12" i="5"/>
  <c r="Z12" i="5"/>
  <c r="Y12" i="5"/>
  <c r="V10" i="5"/>
  <c r="X10" i="5" s="1"/>
  <c r="U10" i="5"/>
  <c r="W10" i="5" s="1"/>
  <c r="V9" i="5"/>
  <c r="X9" i="5" s="1"/>
  <c r="U9" i="5"/>
  <c r="W9" i="5" s="1"/>
  <c r="V8" i="5"/>
  <c r="X8" i="5" s="1"/>
  <c r="U8" i="5"/>
  <c r="W8" i="5" s="1"/>
  <c r="V7" i="5"/>
  <c r="X7" i="5" s="1"/>
  <c r="U7" i="5"/>
  <c r="W7" i="5" s="1"/>
  <c r="W6" i="5"/>
  <c r="V6" i="5"/>
  <c r="X6" i="5" s="1"/>
  <c r="U6" i="5"/>
  <c r="V5" i="5"/>
  <c r="X5" i="5" s="1"/>
  <c r="U5" i="5"/>
  <c r="W5" i="5" s="1"/>
  <c r="V4" i="5"/>
  <c r="X4" i="5" s="1"/>
  <c r="U4" i="5"/>
  <c r="W4" i="5" s="1"/>
  <c r="V3" i="5"/>
  <c r="X3" i="5" s="1"/>
  <c r="U3" i="5"/>
  <c r="W3" i="5" s="1"/>
  <c r="V2" i="5"/>
  <c r="X2" i="5" s="1"/>
  <c r="U2" i="5"/>
  <c r="W2" i="5" s="1"/>
  <c r="P13" i="5"/>
  <c r="O13" i="5"/>
  <c r="P12" i="5"/>
  <c r="O12" i="5"/>
  <c r="S10" i="5"/>
  <c r="N10" i="5"/>
  <c r="R10" i="5" s="1"/>
  <c r="M10" i="5"/>
  <c r="Q10" i="5" s="1"/>
  <c r="S9" i="5"/>
  <c r="T9" i="5" s="1"/>
  <c r="N9" i="5"/>
  <c r="R9" i="5" s="1"/>
  <c r="M9" i="5"/>
  <c r="Q9" i="5" s="1"/>
  <c r="S8" i="5"/>
  <c r="T8" i="5" s="1"/>
  <c r="N8" i="5"/>
  <c r="R8" i="5" s="1"/>
  <c r="M8" i="5"/>
  <c r="Q8" i="5" s="1"/>
  <c r="S7" i="5"/>
  <c r="T7" i="5" s="1"/>
  <c r="N7" i="5"/>
  <c r="M7" i="5"/>
  <c r="Q7" i="5" s="1"/>
  <c r="S6" i="5"/>
  <c r="T6" i="5" s="1"/>
  <c r="N6" i="5"/>
  <c r="R6" i="5" s="1"/>
  <c r="M6" i="5"/>
  <c r="Q6" i="5" s="1"/>
  <c r="S5" i="5"/>
  <c r="T5" i="5" s="1"/>
  <c r="N5" i="5"/>
  <c r="R5" i="5" s="1"/>
  <c r="M5" i="5"/>
  <c r="Q5" i="5" s="1"/>
  <c r="S4" i="5"/>
  <c r="T4" i="5" s="1"/>
  <c r="N4" i="5"/>
  <c r="R4" i="5" s="1"/>
  <c r="M4" i="5"/>
  <c r="Q4" i="5" s="1"/>
  <c r="S3" i="5"/>
  <c r="T3" i="5" s="1"/>
  <c r="N3" i="5"/>
  <c r="R3" i="5" s="1"/>
  <c r="M3" i="5"/>
  <c r="Q3" i="5" s="1"/>
  <c r="S2" i="5"/>
  <c r="T2" i="5" s="1"/>
  <c r="N2" i="5"/>
  <c r="R2" i="5" s="1"/>
  <c r="M2" i="5"/>
  <c r="Q2" i="5" s="1"/>
  <c r="AB8" i="7"/>
  <c r="AC8" i="7" s="1"/>
  <c r="AB7" i="7"/>
  <c r="AC7" i="7" s="1"/>
  <c r="AB6" i="7"/>
  <c r="AC6" i="7" s="1"/>
  <c r="AB5" i="7"/>
  <c r="AC5" i="7" s="1"/>
  <c r="AB4" i="7"/>
  <c r="AC4" i="7" s="1"/>
  <c r="AB3" i="7"/>
  <c r="AC3" i="7" s="1"/>
  <c r="AB2" i="7"/>
  <c r="AB11" i="7" s="1"/>
  <c r="AC10" i="5"/>
  <c r="AD10" i="5" s="1"/>
  <c r="AC9" i="5"/>
  <c r="AD9" i="5" s="1"/>
  <c r="AC8" i="5"/>
  <c r="AC7" i="5"/>
  <c r="AD7" i="5" s="1"/>
  <c r="AC6" i="5"/>
  <c r="AD6" i="5" s="1"/>
  <c r="AC5" i="5"/>
  <c r="AD5" i="5" s="1"/>
  <c r="AC4" i="5"/>
  <c r="AD4" i="5" s="1"/>
  <c r="AC3" i="5"/>
  <c r="AD3" i="5" s="1"/>
  <c r="AC2" i="5"/>
  <c r="I12" i="5"/>
  <c r="I15" i="5"/>
  <c r="I14" i="5"/>
  <c r="H13" i="7"/>
  <c r="H12" i="7"/>
  <c r="H10" i="7"/>
  <c r="J12" i="5"/>
  <c r="J13" i="5"/>
  <c r="I11" i="7"/>
  <c r="I10" i="7"/>
  <c r="G13" i="5"/>
  <c r="H13" i="5"/>
  <c r="G12" i="5"/>
  <c r="H12" i="5"/>
  <c r="G11" i="7"/>
  <c r="F11" i="7"/>
  <c r="G10" i="7"/>
  <c r="F10" i="7"/>
  <c r="F3" i="5"/>
  <c r="F4" i="5"/>
  <c r="F5" i="5"/>
  <c r="F6" i="5"/>
  <c r="F7" i="5"/>
  <c r="F8" i="5"/>
  <c r="F9" i="5"/>
  <c r="F10" i="5"/>
  <c r="F2" i="5"/>
  <c r="E10" i="7"/>
  <c r="E11" i="7"/>
  <c r="D12" i="5"/>
  <c r="D13" i="5"/>
  <c r="B13" i="5"/>
  <c r="D11" i="7"/>
  <c r="D10" i="7"/>
  <c r="B11" i="7"/>
  <c r="B10" i="7"/>
  <c r="B12" i="5"/>
  <c r="N13" i="5" l="1"/>
  <c r="S13" i="5"/>
  <c r="W12" i="5"/>
  <c r="X12" i="5"/>
  <c r="X13" i="5"/>
  <c r="W13" i="5"/>
  <c r="Q12" i="5"/>
  <c r="Q13" i="5"/>
  <c r="R7" i="5"/>
  <c r="R12" i="5" s="1"/>
  <c r="T10" i="5"/>
  <c r="N12" i="5"/>
  <c r="S12" i="5"/>
  <c r="M12" i="5"/>
  <c r="M13" i="5"/>
  <c r="AC12" i="5"/>
  <c r="AC13" i="5"/>
  <c r="AD8" i="5"/>
  <c r="AD2" i="5"/>
  <c r="AC2" i="7"/>
  <c r="AB10" i="7"/>
  <c r="AV28" i="3"/>
  <c r="AV32" i="3"/>
  <c r="AV26" i="3"/>
  <c r="AV25" i="3"/>
  <c r="AV21" i="3"/>
  <c r="AV22" i="3"/>
  <c r="AV10" i="3"/>
  <c r="AV14" i="3"/>
  <c r="AV9" i="3"/>
  <c r="AV7" i="3"/>
  <c r="AV29" i="3"/>
  <c r="AV35" i="3"/>
  <c r="AV50" i="3"/>
  <c r="AV46" i="3"/>
  <c r="AV37" i="3"/>
  <c r="AV41" i="3"/>
  <c r="AV38" i="3"/>
  <c r="AV49" i="3"/>
  <c r="AV45" i="3"/>
  <c r="AV19" i="3"/>
  <c r="AV59" i="3"/>
  <c r="AV27" i="3"/>
  <c r="AV40" i="3"/>
  <c r="AV24" i="3"/>
  <c r="AV8" i="3"/>
  <c r="AV15" i="3"/>
  <c r="AV42" i="3"/>
  <c r="AV43" i="3"/>
  <c r="AV30" i="3"/>
  <c r="AV44" i="3"/>
  <c r="AV3" i="3"/>
  <c r="AV12" i="3"/>
  <c r="AV36" i="3"/>
  <c r="AV52" i="3"/>
  <c r="AV54" i="3"/>
  <c r="AV57" i="3"/>
  <c r="AV13" i="3"/>
  <c r="AV61" i="3"/>
  <c r="AV39" i="3"/>
  <c r="AV2" i="3"/>
  <c r="AV53" i="3"/>
  <c r="AV4" i="3"/>
  <c r="AV5" i="3"/>
  <c r="AV47" i="3"/>
  <c r="AV60" i="3"/>
  <c r="AV33" i="3"/>
  <c r="AV16" i="3"/>
  <c r="AV55" i="3"/>
  <c r="AV11" i="3"/>
  <c r="AV51" i="3"/>
  <c r="AV56" i="3"/>
  <c r="AV48" i="3"/>
  <c r="AU28" i="3"/>
  <c r="AU32" i="3"/>
  <c r="AU26" i="3"/>
  <c r="AU25" i="3"/>
  <c r="AU21" i="3"/>
  <c r="AU22" i="3"/>
  <c r="AU23" i="3"/>
  <c r="AU10" i="3"/>
  <c r="AU14" i="3"/>
  <c r="AU9" i="3"/>
  <c r="AU7" i="3"/>
  <c r="AU29" i="3"/>
  <c r="AU35" i="3"/>
  <c r="AU50" i="3"/>
  <c r="AU46" i="3"/>
  <c r="AU37" i="3"/>
  <c r="AU41" i="3"/>
  <c r="AU38" i="3"/>
  <c r="AU49" i="3"/>
  <c r="AU45" i="3"/>
  <c r="AU34" i="3"/>
  <c r="AU19" i="3"/>
  <c r="AU59" i="3"/>
  <c r="AU27" i="3"/>
  <c r="AU17" i="3"/>
  <c r="AU20" i="3"/>
  <c r="AU40" i="3"/>
  <c r="AU24" i="3"/>
  <c r="AU58" i="3"/>
  <c r="AU8" i="3"/>
  <c r="AU18" i="3"/>
  <c r="AU6" i="3"/>
  <c r="AU15" i="3"/>
  <c r="AU42" i="3"/>
  <c r="AU43" i="3"/>
  <c r="AU30" i="3"/>
  <c r="AU44" i="3"/>
  <c r="AU3" i="3"/>
  <c r="AU12" i="3"/>
  <c r="AU36" i="3"/>
  <c r="AU52" i="3"/>
  <c r="AU54" i="3"/>
  <c r="AU57" i="3"/>
  <c r="AU13" i="3"/>
  <c r="AU61" i="3"/>
  <c r="AU39" i="3"/>
  <c r="AU2" i="3"/>
  <c r="AU53" i="3"/>
  <c r="AU4" i="3"/>
  <c r="AU5" i="3"/>
  <c r="AU47" i="3"/>
  <c r="AU60" i="3"/>
  <c r="AU33" i="3"/>
  <c r="AU16" i="3"/>
  <c r="AU55" i="3"/>
  <c r="AU11" i="3"/>
  <c r="AU51" i="3"/>
  <c r="AU56" i="3"/>
  <c r="AU48" i="3"/>
  <c r="AT28" i="3"/>
  <c r="AT32" i="3"/>
  <c r="AT26" i="3"/>
  <c r="AT25" i="3"/>
  <c r="AT21" i="3"/>
  <c r="AT23" i="3"/>
  <c r="AT9" i="3"/>
  <c r="AT50" i="3"/>
  <c r="AT46" i="3"/>
  <c r="AT37" i="3"/>
  <c r="AT41" i="3"/>
  <c r="AT38" i="3"/>
  <c r="AT49" i="3"/>
  <c r="AT45" i="3"/>
  <c r="AT34" i="3"/>
  <c r="AT19" i="3"/>
  <c r="AT59" i="3"/>
  <c r="AT27" i="3"/>
  <c r="AT17" i="3"/>
  <c r="AT20" i="3"/>
  <c r="AT40" i="3"/>
  <c r="AT24" i="3"/>
  <c r="AT58" i="3"/>
  <c r="AT8" i="3"/>
  <c r="AT18" i="3"/>
  <c r="AT6" i="3"/>
  <c r="AT15" i="3"/>
  <c r="AT42" i="3"/>
  <c r="AT43" i="3"/>
  <c r="AT30" i="3"/>
  <c r="AT44" i="3"/>
  <c r="AT3" i="3"/>
  <c r="AT12" i="3"/>
  <c r="AT36" i="3"/>
  <c r="AT52" i="3"/>
  <c r="AT54" i="3"/>
  <c r="AT57" i="3"/>
  <c r="AT13" i="3"/>
  <c r="AT61" i="3"/>
  <c r="AT39" i="3"/>
  <c r="AT2" i="3"/>
  <c r="AT53" i="3"/>
  <c r="AT4" i="3"/>
  <c r="AT5" i="3"/>
  <c r="AT47" i="3"/>
  <c r="AT60" i="3"/>
  <c r="AT33" i="3"/>
  <c r="AT16" i="3"/>
  <c r="AT55" i="3"/>
  <c r="AT11" i="3"/>
  <c r="AT51" i="3"/>
  <c r="AT56" i="3"/>
  <c r="AT48" i="3"/>
  <c r="AS28" i="3"/>
  <c r="AS32" i="3"/>
  <c r="AS26" i="3"/>
  <c r="AS25" i="3"/>
  <c r="AS21" i="3"/>
  <c r="AS22" i="3"/>
  <c r="AS9" i="3"/>
  <c r="AS50" i="3"/>
  <c r="AS46" i="3"/>
  <c r="AS37" i="3"/>
  <c r="AS41" i="3"/>
  <c r="AS38" i="3"/>
  <c r="AS49" i="3"/>
  <c r="AS45" i="3"/>
  <c r="AS34" i="3"/>
  <c r="AS19" i="3"/>
  <c r="AS59" i="3"/>
  <c r="AS27" i="3"/>
  <c r="AS17" i="3"/>
  <c r="AS20" i="3"/>
  <c r="AS40" i="3"/>
  <c r="AS24" i="3"/>
  <c r="AS58" i="3"/>
  <c r="AS8" i="3"/>
  <c r="AS18" i="3"/>
  <c r="AS6" i="3"/>
  <c r="AS15" i="3"/>
  <c r="AS42" i="3"/>
  <c r="AS43" i="3"/>
  <c r="AS30" i="3"/>
  <c r="AS44" i="3"/>
  <c r="AS3" i="3"/>
  <c r="AS12" i="3"/>
  <c r="AS36" i="3"/>
  <c r="AS52" i="3"/>
  <c r="AS54" i="3"/>
  <c r="AS57" i="3"/>
  <c r="AS13" i="3"/>
  <c r="AS61" i="3"/>
  <c r="AS39" i="3"/>
  <c r="AS2" i="3"/>
  <c r="AS53" i="3"/>
  <c r="AS4" i="3"/>
  <c r="AS5" i="3"/>
  <c r="AS47" i="3"/>
  <c r="AS60" i="3"/>
  <c r="AS33" i="3"/>
  <c r="AS16" i="3"/>
  <c r="AS55" i="3"/>
  <c r="AS11" i="3"/>
  <c r="AS51" i="3"/>
  <c r="AS56" i="3"/>
  <c r="AS48" i="3"/>
  <c r="AR28" i="3"/>
  <c r="AR32" i="3"/>
  <c r="AR26" i="3"/>
  <c r="AR25" i="3"/>
  <c r="AR21" i="3"/>
  <c r="AR23" i="3"/>
  <c r="AR10" i="3"/>
  <c r="AR14" i="3"/>
  <c r="AR9" i="3"/>
  <c r="AR7" i="3"/>
  <c r="AR35" i="3"/>
  <c r="AR50" i="3"/>
  <c r="AR46" i="3"/>
  <c r="AR37" i="3"/>
  <c r="AR41" i="3"/>
  <c r="AR38" i="3"/>
  <c r="AR49" i="3"/>
  <c r="AR45" i="3"/>
  <c r="AR34" i="3"/>
  <c r="AR19" i="3"/>
  <c r="AR59" i="3"/>
  <c r="AR27" i="3"/>
  <c r="AR17" i="3"/>
  <c r="AR20" i="3"/>
  <c r="AR40" i="3"/>
  <c r="AR24" i="3"/>
  <c r="AR58" i="3"/>
  <c r="AR8" i="3"/>
  <c r="AR18" i="3"/>
  <c r="AR6" i="3"/>
  <c r="AR15" i="3"/>
  <c r="AR42" i="3"/>
  <c r="AR43" i="3"/>
  <c r="AR30" i="3"/>
  <c r="AR44" i="3"/>
  <c r="AR3" i="3"/>
  <c r="AR12" i="3"/>
  <c r="AR36" i="3"/>
  <c r="AR52" i="3"/>
  <c r="AR54" i="3"/>
  <c r="AR57" i="3"/>
  <c r="AR13" i="3"/>
  <c r="AR61" i="3"/>
  <c r="AR39" i="3"/>
  <c r="AR2" i="3"/>
  <c r="AR53" i="3"/>
  <c r="AR4" i="3"/>
  <c r="AR5" i="3"/>
  <c r="AR47" i="3"/>
  <c r="AR60" i="3"/>
  <c r="AR33" i="3"/>
  <c r="AR16" i="3"/>
  <c r="AR55" i="3"/>
  <c r="AR11" i="3"/>
  <c r="AR51" i="3"/>
  <c r="AR56" i="3"/>
  <c r="AR48" i="3"/>
  <c r="AQ28" i="3"/>
  <c r="AQ32" i="3"/>
  <c r="AQ26" i="3"/>
  <c r="AQ25" i="3"/>
  <c r="AQ21" i="3"/>
  <c r="AQ22" i="3"/>
  <c r="AQ10" i="3"/>
  <c r="AQ14" i="3"/>
  <c r="AQ9" i="3"/>
  <c r="AQ7" i="3"/>
  <c r="AQ35" i="3"/>
  <c r="AQ50" i="3"/>
  <c r="AQ46" i="3"/>
  <c r="AQ37" i="3"/>
  <c r="AQ41" i="3"/>
  <c r="AQ38" i="3"/>
  <c r="AQ49" i="3"/>
  <c r="AQ45" i="3"/>
  <c r="AQ34" i="3"/>
  <c r="AQ19" i="3"/>
  <c r="AQ59" i="3"/>
  <c r="AQ27" i="3"/>
  <c r="AQ17" i="3"/>
  <c r="AQ20" i="3"/>
  <c r="AQ40" i="3"/>
  <c r="AQ24" i="3"/>
  <c r="AQ58" i="3"/>
  <c r="AQ8" i="3"/>
  <c r="AQ18" i="3"/>
  <c r="AQ6" i="3"/>
  <c r="AQ15" i="3"/>
  <c r="AQ42" i="3"/>
  <c r="AQ43" i="3"/>
  <c r="AQ30" i="3"/>
  <c r="AQ44" i="3"/>
  <c r="AQ3" i="3"/>
  <c r="AQ12" i="3"/>
  <c r="AQ36" i="3"/>
  <c r="AQ52" i="3"/>
  <c r="AQ54" i="3"/>
  <c r="AQ57" i="3"/>
  <c r="AQ13" i="3"/>
  <c r="AQ61" i="3"/>
  <c r="AQ39" i="3"/>
  <c r="AQ2" i="3"/>
  <c r="AQ53" i="3"/>
  <c r="AQ4" i="3"/>
  <c r="AQ5" i="3"/>
  <c r="AQ47" i="3"/>
  <c r="AQ60" i="3"/>
  <c r="AQ33" i="3"/>
  <c r="AQ16" i="3"/>
  <c r="AQ55" i="3"/>
  <c r="AQ11" i="3"/>
  <c r="AQ51" i="3"/>
  <c r="AQ56" i="3"/>
  <c r="AQ48" i="3"/>
  <c r="AP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I63" i="3"/>
  <c r="J63" i="3"/>
  <c r="K63" i="3"/>
  <c r="L63" i="3"/>
  <c r="M63" i="3"/>
  <c r="N63" i="3"/>
  <c r="O63" i="3"/>
  <c r="P63" i="3"/>
  <c r="Q63" i="3"/>
  <c r="R63" i="3"/>
  <c r="S63" i="3"/>
  <c r="I64" i="3"/>
  <c r="J64" i="3"/>
  <c r="K64" i="3"/>
  <c r="L64" i="3"/>
  <c r="M64" i="3"/>
  <c r="N64" i="3"/>
  <c r="O64" i="3"/>
  <c r="P64" i="3"/>
  <c r="Q64" i="3"/>
  <c r="R64" i="3"/>
  <c r="S64" i="3"/>
  <c r="H64" i="3"/>
  <c r="H63" i="3"/>
  <c r="AG62" i="3"/>
  <c r="AH62" i="3"/>
  <c r="AI62" i="3"/>
  <c r="AJ62" i="3"/>
  <c r="AK62" i="3"/>
  <c r="AL62" i="3"/>
  <c r="AM62" i="3"/>
  <c r="AN62" i="3"/>
  <c r="AO62" i="3"/>
  <c r="AP62" i="3"/>
  <c r="U62" i="3"/>
  <c r="V62" i="3"/>
  <c r="W62" i="3"/>
  <c r="X62" i="3"/>
  <c r="Y62" i="3"/>
  <c r="Z62" i="3"/>
  <c r="AA62" i="3"/>
  <c r="AB62" i="3"/>
  <c r="AC62" i="3"/>
  <c r="AD62" i="3"/>
  <c r="AE62" i="3"/>
  <c r="AF62" i="3"/>
  <c r="I62" i="3"/>
  <c r="J62" i="3"/>
  <c r="K62" i="3"/>
  <c r="L62" i="3"/>
  <c r="M62" i="3"/>
  <c r="N62" i="3"/>
  <c r="O62" i="3"/>
  <c r="P62" i="3"/>
  <c r="Q62" i="3"/>
  <c r="R62" i="3"/>
  <c r="S62" i="3"/>
  <c r="T62" i="3"/>
  <c r="H62" i="3"/>
  <c r="AC10" i="7" l="1"/>
  <c r="AC11" i="7"/>
  <c r="R13" i="5"/>
  <c r="T13" i="5"/>
  <c r="T12" i="5"/>
  <c r="AD13" i="5"/>
  <c r="AD12" i="5"/>
  <c r="AT64" i="3"/>
  <c r="AS64" i="3"/>
  <c r="AT62" i="3"/>
  <c r="AS62" i="3"/>
  <c r="AT63" i="3"/>
  <c r="AS63" i="3"/>
  <c r="AQ62" i="3"/>
  <c r="AR64" i="3"/>
  <c r="AR62" i="3"/>
  <c r="AQ64" i="3"/>
  <c r="AR63" i="3"/>
  <c r="AQ63" i="3"/>
</calcChain>
</file>

<file path=xl/sharedStrings.xml><?xml version="1.0" encoding="utf-8"?>
<sst xmlns="http://schemas.openxmlformats.org/spreadsheetml/2006/main" count="239" uniqueCount="160">
  <si>
    <t>Group</t>
  </si>
  <si>
    <t>study_id</t>
  </si>
  <si>
    <t>Mat_ID_Clinic</t>
  </si>
  <si>
    <t>Mat_ID_HSJD</t>
  </si>
  <si>
    <t>GA</t>
  </si>
  <si>
    <t>EFW</t>
  </si>
  <si>
    <t>MCA_PI</t>
  </si>
  <si>
    <t>MCA_PSV</t>
  </si>
  <si>
    <t>UmbA_PI</t>
  </si>
  <si>
    <t>AoI_PI</t>
  </si>
  <si>
    <t>DA_PI</t>
  </si>
  <si>
    <t>DV_PI</t>
  </si>
  <si>
    <t>Cardiac_area</t>
  </si>
  <si>
    <t>LAtrium_TansDiam</t>
  </si>
  <si>
    <t>LA_area</t>
  </si>
  <si>
    <t>RAtrium_TansDiam</t>
  </si>
  <si>
    <t>RA_area</t>
  </si>
  <si>
    <t>LV_ED_MidTransDiam</t>
  </si>
  <si>
    <t>LV_ED_area</t>
  </si>
  <si>
    <t>RV_ED_MidTransDiam</t>
  </si>
  <si>
    <t>RV_ED_area</t>
  </si>
  <si>
    <t>pulm_v</t>
  </si>
  <si>
    <t>pulm_d</t>
  </si>
  <si>
    <t>ao_v</t>
  </si>
  <si>
    <t>ao_d</t>
  </si>
  <si>
    <t>da_d</t>
  </si>
  <si>
    <t>iao_d</t>
  </si>
  <si>
    <t>E_R</t>
  </si>
  <si>
    <t>A_R</t>
  </si>
  <si>
    <t>E_L</t>
  </si>
  <si>
    <t>A_L</t>
  </si>
  <si>
    <t>L_SV</t>
  </si>
  <si>
    <t>R_SV</t>
  </si>
  <si>
    <t>MV_inflow</t>
  </si>
  <si>
    <t>L_inflow</t>
  </si>
  <si>
    <t>AV_outflow</t>
  </si>
  <si>
    <t>L_outflow</t>
  </si>
  <si>
    <t>TV_inflow</t>
  </si>
  <si>
    <t>R_inflow</t>
  </si>
  <si>
    <t>PV_outflow</t>
  </si>
  <si>
    <t>R_outflow</t>
  </si>
  <si>
    <t>5074509</t>
  </si>
  <si>
    <t>5053674</t>
  </si>
  <si>
    <t>4557207</t>
  </si>
  <si>
    <t>5034705</t>
  </si>
  <si>
    <t>.</t>
  </si>
  <si>
    <t>4547675</t>
  </si>
  <si>
    <t>5029856</t>
  </si>
  <si>
    <t>4480136</t>
  </si>
  <si>
    <t>70421738</t>
  </si>
  <si>
    <t>4692812</t>
  </si>
  <si>
    <t>4479942</t>
  </si>
  <si>
    <t>4830539</t>
  </si>
  <si>
    <t>4538473</t>
  </si>
  <si>
    <t>4837579</t>
  </si>
  <si>
    <t>1239051</t>
  </si>
  <si>
    <t>716335</t>
  </si>
  <si>
    <t>663401</t>
  </si>
  <si>
    <t>1385285</t>
  </si>
  <si>
    <t>433170</t>
  </si>
  <si>
    <t>178355</t>
  </si>
  <si>
    <t>1458208</t>
  </si>
  <si>
    <t>296416</t>
  </si>
  <si>
    <t>4351227</t>
  </si>
  <si>
    <t>4692320</t>
  </si>
  <si>
    <t>5019275</t>
  </si>
  <si>
    <t>4944920</t>
  </si>
  <si>
    <t>5033184</t>
  </si>
  <si>
    <t>4865740</t>
  </si>
  <si>
    <t>5027928</t>
  </si>
  <si>
    <t>5034709</t>
  </si>
  <si>
    <t>4843683</t>
  </si>
  <si>
    <t>4800947</t>
  </si>
  <si>
    <t>5026603</t>
  </si>
  <si>
    <t>4948383</t>
  </si>
  <si>
    <t>70050681</t>
  </si>
  <si>
    <t>443241</t>
  </si>
  <si>
    <t>1165407</t>
  </si>
  <si>
    <t>1213688</t>
  </si>
  <si>
    <t>1281147</t>
  </si>
  <si>
    <t>1285596</t>
  </si>
  <si>
    <t>1300165</t>
  </si>
  <si>
    <t>1429398</t>
  </si>
  <si>
    <t>1458203</t>
  </si>
  <si>
    <t>1464039</t>
  </si>
  <si>
    <t>1466439</t>
  </si>
  <si>
    <t>1488491</t>
  </si>
  <si>
    <t>196172</t>
  </si>
  <si>
    <t>296713</t>
  </si>
  <si>
    <t>353496</t>
  </si>
  <si>
    <t>354208</t>
  </si>
  <si>
    <t>380020</t>
  </si>
  <si>
    <t>381539</t>
  </si>
  <si>
    <t>468257</t>
  </si>
  <si>
    <t>482650</t>
  </si>
  <si>
    <t>586577</t>
  </si>
  <si>
    <t>616232</t>
  </si>
  <si>
    <t>677100</t>
  </si>
  <si>
    <t>839915</t>
  </si>
  <si>
    <t>841888</t>
  </si>
  <si>
    <t>952366</t>
  </si>
  <si>
    <t>MEAN</t>
  </si>
  <si>
    <t>MAX</t>
  </si>
  <si>
    <t>MIN</t>
  </si>
  <si>
    <t>pulm_wss</t>
  </si>
  <si>
    <t>ao_wss</t>
  </si>
  <si>
    <t>LV/RV ED_MidTransDiam</t>
  </si>
  <si>
    <t>LV/RV SV</t>
  </si>
  <si>
    <t>Date_US</t>
  </si>
  <si>
    <t>Expected iao_d</t>
  </si>
  <si>
    <t>Expected da_d</t>
  </si>
  <si>
    <t>LV/RV ED_Area</t>
  </si>
  <si>
    <t>ID_Rocket</t>
  </si>
  <si>
    <t>2024-04-29</t>
  </si>
  <si>
    <t>2024-03-08</t>
  </si>
  <si>
    <t>Mean</t>
  </si>
  <si>
    <t>Std</t>
  </si>
  <si>
    <t>Maternal age</t>
  </si>
  <si>
    <t>Maternal date of birth</t>
  </si>
  <si>
    <t>ln_predicted_ist</t>
  </si>
  <si>
    <t>ln_predicted_da</t>
  </si>
  <si>
    <t>z-score_ist</t>
  </si>
  <si>
    <t>z-score_da</t>
  </si>
  <si>
    <t>Maternal weight</t>
  </si>
  <si>
    <t>Maternal height</t>
  </si>
  <si>
    <t>GA at delivery</t>
  </si>
  <si>
    <t>Birthweight</t>
  </si>
  <si>
    <t>Apgar</t>
  </si>
  <si>
    <t>Mode of birth</t>
  </si>
  <si>
    <t>Cesarea</t>
  </si>
  <si>
    <t>Eutocic</t>
  </si>
  <si>
    <t>Instrumental</t>
  </si>
  <si>
    <t>ID</t>
  </si>
  <si>
    <t>coa_0001</t>
  </si>
  <si>
    <t>coa_0002</t>
  </si>
  <si>
    <t>coa_0003</t>
  </si>
  <si>
    <t>coa_0004</t>
  </si>
  <si>
    <t>coa_0005</t>
  </si>
  <si>
    <t>coa_0006</t>
  </si>
  <si>
    <t>coa_0007</t>
  </si>
  <si>
    <t>coa_0008</t>
  </si>
  <si>
    <t>coa_0009</t>
  </si>
  <si>
    <t>Measured istm diam</t>
  </si>
  <si>
    <t>Measured da diam</t>
  </si>
  <si>
    <t>Ratio ist</t>
  </si>
  <si>
    <t>Ratio da</t>
  </si>
  <si>
    <t>AoI PI</t>
  </si>
  <si>
    <t>DA PI</t>
  </si>
  <si>
    <t>UA PI</t>
  </si>
  <si>
    <t>MCA PI</t>
  </si>
  <si>
    <t>LV/RV ED_Area depth change</t>
  </si>
  <si>
    <t>RV/LV ED_Area depth change</t>
  </si>
  <si>
    <t>RV/LV ED_Area</t>
  </si>
  <si>
    <t>aor_0001</t>
  </si>
  <si>
    <t>aor_0002</t>
  </si>
  <si>
    <t>aor_0003</t>
  </si>
  <si>
    <t>aor_0004</t>
  </si>
  <si>
    <t>aor_0005</t>
  </si>
  <si>
    <t>aor_0006</t>
  </si>
  <si>
    <t>aor_0007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</si>
</sst>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2F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4" borderId="0" xfId="0" applyNumberFormat="1" applyFill="1"/>
    <xf numFmtId="2" fontId="3" fillId="0" borderId="0" xfId="0" applyNumberFormat="1" applyFont="1"/>
    <xf numFmtId="0" fontId="2" fillId="5" borderId="0" xfId="0" applyFont="1" applyFill="1"/>
    <xf numFmtId="0" fontId="0" fillId="0" borderId="0" xfId="0" applyFill="1"/>
    <xf numFmtId="2" fontId="0" fillId="0" borderId="0" xfId="0" applyNumberFormat="1" applyFill="1"/>
    <xf numFmtId="15" fontId="0" fillId="0" borderId="0" xfId="0" applyNumberFormat="1" applyFill="1"/>
    <xf numFmtId="1" fontId="0" fillId="0" borderId="0" xfId="0" applyNumberFormat="1" applyFill="1"/>
    <xf numFmtId="14" fontId="0" fillId="0" borderId="0" xfId="0" applyNumberFormat="1" applyFill="1"/>
    <xf numFmtId="164" fontId="0" fillId="0" borderId="0" xfId="0" applyNumberFormat="1" applyFill="1"/>
    <xf numFmtId="1" fontId="2" fillId="0" borderId="0" xfId="0" applyNumberFormat="1" applyFont="1" applyFill="1"/>
    <xf numFmtId="0" fontId="2" fillId="0" borderId="0" xfId="0" applyFont="1" applyFill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D655F"/>
      <color rgb="FFC58AE5"/>
      <color rgb="FFB772E6"/>
      <color rgb="FFFF6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A5AA-C0BA-0F4E-BCB6-87B92772F1C9}">
  <dimension ref="A1:AV64"/>
  <sheetViews>
    <sheetView workbookViewId="0">
      <selection activeCell="AB40" sqref="AA27:AB40"/>
    </sheetView>
  </sheetViews>
  <sheetFormatPr baseColWidth="10" defaultColWidth="8.83203125" defaultRowHeight="15" x14ac:dyDescent="0.2"/>
  <cols>
    <col min="6" max="6" width="9.33203125" bestFit="1" customWidth="1"/>
    <col min="47" max="47" width="20" bestFit="1" customWidth="1"/>
  </cols>
  <sheetData>
    <row r="1" spans="1:4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108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31</v>
      </c>
      <c r="AP1" s="4" t="s">
        <v>32</v>
      </c>
      <c r="AQ1" s="4" t="s">
        <v>104</v>
      </c>
      <c r="AR1" s="4" t="s">
        <v>105</v>
      </c>
      <c r="AS1" s="4" t="s">
        <v>104</v>
      </c>
      <c r="AT1" s="4" t="s">
        <v>105</v>
      </c>
      <c r="AU1" s="4" t="s">
        <v>106</v>
      </c>
      <c r="AV1" s="4" t="s">
        <v>107</v>
      </c>
    </row>
    <row r="2" spans="1:48" x14ac:dyDescent="0.2">
      <c r="A2" s="3">
        <v>0</v>
      </c>
      <c r="B2" s="3">
        <v>9914</v>
      </c>
      <c r="C2" t="s">
        <v>88</v>
      </c>
      <c r="D2" t="s">
        <v>88</v>
      </c>
      <c r="E2" s="2">
        <v>26</v>
      </c>
      <c r="F2" s="9">
        <v>42433</v>
      </c>
      <c r="G2" s="3">
        <v>878</v>
      </c>
      <c r="H2" s="2">
        <v>1.95</v>
      </c>
      <c r="I2" s="2">
        <v>41</v>
      </c>
      <c r="J2" s="2">
        <v>1.33</v>
      </c>
      <c r="K2" s="2">
        <v>2.57</v>
      </c>
      <c r="L2" s="2">
        <v>3.11</v>
      </c>
      <c r="M2" s="2">
        <v>0.7</v>
      </c>
      <c r="N2" s="2">
        <v>5.24</v>
      </c>
      <c r="O2" s="2">
        <v>9.2799999999999994</v>
      </c>
      <c r="P2" s="2">
        <v>1.1299999999999999</v>
      </c>
      <c r="Q2" s="3">
        <v>12.3</v>
      </c>
      <c r="R2" s="2">
        <v>0.99</v>
      </c>
      <c r="S2" s="2">
        <v>6.9</v>
      </c>
      <c r="T2" s="2">
        <v>1.4</v>
      </c>
      <c r="U2" s="2">
        <v>8.8000000000000007</v>
      </c>
      <c r="V2" s="2">
        <v>1.1000000000000001</v>
      </c>
      <c r="W2" s="2">
        <v>72</v>
      </c>
      <c r="X2" s="2">
        <v>4.5</v>
      </c>
      <c r="Y2" s="2">
        <v>79</v>
      </c>
      <c r="Z2" s="2">
        <v>3.9</v>
      </c>
      <c r="AA2" s="1"/>
      <c r="AB2" s="1"/>
      <c r="AC2" s="2">
        <v>38.200000000000003</v>
      </c>
      <c r="AD2" s="2">
        <v>47.9</v>
      </c>
      <c r="AE2" s="2">
        <v>27.3</v>
      </c>
      <c r="AF2" s="2">
        <v>36.4</v>
      </c>
      <c r="AG2" s="2">
        <v>171</v>
      </c>
      <c r="AH2" s="2">
        <v>39.767441860465112</v>
      </c>
      <c r="AI2" s="2">
        <v>171</v>
      </c>
      <c r="AJ2" s="2">
        <v>40.909090909090914</v>
      </c>
      <c r="AK2" s="2">
        <v>165</v>
      </c>
      <c r="AL2" s="2">
        <v>37.33031674208145</v>
      </c>
      <c r="AM2" s="2">
        <v>177</v>
      </c>
      <c r="AN2" s="2">
        <v>41.745283018867923</v>
      </c>
      <c r="AO2" s="2">
        <v>1.1701053000000003</v>
      </c>
      <c r="AP2" s="2">
        <v>1.66910625</v>
      </c>
      <c r="AQ2">
        <f t="shared" ref="AQ2:AQ22" si="0">W2/X2/2</f>
        <v>8</v>
      </c>
      <c r="AR2">
        <f t="shared" ref="AR2:AR21" si="1">Y2/Z2/2</f>
        <v>10.128205128205128</v>
      </c>
      <c r="AS2">
        <f>W2/SQRT(X2/2/G2)</f>
        <v>1422.2911094427891</v>
      </c>
      <c r="AT2">
        <f>Y2/SQRT(Z2/2/G2)</f>
        <v>1676.3204515874213</v>
      </c>
      <c r="AU2">
        <f t="shared" ref="AU2:AU30" si="2" xml:space="preserve"> S2/U2</f>
        <v>0.78409090909090906</v>
      </c>
      <c r="AV2">
        <f>AO2/AP2</f>
        <v>0.70103703703703724</v>
      </c>
    </row>
    <row r="3" spans="1:48" x14ac:dyDescent="0.2">
      <c r="A3" s="3">
        <v>0</v>
      </c>
      <c r="B3" s="3">
        <v>9905</v>
      </c>
      <c r="C3" t="s">
        <v>79</v>
      </c>
      <c r="D3" t="s">
        <v>79</v>
      </c>
      <c r="E3" s="2">
        <v>26.142857142857142</v>
      </c>
      <c r="F3" s="9">
        <v>42426</v>
      </c>
      <c r="G3" s="3">
        <v>948</v>
      </c>
      <c r="H3" s="2">
        <v>2.57</v>
      </c>
      <c r="I3" s="2">
        <v>37</v>
      </c>
      <c r="J3" s="2">
        <v>1.1499999999999999</v>
      </c>
      <c r="K3" s="2">
        <v>2.61</v>
      </c>
      <c r="L3" s="2">
        <v>2.57</v>
      </c>
      <c r="M3" s="2">
        <v>0.62</v>
      </c>
      <c r="N3" s="2">
        <v>7.14</v>
      </c>
      <c r="O3" s="2">
        <v>10.67</v>
      </c>
      <c r="P3" s="2">
        <v>1.19</v>
      </c>
      <c r="Q3" s="3">
        <v>13.54</v>
      </c>
      <c r="R3" s="2">
        <v>1.34</v>
      </c>
      <c r="S3" s="2">
        <v>10.9</v>
      </c>
      <c r="T3" s="2">
        <v>2.0099999999999998</v>
      </c>
      <c r="U3" s="2">
        <v>10.8</v>
      </c>
      <c r="V3" s="2">
        <v>1.52</v>
      </c>
      <c r="W3" s="2">
        <v>75</v>
      </c>
      <c r="X3" s="2">
        <v>5.3</v>
      </c>
      <c r="Y3" s="2">
        <v>82</v>
      </c>
      <c r="Z3" s="2">
        <v>5</v>
      </c>
      <c r="AA3" s="1"/>
      <c r="AB3" s="1"/>
      <c r="AC3" s="2">
        <v>35.1</v>
      </c>
      <c r="AD3" s="2">
        <v>54.3</v>
      </c>
      <c r="AE3" s="2">
        <v>37.4</v>
      </c>
      <c r="AF3" s="2">
        <v>54</v>
      </c>
      <c r="AG3" s="2">
        <v>198</v>
      </c>
      <c r="AH3" s="2">
        <v>49.624060150375939</v>
      </c>
      <c r="AI3" s="2">
        <v>184</v>
      </c>
      <c r="AJ3" s="2">
        <v>46.347607052896727</v>
      </c>
      <c r="AK3" s="2">
        <v>169</v>
      </c>
      <c r="AL3" s="2">
        <v>41.019417475728154</v>
      </c>
      <c r="AM3" s="2">
        <v>179</v>
      </c>
      <c r="AN3" s="2">
        <v>42.018779342723008</v>
      </c>
      <c r="AO3" s="2">
        <v>1.7466250000000001</v>
      </c>
      <c r="AP3" s="2">
        <v>2.3814702000000008</v>
      </c>
      <c r="AQ3">
        <f t="shared" si="0"/>
        <v>7.0754716981132075</v>
      </c>
      <c r="AR3">
        <f t="shared" si="1"/>
        <v>8.1999999999999993</v>
      </c>
      <c r="AS3">
        <f>W3/SQRT(X3/2/G3)</f>
        <v>1418.5429676056331</v>
      </c>
      <c r="AT3">
        <f>Y3/SQRT(Z3/2/G3)</f>
        <v>1596.7907815365168</v>
      </c>
      <c r="AU3">
        <f t="shared" si="2"/>
        <v>1.0092592592592593</v>
      </c>
      <c r="AV3">
        <f>AO3/AP3</f>
        <v>0.73342299223395679</v>
      </c>
    </row>
    <row r="4" spans="1:48" x14ac:dyDescent="0.2">
      <c r="A4" s="3">
        <v>0</v>
      </c>
      <c r="B4" s="3">
        <v>9916</v>
      </c>
      <c r="C4" t="s">
        <v>90</v>
      </c>
      <c r="D4" t="s">
        <v>90</v>
      </c>
      <c r="E4" s="2">
        <v>26.571428571428573</v>
      </c>
      <c r="F4" s="9">
        <v>42367</v>
      </c>
      <c r="G4" s="3">
        <v>952</v>
      </c>
      <c r="H4" s="2">
        <v>2.5</v>
      </c>
      <c r="I4" s="2">
        <v>29</v>
      </c>
      <c r="J4" s="2">
        <v>1.1299999999999999</v>
      </c>
      <c r="K4" s="2">
        <v>2.75</v>
      </c>
      <c r="L4" s="2">
        <v>2.5</v>
      </c>
      <c r="M4" s="2">
        <v>0.44</v>
      </c>
      <c r="N4" s="2">
        <v>8.48</v>
      </c>
      <c r="O4" s="2">
        <v>13.6</v>
      </c>
      <c r="P4" s="2">
        <v>1.6</v>
      </c>
      <c r="Q4" s="3">
        <v>14.2</v>
      </c>
      <c r="R4" s="2">
        <v>1.23</v>
      </c>
      <c r="S4" s="2">
        <v>11.6</v>
      </c>
      <c r="T4" s="2">
        <v>2.15</v>
      </c>
      <c r="U4" s="2">
        <v>11</v>
      </c>
      <c r="V4" s="2">
        <v>2.4</v>
      </c>
      <c r="W4" s="2">
        <v>105</v>
      </c>
      <c r="X4" s="2">
        <v>4.5</v>
      </c>
      <c r="Y4" s="2">
        <v>91</v>
      </c>
      <c r="Z4" s="2">
        <v>4.2</v>
      </c>
      <c r="AA4" s="1"/>
      <c r="AB4" s="1"/>
      <c r="AC4" s="2">
        <v>35.299999999999997</v>
      </c>
      <c r="AD4" s="2">
        <v>59</v>
      </c>
      <c r="AE4" s="2">
        <v>27</v>
      </c>
      <c r="AF4" s="2">
        <v>44.8</v>
      </c>
      <c r="AG4" s="2">
        <v>183</v>
      </c>
      <c r="AH4" s="2">
        <v>45.75</v>
      </c>
      <c r="AI4" s="2">
        <v>174</v>
      </c>
      <c r="AJ4" s="2">
        <v>43.283582089552233</v>
      </c>
      <c r="AK4" s="2">
        <v>175</v>
      </c>
      <c r="AL4" s="2">
        <v>44.642857142857146</v>
      </c>
      <c r="AM4" s="2">
        <v>202</v>
      </c>
      <c r="AN4" s="2">
        <v>42.436974789915965</v>
      </c>
      <c r="AO4" s="2">
        <v>1.3570452000000004</v>
      </c>
      <c r="AP4" s="2">
        <v>1.9393425</v>
      </c>
      <c r="AQ4">
        <f t="shared" si="0"/>
        <v>11.666666666666666</v>
      </c>
      <c r="AR4">
        <f t="shared" si="1"/>
        <v>10.833333333333332</v>
      </c>
      <c r="AS4">
        <f>W4/SQRT(X4/2/G4)</f>
        <v>2159.8148068758119</v>
      </c>
      <c r="AT4">
        <f>Y4/SQRT(Z4/2/G4)</f>
        <v>1937.5379566174527</v>
      </c>
      <c r="AU4">
        <f t="shared" si="2"/>
        <v>1.0545454545454545</v>
      </c>
      <c r="AV4">
        <f>AO4/AP4</f>
        <v>0.69974499089253206</v>
      </c>
    </row>
    <row r="5" spans="1:48" x14ac:dyDescent="0.2">
      <c r="A5" s="3">
        <v>0</v>
      </c>
      <c r="B5" s="3">
        <v>9917</v>
      </c>
      <c r="C5" t="s">
        <v>91</v>
      </c>
      <c r="D5" t="s">
        <v>91</v>
      </c>
      <c r="E5" s="2">
        <v>27</v>
      </c>
      <c r="F5" s="9">
        <v>42496</v>
      </c>
      <c r="G5" s="3">
        <v>1119</v>
      </c>
      <c r="H5" s="2">
        <v>2.15</v>
      </c>
      <c r="I5" s="2">
        <v>36.4</v>
      </c>
      <c r="J5" s="2">
        <v>1.1299999999999999</v>
      </c>
      <c r="K5" s="2">
        <v>2.6</v>
      </c>
      <c r="L5" s="2">
        <v>2.15</v>
      </c>
      <c r="M5" s="2">
        <v>0.51</v>
      </c>
      <c r="N5" s="2">
        <v>6.79</v>
      </c>
      <c r="O5" s="2">
        <v>10.42</v>
      </c>
      <c r="P5" s="2">
        <v>1.1299999999999999</v>
      </c>
      <c r="Q5" s="3">
        <v>13.86</v>
      </c>
      <c r="R5" s="2">
        <v>1.29</v>
      </c>
      <c r="S5" s="2">
        <v>10.1</v>
      </c>
      <c r="T5" s="2">
        <v>2.06</v>
      </c>
      <c r="U5" s="2">
        <v>11</v>
      </c>
      <c r="V5" s="2">
        <v>2.11</v>
      </c>
      <c r="W5" s="2">
        <v>63</v>
      </c>
      <c r="X5" s="2">
        <v>4.7</v>
      </c>
      <c r="Y5" s="2">
        <v>96</v>
      </c>
      <c r="Z5" s="2">
        <v>3.5</v>
      </c>
      <c r="AA5" s="1"/>
      <c r="AB5" s="1"/>
      <c r="AC5" s="2">
        <v>38.799999999999997</v>
      </c>
      <c r="AD5" s="2">
        <v>48.3</v>
      </c>
      <c r="AE5" s="2">
        <v>34.799999999999997</v>
      </c>
      <c r="AF5" s="2">
        <v>43.7</v>
      </c>
      <c r="AG5" s="2">
        <v>208</v>
      </c>
      <c r="AH5" s="2">
        <v>48.036951501154732</v>
      </c>
      <c r="AI5" s="2">
        <v>192</v>
      </c>
      <c r="AJ5" s="2">
        <v>43.735763097949885</v>
      </c>
      <c r="AK5" s="2">
        <v>197</v>
      </c>
      <c r="AL5" s="2">
        <v>43.487858719646802</v>
      </c>
      <c r="AM5" s="2">
        <v>189</v>
      </c>
      <c r="AN5" s="2">
        <v>43.648960739030024</v>
      </c>
      <c r="AO5" s="2">
        <v>1.0770199999999999</v>
      </c>
      <c r="AP5" s="2">
        <v>1.1965048500000004</v>
      </c>
      <c r="AQ5">
        <f t="shared" si="0"/>
        <v>6.7021276595744679</v>
      </c>
      <c r="AR5">
        <f t="shared" si="1"/>
        <v>13.714285714285714</v>
      </c>
      <c r="AS5">
        <f>W5/SQRT(X5/2/G5)</f>
        <v>1374.7434576924106</v>
      </c>
      <c r="AT5">
        <f>Y5/SQRT(Z5/2/G5)</f>
        <v>2427.5447914066826</v>
      </c>
      <c r="AU5">
        <f t="shared" si="2"/>
        <v>0.9181818181818181</v>
      </c>
      <c r="AV5">
        <f>AO5/AP5</f>
        <v>0.90013843236824276</v>
      </c>
    </row>
    <row r="6" spans="1:48" x14ac:dyDescent="0.2">
      <c r="A6" s="3">
        <v>0</v>
      </c>
      <c r="B6" s="3">
        <v>1132</v>
      </c>
      <c r="C6" t="s">
        <v>74</v>
      </c>
      <c r="D6" t="s">
        <v>45</v>
      </c>
      <c r="E6" s="2">
        <v>27</v>
      </c>
      <c r="F6" s="9">
        <v>42747</v>
      </c>
      <c r="G6" s="3">
        <v>911</v>
      </c>
      <c r="H6" s="2">
        <v>1.92</v>
      </c>
      <c r="I6" s="2">
        <v>25</v>
      </c>
      <c r="J6" s="2">
        <v>0.98</v>
      </c>
      <c r="K6" s="2">
        <v>2.2999999999999998</v>
      </c>
      <c r="L6" s="2">
        <v>2</v>
      </c>
      <c r="M6" s="2">
        <v>0.31</v>
      </c>
      <c r="N6" s="2">
        <v>6.1</v>
      </c>
      <c r="O6" s="2">
        <v>10.1</v>
      </c>
      <c r="P6" s="2">
        <v>0.79</v>
      </c>
      <c r="Q6" s="3">
        <v>10.5</v>
      </c>
      <c r="R6" s="2">
        <v>0.55000000000000004</v>
      </c>
      <c r="S6" s="2">
        <v>7.7</v>
      </c>
      <c r="T6" s="2">
        <v>0.99</v>
      </c>
      <c r="U6" s="2">
        <v>6.4</v>
      </c>
      <c r="V6" s="2">
        <v>0.95</v>
      </c>
      <c r="W6" s="2">
        <v>49</v>
      </c>
      <c r="X6" s="2">
        <v>5.0999999999999996</v>
      </c>
      <c r="Y6" s="2">
        <v>83</v>
      </c>
      <c r="Z6" s="2">
        <v>3.9</v>
      </c>
      <c r="AA6" s="1"/>
      <c r="AB6" s="1"/>
      <c r="AC6" s="2">
        <v>39</v>
      </c>
      <c r="AD6" s="2">
        <v>36</v>
      </c>
      <c r="AE6" s="1"/>
      <c r="AF6" s="1"/>
      <c r="AG6" s="2">
        <v>140.66666666666666</v>
      </c>
      <c r="AH6" s="2">
        <v>37.444543034605147</v>
      </c>
      <c r="AI6" s="2">
        <v>163</v>
      </c>
      <c r="AJ6" s="2">
        <v>41.126997476871324</v>
      </c>
      <c r="AK6" s="2">
        <v>192.33333333333334</v>
      </c>
      <c r="AL6" s="2">
        <v>40.748587570621467</v>
      </c>
      <c r="AM6" s="2">
        <v>176.66666666666666</v>
      </c>
      <c r="AN6" s="2">
        <v>44.763513513513509</v>
      </c>
      <c r="AO6" s="2">
        <v>1.2417444000000002</v>
      </c>
      <c r="AP6" s="1"/>
      <c r="AQ6">
        <f t="shared" si="0"/>
        <v>4.8039215686274517</v>
      </c>
      <c r="AR6">
        <f t="shared" si="1"/>
        <v>10.641025641025641</v>
      </c>
      <c r="AS6">
        <f>W6/SQRT(X6/2/G6)</f>
        <v>926.15820441641779</v>
      </c>
      <c r="AT6">
        <f>Y6/SQRT(Z6/2/G6)</f>
        <v>1793.9898235997571</v>
      </c>
      <c r="AU6">
        <f t="shared" si="2"/>
        <v>1.203125</v>
      </c>
    </row>
    <row r="7" spans="1:48" x14ac:dyDescent="0.2">
      <c r="A7" s="3">
        <v>0</v>
      </c>
      <c r="B7" s="3">
        <v>7022</v>
      </c>
      <c r="C7" t="s">
        <v>53</v>
      </c>
      <c r="D7" t="s">
        <v>45</v>
      </c>
      <c r="E7" s="2">
        <v>28.571428571428573</v>
      </c>
      <c r="F7" s="9">
        <v>42746</v>
      </c>
      <c r="G7" s="1"/>
      <c r="H7" s="1"/>
      <c r="I7" s="1"/>
      <c r="J7" s="1"/>
      <c r="K7" s="2">
        <v>2.68</v>
      </c>
      <c r="L7" s="2">
        <v>2.7</v>
      </c>
      <c r="M7" s="2">
        <v>0.49</v>
      </c>
      <c r="N7" s="2">
        <v>8.1</v>
      </c>
      <c r="O7" s="2">
        <v>11.4</v>
      </c>
      <c r="P7" s="2">
        <v>1.53</v>
      </c>
      <c r="Q7" s="3">
        <v>14.1</v>
      </c>
      <c r="R7" s="2">
        <v>1.57</v>
      </c>
      <c r="S7" s="2">
        <v>11.9</v>
      </c>
      <c r="T7" s="2">
        <v>1.86</v>
      </c>
      <c r="U7" s="2">
        <v>11.2</v>
      </c>
      <c r="V7" s="2">
        <v>1.94</v>
      </c>
      <c r="W7" s="2">
        <v>53</v>
      </c>
      <c r="X7" s="2">
        <v>6.5</v>
      </c>
      <c r="Y7" s="2">
        <v>82</v>
      </c>
      <c r="Z7" s="2">
        <v>6.7</v>
      </c>
      <c r="AA7" s="1"/>
      <c r="AB7" s="1"/>
      <c r="AC7" s="2">
        <v>45</v>
      </c>
      <c r="AD7" s="2">
        <v>46</v>
      </c>
      <c r="AE7" s="2">
        <v>32</v>
      </c>
      <c r="AF7" s="2">
        <v>44</v>
      </c>
      <c r="AG7" s="2">
        <v>169.66666666666666</v>
      </c>
      <c r="AH7" s="2">
        <v>38.299473288186604</v>
      </c>
      <c r="AI7" s="2">
        <v>165.33333333333334</v>
      </c>
      <c r="AJ7" s="2">
        <v>39.775461106655975</v>
      </c>
      <c r="AK7" s="2">
        <v>182</v>
      </c>
      <c r="AL7" s="2">
        <v>42.358417377812259</v>
      </c>
      <c r="AM7" s="2">
        <v>181.33333333333334</v>
      </c>
      <c r="AN7" s="2">
        <v>41.717791411042946</v>
      </c>
      <c r="AO7" s="2">
        <v>2.9952852500000002</v>
      </c>
      <c r="AP7" s="2">
        <v>2.6533000000000002</v>
      </c>
      <c r="AQ7">
        <f t="shared" si="0"/>
        <v>4.0769230769230766</v>
      </c>
      <c r="AR7">
        <f t="shared" si="1"/>
        <v>6.1194029850746263</v>
      </c>
      <c r="AU7">
        <f t="shared" si="2"/>
        <v>1.0625</v>
      </c>
      <c r="AV7">
        <f t="shared" ref="AV7:AV16" si="3">AO7/AP7</f>
        <v>1.1288905325443788</v>
      </c>
    </row>
    <row r="8" spans="1:48" x14ac:dyDescent="0.2">
      <c r="A8" s="3">
        <v>0</v>
      </c>
      <c r="B8" s="3">
        <v>1141</v>
      </c>
      <c r="C8" t="s">
        <v>72</v>
      </c>
      <c r="D8" t="s">
        <v>45</v>
      </c>
      <c r="E8" s="2">
        <v>28.571428571428573</v>
      </c>
      <c r="F8" s="9">
        <v>42774</v>
      </c>
      <c r="G8" s="3">
        <v>1494</v>
      </c>
      <c r="H8" s="2">
        <v>2.7</v>
      </c>
      <c r="I8" s="2">
        <v>43</v>
      </c>
      <c r="J8" s="2">
        <v>1.1599999999999999</v>
      </c>
      <c r="K8" s="2">
        <v>2.65</v>
      </c>
      <c r="L8" s="2">
        <v>2.73</v>
      </c>
      <c r="M8" s="2">
        <v>0.45</v>
      </c>
      <c r="N8" s="2">
        <v>10.01</v>
      </c>
      <c r="O8" s="2">
        <v>11.5</v>
      </c>
      <c r="P8" s="2">
        <v>1.54</v>
      </c>
      <c r="Q8" s="3">
        <v>11.6</v>
      </c>
      <c r="R8" s="2">
        <v>1.41</v>
      </c>
      <c r="S8" s="2">
        <v>9.8000000000000007</v>
      </c>
      <c r="T8" s="2">
        <v>2.21</v>
      </c>
      <c r="U8" s="2">
        <v>9.1</v>
      </c>
      <c r="V8" s="2">
        <v>1.55</v>
      </c>
      <c r="W8" s="2">
        <v>55</v>
      </c>
      <c r="X8" s="2">
        <v>4.5</v>
      </c>
      <c r="Y8" s="2">
        <v>68</v>
      </c>
      <c r="Z8" s="2">
        <v>4.2</v>
      </c>
      <c r="AA8" s="1"/>
      <c r="AB8" s="1"/>
      <c r="AC8" s="2">
        <v>30.7</v>
      </c>
      <c r="AD8" s="2">
        <v>50.9</v>
      </c>
      <c r="AE8" s="2">
        <v>33.299999999999997</v>
      </c>
      <c r="AF8" s="2">
        <v>48.9</v>
      </c>
      <c r="AG8" s="2">
        <v>126.33333333333333</v>
      </c>
      <c r="AH8" s="2">
        <v>32.365499573014517</v>
      </c>
      <c r="AI8" s="2">
        <v>133</v>
      </c>
      <c r="AJ8" s="2">
        <v>34.87762237762238</v>
      </c>
      <c r="AK8" s="2">
        <v>136.33333333333334</v>
      </c>
      <c r="AL8" s="2">
        <v>34.111759799833195</v>
      </c>
      <c r="AM8" s="2">
        <v>201.66666666666666</v>
      </c>
      <c r="AN8" s="2">
        <v>50.124275062137535</v>
      </c>
      <c r="AO8" s="2">
        <v>0.97208748000000023</v>
      </c>
      <c r="AP8" s="2">
        <v>1.1286337499999999</v>
      </c>
      <c r="AQ8">
        <f t="shared" si="0"/>
        <v>6.1111111111111107</v>
      </c>
      <c r="AR8">
        <f t="shared" si="1"/>
        <v>8.0952380952380949</v>
      </c>
      <c r="AS8">
        <f>W8/SQRT(X8/2/G8)</f>
        <v>1417.2508599397636</v>
      </c>
      <c r="AT8">
        <f>Y8/SQRT(Z8/2/G8)</f>
        <v>1813.7380500738564</v>
      </c>
      <c r="AU8">
        <f t="shared" si="2"/>
        <v>1.0769230769230771</v>
      </c>
      <c r="AV8">
        <f t="shared" si="3"/>
        <v>0.86129577464788765</v>
      </c>
    </row>
    <row r="9" spans="1:48" x14ac:dyDescent="0.2">
      <c r="A9" s="3">
        <v>0</v>
      </c>
      <c r="B9" s="3">
        <v>7024</v>
      </c>
      <c r="C9" t="s">
        <v>52</v>
      </c>
      <c r="D9" t="s">
        <v>45</v>
      </c>
      <c r="E9" s="2">
        <v>28.714285714285715</v>
      </c>
      <c r="F9" s="9">
        <v>42746</v>
      </c>
      <c r="G9" s="3">
        <v>1190</v>
      </c>
      <c r="H9" s="2">
        <v>2.58</v>
      </c>
      <c r="I9" s="1"/>
      <c r="J9" s="2">
        <v>0.94</v>
      </c>
      <c r="K9" s="2">
        <v>2.0699999999999998</v>
      </c>
      <c r="L9" s="2">
        <v>2.41</v>
      </c>
      <c r="M9" s="2">
        <v>0.4</v>
      </c>
      <c r="N9" s="2">
        <v>6.73</v>
      </c>
      <c r="O9" s="2">
        <v>10.8</v>
      </c>
      <c r="P9" s="2">
        <v>0.98</v>
      </c>
      <c r="Q9" s="3">
        <v>12.5</v>
      </c>
      <c r="R9" s="2">
        <v>0.93</v>
      </c>
      <c r="S9" s="2">
        <v>8.1</v>
      </c>
      <c r="T9" s="2">
        <v>1.29</v>
      </c>
      <c r="U9" s="2">
        <v>9.8000000000000007</v>
      </c>
      <c r="V9" s="2">
        <v>1.1599999999999999</v>
      </c>
      <c r="W9" s="2">
        <v>55</v>
      </c>
      <c r="X9" s="2">
        <v>4.3</v>
      </c>
      <c r="Y9" s="2">
        <v>66</v>
      </c>
      <c r="Z9" s="2">
        <v>4</v>
      </c>
      <c r="AA9" s="1"/>
      <c r="AB9" s="1"/>
      <c r="AC9" s="2">
        <v>41</v>
      </c>
      <c r="AD9" s="2">
        <v>52</v>
      </c>
      <c r="AE9" s="2">
        <v>39</v>
      </c>
      <c r="AF9" s="2">
        <v>47</v>
      </c>
      <c r="AG9" s="2">
        <v>154</v>
      </c>
      <c r="AH9" s="2">
        <v>37.19806763285024</v>
      </c>
      <c r="AI9" s="2">
        <v>186.33333333333334</v>
      </c>
      <c r="AJ9" s="2">
        <v>43.94654088050315</v>
      </c>
      <c r="AK9" s="2">
        <v>135.66666666666666</v>
      </c>
      <c r="AL9" s="2">
        <v>33.170334148329253</v>
      </c>
      <c r="AM9" s="2">
        <v>183</v>
      </c>
      <c r="AN9" s="2">
        <v>43.058823529411768</v>
      </c>
      <c r="AO9" s="2">
        <v>1.1555200000000001</v>
      </c>
      <c r="AP9" s="2">
        <v>1.1756866499999998</v>
      </c>
      <c r="AQ9">
        <f t="shared" si="0"/>
        <v>6.395348837209303</v>
      </c>
      <c r="AR9">
        <f t="shared" si="1"/>
        <v>8.25</v>
      </c>
      <c r="AS9">
        <f>W9/SQRT(X9/2/G9)</f>
        <v>1293.9483473390258</v>
      </c>
      <c r="AT9">
        <f>Y9/SQRT(Z9/2/G9)</f>
        <v>1609.9130411298615</v>
      </c>
      <c r="AU9">
        <f t="shared" si="2"/>
        <v>0.82653061224489788</v>
      </c>
      <c r="AV9">
        <f t="shared" si="3"/>
        <v>0.98284691758641662</v>
      </c>
    </row>
    <row r="10" spans="1:48" x14ac:dyDescent="0.2">
      <c r="A10" s="3">
        <v>0</v>
      </c>
      <c r="B10" s="3">
        <v>7027</v>
      </c>
      <c r="C10" t="s">
        <v>50</v>
      </c>
      <c r="D10" t="s">
        <v>45</v>
      </c>
      <c r="E10" s="2">
        <v>28.714285714285715</v>
      </c>
      <c r="F10" s="9">
        <v>42760</v>
      </c>
      <c r="G10" s="1"/>
      <c r="H10" s="1"/>
      <c r="I10" s="1"/>
      <c r="J10" s="1"/>
      <c r="K10" s="2">
        <v>2.13</v>
      </c>
      <c r="L10" s="2">
        <v>2.29</v>
      </c>
      <c r="M10" s="2">
        <v>0.51</v>
      </c>
      <c r="N10" s="2">
        <v>7.98</v>
      </c>
      <c r="O10" s="2">
        <v>11.2</v>
      </c>
      <c r="P10" s="2">
        <v>1.48</v>
      </c>
      <c r="Q10" s="3">
        <v>14.1</v>
      </c>
      <c r="R10" s="2">
        <v>1.55</v>
      </c>
      <c r="S10" s="2">
        <v>8.9</v>
      </c>
      <c r="T10" s="2">
        <v>1.32</v>
      </c>
      <c r="U10" s="2">
        <v>9.1999999999999993</v>
      </c>
      <c r="V10" s="2">
        <v>1.52</v>
      </c>
      <c r="W10" s="2">
        <v>74</v>
      </c>
      <c r="X10" s="2">
        <v>6.1</v>
      </c>
      <c r="Y10" s="2">
        <v>76</v>
      </c>
      <c r="Z10" s="2">
        <v>4.5999999999999996</v>
      </c>
      <c r="AA10" s="1"/>
      <c r="AB10" s="1"/>
      <c r="AC10" s="2">
        <v>41</v>
      </c>
      <c r="AD10" s="2">
        <v>69</v>
      </c>
      <c r="AE10" s="2">
        <v>51</v>
      </c>
      <c r="AF10" s="2">
        <v>52</v>
      </c>
      <c r="AG10" s="2">
        <v>167.33333333333334</v>
      </c>
      <c r="AH10" s="2">
        <v>39.936356404136838</v>
      </c>
      <c r="AI10" s="2">
        <v>166</v>
      </c>
      <c r="AJ10" s="2">
        <v>42.025316455696206</v>
      </c>
      <c r="AK10" s="2">
        <v>172</v>
      </c>
      <c r="AL10" s="2">
        <v>37.636761487964989</v>
      </c>
      <c r="AM10" s="2">
        <v>171.33333333333334</v>
      </c>
      <c r="AN10" s="2">
        <v>40.600315955766199</v>
      </c>
      <c r="AO10" s="2">
        <v>1.4617327999999998</v>
      </c>
      <c r="AP10" s="2">
        <v>2.1031092</v>
      </c>
      <c r="AQ10">
        <f t="shared" si="0"/>
        <v>6.0655737704918034</v>
      </c>
      <c r="AR10">
        <f t="shared" si="1"/>
        <v>8.2608695652173925</v>
      </c>
      <c r="AU10">
        <f t="shared" si="2"/>
        <v>0.96739130434782616</v>
      </c>
      <c r="AV10">
        <f t="shared" si="3"/>
        <v>0.69503419033115343</v>
      </c>
    </row>
    <row r="11" spans="1:48" x14ac:dyDescent="0.2">
      <c r="A11" s="3">
        <v>0</v>
      </c>
      <c r="B11" s="3">
        <v>9923</v>
      </c>
      <c r="C11" t="s">
        <v>97</v>
      </c>
      <c r="D11" t="s">
        <v>97</v>
      </c>
      <c r="E11" s="2">
        <v>29</v>
      </c>
      <c r="F11" s="9">
        <v>42150</v>
      </c>
      <c r="G11" s="3">
        <v>1205</v>
      </c>
      <c r="H11" s="2">
        <v>2.1</v>
      </c>
      <c r="I11" s="2">
        <v>33</v>
      </c>
      <c r="J11" s="2">
        <v>1.52</v>
      </c>
      <c r="K11" s="2">
        <v>2.2200000000000002</v>
      </c>
      <c r="L11" s="2">
        <v>2.2599999999999998</v>
      </c>
      <c r="M11" s="2">
        <v>0.75</v>
      </c>
      <c r="N11" s="2">
        <v>7.58</v>
      </c>
      <c r="O11" s="1"/>
      <c r="P11" s="2">
        <v>1.25</v>
      </c>
      <c r="Q11" s="1"/>
      <c r="R11" s="2">
        <v>1.32</v>
      </c>
      <c r="S11" s="2">
        <v>9.3000000000000007</v>
      </c>
      <c r="T11" s="2">
        <v>1.47</v>
      </c>
      <c r="U11" s="2">
        <v>12.5</v>
      </c>
      <c r="V11" s="2">
        <v>1.92</v>
      </c>
      <c r="W11" s="2">
        <v>60</v>
      </c>
      <c r="X11" s="2">
        <v>4.9000000000000004</v>
      </c>
      <c r="Y11" s="2">
        <v>94</v>
      </c>
      <c r="Z11" s="2">
        <v>3.9</v>
      </c>
      <c r="AA11" s="1"/>
      <c r="AB11" s="1"/>
      <c r="AC11" s="2">
        <v>43</v>
      </c>
      <c r="AD11" s="2">
        <v>56</v>
      </c>
      <c r="AE11" s="2">
        <v>36.200000000000003</v>
      </c>
      <c r="AF11" s="2">
        <v>54.3</v>
      </c>
      <c r="AG11" s="2">
        <v>167</v>
      </c>
      <c r="AH11" s="2">
        <v>42.171717171717169</v>
      </c>
      <c r="AI11" s="2">
        <v>189</v>
      </c>
      <c r="AJ11" s="2">
        <v>44.786729857819907</v>
      </c>
      <c r="AK11" s="2">
        <v>171</v>
      </c>
      <c r="AL11" s="2">
        <v>41.007194244604314</v>
      </c>
      <c r="AM11" s="2">
        <v>205</v>
      </c>
      <c r="AN11" s="2">
        <v>49.160671462829733</v>
      </c>
      <c r="AO11" s="2">
        <v>1.3611429000000002</v>
      </c>
      <c r="AP11" s="2">
        <v>1.6963065000000004</v>
      </c>
      <c r="AQ11">
        <f t="shared" si="0"/>
        <v>6.1224489795918364</v>
      </c>
      <c r="AR11">
        <f t="shared" si="1"/>
        <v>12.051282051282051</v>
      </c>
      <c r="AS11">
        <f>W11/SQRT(X11/2/G11)</f>
        <v>1330.6435453937163</v>
      </c>
      <c r="AT11">
        <f>Y11/SQRT(Z11/2/G11)</f>
        <v>2336.705987452181</v>
      </c>
      <c r="AU11">
        <f t="shared" si="2"/>
        <v>0.74400000000000011</v>
      </c>
      <c r="AV11">
        <f t="shared" si="3"/>
        <v>0.80241566014160759</v>
      </c>
    </row>
    <row r="12" spans="1:48" x14ac:dyDescent="0.2">
      <c r="A12" s="3">
        <v>0</v>
      </c>
      <c r="B12" s="3">
        <v>9906</v>
      </c>
      <c r="C12" t="s">
        <v>80</v>
      </c>
      <c r="D12" t="s">
        <v>80</v>
      </c>
      <c r="E12" s="2">
        <v>29</v>
      </c>
      <c r="F12" s="9">
        <v>42144</v>
      </c>
      <c r="G12" s="3">
        <v>1145</v>
      </c>
      <c r="H12" s="2">
        <v>2.89</v>
      </c>
      <c r="I12" s="2">
        <v>54.9</v>
      </c>
      <c r="J12" s="2">
        <v>0.97</v>
      </c>
      <c r="K12" s="2">
        <v>3.03</v>
      </c>
      <c r="L12" s="2">
        <v>2.48</v>
      </c>
      <c r="M12" s="2">
        <v>0.55000000000000004</v>
      </c>
      <c r="N12" s="2">
        <v>7.79</v>
      </c>
      <c r="O12" s="1"/>
      <c r="P12" s="2">
        <v>0.99</v>
      </c>
      <c r="Q12" s="1"/>
      <c r="R12" s="2">
        <v>0.95</v>
      </c>
      <c r="S12" s="2">
        <v>10.3</v>
      </c>
      <c r="T12" s="2">
        <v>1.44</v>
      </c>
      <c r="U12" s="2">
        <v>12.6</v>
      </c>
      <c r="V12" s="2">
        <v>1.52</v>
      </c>
      <c r="W12" s="2">
        <v>94</v>
      </c>
      <c r="X12" s="2">
        <v>5</v>
      </c>
      <c r="Y12" s="2">
        <v>59</v>
      </c>
      <c r="Z12" s="2">
        <v>4.3</v>
      </c>
      <c r="AA12" s="1"/>
      <c r="AB12" s="1"/>
      <c r="AC12" s="2">
        <v>57.8</v>
      </c>
      <c r="AD12" s="2">
        <v>77.599999999999994</v>
      </c>
      <c r="AE12" s="2">
        <v>53.8</v>
      </c>
      <c r="AF12" s="2">
        <v>69.7</v>
      </c>
      <c r="AG12" s="2">
        <v>171</v>
      </c>
      <c r="AH12" s="2">
        <v>39.491916859122398</v>
      </c>
      <c r="AI12" s="2">
        <v>171</v>
      </c>
      <c r="AJ12" s="2">
        <v>38.513513513513516</v>
      </c>
      <c r="AK12" s="2">
        <v>163</v>
      </c>
      <c r="AL12" s="2">
        <v>36.877828054298647</v>
      </c>
      <c r="AM12" s="2">
        <v>179</v>
      </c>
      <c r="AN12" s="2">
        <v>43.980343980343974</v>
      </c>
      <c r="AO12" s="2">
        <v>1.5530675499999997</v>
      </c>
      <c r="AP12" s="2">
        <v>2.198</v>
      </c>
      <c r="AQ12">
        <f t="shared" si="0"/>
        <v>9.4</v>
      </c>
      <c r="AR12">
        <f t="shared" si="1"/>
        <v>6.8604651162790704</v>
      </c>
      <c r="AS12">
        <f>W12/SQRT(X12/2/G12)</f>
        <v>2011.6878485490734</v>
      </c>
      <c r="AT12">
        <f>Y12/SQRT(Z12/2/G12)</f>
        <v>1361.556052361022</v>
      </c>
      <c r="AU12">
        <f t="shared" si="2"/>
        <v>0.81746031746031755</v>
      </c>
      <c r="AV12">
        <f t="shared" si="3"/>
        <v>0.70658214285714271</v>
      </c>
    </row>
    <row r="13" spans="1:48" x14ac:dyDescent="0.2">
      <c r="A13" s="3">
        <v>0</v>
      </c>
      <c r="B13" s="3">
        <v>9911</v>
      </c>
      <c r="C13" t="s">
        <v>85</v>
      </c>
      <c r="D13" t="s">
        <v>85</v>
      </c>
      <c r="E13" s="2">
        <v>29</v>
      </c>
      <c r="F13" s="9">
        <v>42165</v>
      </c>
      <c r="G13" s="3">
        <v>1282</v>
      </c>
      <c r="H13" s="2">
        <v>2.1800000000000002</v>
      </c>
      <c r="I13" s="2">
        <v>40.299999999999997</v>
      </c>
      <c r="J13" s="2">
        <v>1.23</v>
      </c>
      <c r="K13" s="2">
        <v>2.64</v>
      </c>
      <c r="L13" s="2">
        <v>2.57</v>
      </c>
      <c r="M13" s="2">
        <v>0.46</v>
      </c>
      <c r="N13" s="2">
        <v>9.0500000000000007</v>
      </c>
      <c r="O13" s="1"/>
      <c r="P13" s="2">
        <v>1.76</v>
      </c>
      <c r="Q13" s="1"/>
      <c r="R13" s="2">
        <v>1.02</v>
      </c>
      <c r="S13" s="2">
        <v>9.3000000000000007</v>
      </c>
      <c r="T13" s="2">
        <v>1.78</v>
      </c>
      <c r="U13" s="2">
        <v>11.2</v>
      </c>
      <c r="V13" s="2">
        <v>1.54</v>
      </c>
      <c r="W13" s="2">
        <v>53</v>
      </c>
      <c r="X13" s="2">
        <v>3.9</v>
      </c>
      <c r="Y13" s="2">
        <v>80</v>
      </c>
      <c r="Z13" s="2">
        <v>4</v>
      </c>
      <c r="AA13" s="1"/>
      <c r="AB13" s="1"/>
      <c r="AC13" s="2">
        <v>35.6</v>
      </c>
      <c r="AD13" s="2">
        <v>49.9</v>
      </c>
      <c r="AE13" s="2">
        <v>45.1</v>
      </c>
      <c r="AF13" s="2">
        <v>56.2</v>
      </c>
      <c r="AG13" s="2">
        <v>183</v>
      </c>
      <c r="AH13" s="2">
        <v>43.467933491686459</v>
      </c>
      <c r="AI13" s="2">
        <v>163</v>
      </c>
      <c r="AJ13" s="2">
        <v>42.447916666666671</v>
      </c>
      <c r="AK13" s="2">
        <v>167</v>
      </c>
      <c r="AL13" s="2">
        <v>40.435835351089587</v>
      </c>
      <c r="AM13" s="2">
        <v>200</v>
      </c>
      <c r="AN13" s="2">
        <v>51.413881748071979</v>
      </c>
      <c r="AO13" s="2">
        <v>1.2560000000000002</v>
      </c>
      <c r="AP13" s="2">
        <v>1.0626466500000002</v>
      </c>
      <c r="AQ13">
        <f t="shared" si="0"/>
        <v>6.7948717948717947</v>
      </c>
      <c r="AR13">
        <f t="shared" si="1"/>
        <v>10</v>
      </c>
      <c r="AS13">
        <f>W13/SQRT(X13/2/G13)</f>
        <v>1358.9471792153793</v>
      </c>
      <c r="AT13">
        <f>Y13/SQRT(Z13/2/G13)</f>
        <v>2025.438224187546</v>
      </c>
      <c r="AU13">
        <f t="shared" si="2"/>
        <v>0.83035714285714302</v>
      </c>
      <c r="AV13">
        <f t="shared" si="3"/>
        <v>1.1819545095258146</v>
      </c>
    </row>
    <row r="14" spans="1:48" x14ac:dyDescent="0.2">
      <c r="A14" s="3">
        <v>0</v>
      </c>
      <c r="B14" s="3">
        <v>7025</v>
      </c>
      <c r="C14" t="s">
        <v>51</v>
      </c>
      <c r="D14" t="s">
        <v>45</v>
      </c>
      <c r="E14" s="2">
        <v>29.142857142857142</v>
      </c>
      <c r="F14" s="9">
        <v>42746</v>
      </c>
      <c r="G14" s="1"/>
      <c r="H14" s="1"/>
      <c r="I14" s="1"/>
      <c r="J14" s="1"/>
      <c r="K14" s="1"/>
      <c r="L14" s="2">
        <v>2.33</v>
      </c>
      <c r="M14" s="1"/>
      <c r="N14" s="2">
        <v>9.17</v>
      </c>
      <c r="O14" s="2">
        <v>12.6</v>
      </c>
      <c r="P14" s="2">
        <v>1.43</v>
      </c>
      <c r="Q14" s="3">
        <v>15.6</v>
      </c>
      <c r="R14" s="2">
        <v>1.81</v>
      </c>
      <c r="S14" s="2">
        <v>10.9</v>
      </c>
      <c r="T14" s="2">
        <v>1.49</v>
      </c>
      <c r="U14" s="2">
        <v>12.8</v>
      </c>
      <c r="V14" s="2">
        <v>2.17</v>
      </c>
      <c r="W14" s="2">
        <v>71.599999999999994</v>
      </c>
      <c r="X14" s="2">
        <v>6</v>
      </c>
      <c r="Y14" s="2">
        <v>86.2</v>
      </c>
      <c r="Z14" s="2">
        <v>5.9</v>
      </c>
      <c r="AA14" s="1"/>
      <c r="AB14" s="1"/>
      <c r="AC14" s="2">
        <v>38</v>
      </c>
      <c r="AD14" s="2">
        <v>71</v>
      </c>
      <c r="AE14" s="2">
        <v>36</v>
      </c>
      <c r="AF14" s="2">
        <v>52</v>
      </c>
      <c r="AG14" s="2">
        <v>172.66666666666666</v>
      </c>
      <c r="AH14" s="2">
        <v>40.916271721958921</v>
      </c>
      <c r="AI14" s="2">
        <v>187.33333333333334</v>
      </c>
      <c r="AJ14" s="2">
        <v>43.3307632999229</v>
      </c>
      <c r="AK14" s="2">
        <v>145</v>
      </c>
      <c r="AL14" s="2">
        <v>34.441805225653205</v>
      </c>
      <c r="AM14" s="2">
        <v>182.33333333333334</v>
      </c>
      <c r="AN14" s="2">
        <v>43.69009584664537</v>
      </c>
      <c r="AO14" s="2">
        <v>2.2133938500000006</v>
      </c>
      <c r="AP14" s="2">
        <v>2.4586199999999998</v>
      </c>
      <c r="AQ14">
        <f t="shared" si="0"/>
        <v>5.9666666666666659</v>
      </c>
      <c r="AR14">
        <f t="shared" si="1"/>
        <v>7.3050847457627119</v>
      </c>
      <c r="AU14">
        <f t="shared" si="2"/>
        <v>0.8515625</v>
      </c>
      <c r="AV14">
        <f t="shared" si="3"/>
        <v>0.90025862068965545</v>
      </c>
    </row>
    <row r="15" spans="1:48" x14ac:dyDescent="0.2">
      <c r="A15" s="3">
        <v>0</v>
      </c>
      <c r="B15" s="3">
        <v>1129</v>
      </c>
      <c r="C15" t="s">
        <v>75</v>
      </c>
      <c r="D15" t="s">
        <v>45</v>
      </c>
      <c r="E15" s="2">
        <v>29.571428571428573</v>
      </c>
      <c r="F15" s="9">
        <v>42746</v>
      </c>
      <c r="G15" s="3">
        <v>1521</v>
      </c>
      <c r="H15" s="2">
        <v>1.1299999999999999</v>
      </c>
      <c r="I15" s="1"/>
      <c r="J15" s="2">
        <v>0.79</v>
      </c>
      <c r="K15" s="2">
        <v>2.39</v>
      </c>
      <c r="L15" s="2">
        <v>1.99</v>
      </c>
      <c r="M15" s="2">
        <v>0.6</v>
      </c>
      <c r="N15" s="2">
        <v>8.4</v>
      </c>
      <c r="O15" s="2">
        <v>11.1</v>
      </c>
      <c r="P15" s="2">
        <v>1.08</v>
      </c>
      <c r="Q15" s="3">
        <v>15.3</v>
      </c>
      <c r="R15" s="2">
        <v>1.64</v>
      </c>
      <c r="S15" s="2">
        <v>7.9</v>
      </c>
      <c r="T15" s="2">
        <v>1.34</v>
      </c>
      <c r="U15" s="2">
        <v>14.3</v>
      </c>
      <c r="V15" s="2">
        <v>2.33</v>
      </c>
      <c r="W15" s="2">
        <v>55</v>
      </c>
      <c r="X15" s="2">
        <v>6.6</v>
      </c>
      <c r="Y15" s="2">
        <v>85</v>
      </c>
      <c r="Z15" s="2">
        <v>5.3</v>
      </c>
      <c r="AA15" s="1"/>
      <c r="AB15" s="1"/>
      <c r="AC15" s="2">
        <v>76</v>
      </c>
      <c r="AD15" s="2">
        <v>75</v>
      </c>
      <c r="AE15" s="2">
        <v>74</v>
      </c>
      <c r="AF15" s="2">
        <v>65</v>
      </c>
      <c r="AG15" s="2">
        <v>106.66666666666667</v>
      </c>
      <c r="AH15" s="2">
        <v>30.217186024551463</v>
      </c>
      <c r="AI15" s="2">
        <v>141.66666666666666</v>
      </c>
      <c r="AJ15" s="2">
        <v>39.206642066420663</v>
      </c>
      <c r="AK15" s="2">
        <v>111.66666666666667</v>
      </c>
      <c r="AL15" s="2">
        <v>30.044843049327351</v>
      </c>
      <c r="AM15" s="2">
        <v>169.66666666666666</v>
      </c>
      <c r="AN15" s="2">
        <v>47.217068645640076</v>
      </c>
      <c r="AO15" s="2">
        <v>1.7861026500000003</v>
      </c>
      <c r="AP15" s="2">
        <v>2.3936219999999993</v>
      </c>
      <c r="AQ15">
        <f t="shared" si="0"/>
        <v>4.166666666666667</v>
      </c>
      <c r="AR15">
        <f t="shared" si="1"/>
        <v>8.018867924528303</v>
      </c>
      <c r="AS15">
        <f t="shared" ref="AS15:AS22" si="4">W15/SQRT(X15/2/G15)</f>
        <v>1180.7836380980218</v>
      </c>
      <c r="AT15">
        <f t="shared" ref="AT15:AT21" si="5">Y15/SQRT(Z15/2/G15)</f>
        <v>2036.3883123045482</v>
      </c>
      <c r="AU15">
        <f t="shared" si="2"/>
        <v>0.55244755244755239</v>
      </c>
      <c r="AV15">
        <f t="shared" si="3"/>
        <v>0.74619244391971706</v>
      </c>
    </row>
    <row r="16" spans="1:48" x14ac:dyDescent="0.2">
      <c r="A16" s="3">
        <v>0</v>
      </c>
      <c r="B16" s="3">
        <v>9921</v>
      </c>
      <c r="C16" t="s">
        <v>95</v>
      </c>
      <c r="D16" t="s">
        <v>95</v>
      </c>
      <c r="E16" s="2">
        <v>29.714285714285715</v>
      </c>
      <c r="F16" s="9">
        <v>42144</v>
      </c>
      <c r="G16" s="3">
        <v>1384</v>
      </c>
      <c r="H16" s="2">
        <v>2.35</v>
      </c>
      <c r="I16" s="2">
        <v>28.4</v>
      </c>
      <c r="J16" s="2">
        <v>0.68</v>
      </c>
      <c r="K16" s="2">
        <v>2.61</v>
      </c>
      <c r="L16" s="2">
        <v>2.91</v>
      </c>
      <c r="M16" s="2">
        <v>0.74</v>
      </c>
      <c r="N16" s="2">
        <v>6.76</v>
      </c>
      <c r="O16" s="1"/>
      <c r="P16" s="2">
        <v>1.27</v>
      </c>
      <c r="Q16" s="1"/>
      <c r="R16" s="2">
        <v>1.46</v>
      </c>
      <c r="S16" s="2">
        <v>9.8000000000000007</v>
      </c>
      <c r="T16" s="2">
        <v>2.3199999999999998</v>
      </c>
      <c r="U16" s="2">
        <v>12</v>
      </c>
      <c r="V16" s="2">
        <v>2.17</v>
      </c>
      <c r="W16" s="2">
        <v>77</v>
      </c>
      <c r="X16" s="2">
        <v>5.3</v>
      </c>
      <c r="Y16" s="2">
        <v>55</v>
      </c>
      <c r="Z16" s="2">
        <v>4.7</v>
      </c>
      <c r="AA16" s="1"/>
      <c r="AB16" s="1"/>
      <c r="AC16" s="2">
        <v>36.5</v>
      </c>
      <c r="AD16" s="2">
        <v>49.4</v>
      </c>
      <c r="AE16" s="2">
        <v>26.9</v>
      </c>
      <c r="AF16" s="2">
        <v>35.5</v>
      </c>
      <c r="AG16" s="2">
        <v>171</v>
      </c>
      <c r="AH16" s="2">
        <v>43.18181818181818</v>
      </c>
      <c r="AI16" s="2">
        <v>169</v>
      </c>
      <c r="AJ16" s="2">
        <v>41.831683168316829</v>
      </c>
      <c r="AK16" s="2">
        <v>171</v>
      </c>
      <c r="AL16" s="2">
        <v>39.491916859122398</v>
      </c>
      <c r="AM16" s="2">
        <v>170</v>
      </c>
      <c r="AN16" s="2">
        <v>40.284360189573462</v>
      </c>
      <c r="AO16" s="2">
        <v>1.1271422500000003</v>
      </c>
      <c r="AP16" s="2">
        <v>2.7563312500000006</v>
      </c>
      <c r="AQ16">
        <f t="shared" si="0"/>
        <v>7.2641509433962268</v>
      </c>
      <c r="AR16">
        <f t="shared" si="1"/>
        <v>5.8510638297872335</v>
      </c>
      <c r="AS16">
        <f t="shared" si="4"/>
        <v>1759.6886517061466</v>
      </c>
      <c r="AT16">
        <f t="shared" si="5"/>
        <v>1334.7403923211498</v>
      </c>
      <c r="AU16">
        <f t="shared" si="2"/>
        <v>0.81666666666666676</v>
      </c>
      <c r="AV16">
        <f t="shared" si="3"/>
        <v>0.40892844428622288</v>
      </c>
    </row>
    <row r="17" spans="1:48" x14ac:dyDescent="0.2">
      <c r="A17" s="3">
        <v>0</v>
      </c>
      <c r="B17" s="3">
        <v>2060</v>
      </c>
      <c r="C17" t="s">
        <v>67</v>
      </c>
      <c r="D17" t="s">
        <v>45</v>
      </c>
      <c r="E17" s="2">
        <v>29.857142857142858</v>
      </c>
      <c r="F17" s="9">
        <v>42775</v>
      </c>
      <c r="G17" s="3">
        <v>1447</v>
      </c>
      <c r="H17" s="2">
        <v>1.98</v>
      </c>
      <c r="I17" s="2">
        <v>42</v>
      </c>
      <c r="J17" s="2">
        <v>1.1499999999999999</v>
      </c>
      <c r="K17" s="2">
        <v>2.59</v>
      </c>
      <c r="L17" s="2">
        <v>2.21</v>
      </c>
      <c r="M17" s="2">
        <v>0.45</v>
      </c>
      <c r="N17" s="2">
        <v>10.87</v>
      </c>
      <c r="O17" s="2">
        <v>9.8000000000000007</v>
      </c>
      <c r="P17" s="2">
        <v>1.18</v>
      </c>
      <c r="Q17" s="3">
        <v>9.1</v>
      </c>
      <c r="R17" s="2">
        <v>0.93</v>
      </c>
      <c r="S17" s="2">
        <v>10.3</v>
      </c>
      <c r="T17" s="2">
        <v>1.85</v>
      </c>
      <c r="U17" s="2">
        <v>9.1999999999999993</v>
      </c>
      <c r="V17" s="2">
        <v>1.69</v>
      </c>
      <c r="W17" s="2">
        <v>72</v>
      </c>
      <c r="X17" s="2">
        <v>5.6</v>
      </c>
      <c r="Y17" s="2">
        <v>69</v>
      </c>
      <c r="Z17" s="2">
        <v>5</v>
      </c>
      <c r="AA17" s="1"/>
      <c r="AB17" s="1"/>
      <c r="AC17" s="1"/>
      <c r="AD17" s="1"/>
      <c r="AE17" s="1"/>
      <c r="AF17" s="1"/>
      <c r="AG17" s="2">
        <v>164</v>
      </c>
      <c r="AH17" s="2">
        <v>39.29712460063898</v>
      </c>
      <c r="AI17" s="2">
        <v>169.33333333333334</v>
      </c>
      <c r="AJ17" s="2">
        <v>38.719512195121951</v>
      </c>
      <c r="AK17" s="2">
        <v>152</v>
      </c>
      <c r="AL17" s="2">
        <v>35.185185185185183</v>
      </c>
      <c r="AM17" s="2">
        <v>168</v>
      </c>
      <c r="AN17" s="2">
        <v>40.776699029126213</v>
      </c>
      <c r="AO17" s="1"/>
      <c r="AP17" s="1"/>
      <c r="AQ17">
        <f t="shared" si="0"/>
        <v>6.4285714285714288</v>
      </c>
      <c r="AR17">
        <f t="shared" si="1"/>
        <v>6.9</v>
      </c>
      <c r="AS17">
        <f t="shared" si="4"/>
        <v>1636.7703390693341</v>
      </c>
      <c r="AT17">
        <f t="shared" si="5"/>
        <v>1660.0201203599911</v>
      </c>
      <c r="AU17">
        <f t="shared" si="2"/>
        <v>1.1195652173913044</v>
      </c>
    </row>
    <row r="18" spans="1:48" x14ac:dyDescent="0.2">
      <c r="A18" s="3">
        <v>0</v>
      </c>
      <c r="B18" s="3">
        <v>1139</v>
      </c>
      <c r="C18" t="s">
        <v>73</v>
      </c>
      <c r="D18" t="s">
        <v>45</v>
      </c>
      <c r="E18" s="2">
        <v>30.428571428571427</v>
      </c>
      <c r="F18" s="9">
        <v>42768</v>
      </c>
      <c r="G18" s="3">
        <v>1632</v>
      </c>
      <c r="H18" s="2">
        <v>1.88</v>
      </c>
      <c r="I18" s="2">
        <v>43</v>
      </c>
      <c r="J18" s="2">
        <v>1.01</v>
      </c>
      <c r="K18" s="2">
        <v>2.21</v>
      </c>
      <c r="L18" s="2">
        <v>2.68</v>
      </c>
      <c r="M18" s="2">
        <v>0.38</v>
      </c>
      <c r="N18" s="2">
        <v>10.4</v>
      </c>
      <c r="O18" s="2">
        <v>13.6</v>
      </c>
      <c r="P18" s="2">
        <v>1.52</v>
      </c>
      <c r="Q18" s="3">
        <v>14.7</v>
      </c>
      <c r="R18" s="2">
        <v>1.76</v>
      </c>
      <c r="S18" s="2">
        <v>10.199999999999999</v>
      </c>
      <c r="T18" s="2">
        <v>1.81</v>
      </c>
      <c r="U18" s="2">
        <v>11.5</v>
      </c>
      <c r="V18" s="2">
        <v>1.84</v>
      </c>
      <c r="W18" s="2">
        <v>55</v>
      </c>
      <c r="X18" s="2">
        <v>6.4</v>
      </c>
      <c r="Y18" s="2">
        <v>72</v>
      </c>
      <c r="Z18" s="2">
        <v>5.6</v>
      </c>
      <c r="AA18" s="1"/>
      <c r="AB18" s="1"/>
      <c r="AC18" s="1"/>
      <c r="AD18" s="1"/>
      <c r="AE18" s="1"/>
      <c r="AF18" s="1"/>
      <c r="AG18" s="2">
        <v>186.66666666666666</v>
      </c>
      <c r="AH18" s="2">
        <v>40.143369175627235</v>
      </c>
      <c r="AI18" s="2">
        <v>181.33333333333334</v>
      </c>
      <c r="AJ18" s="2">
        <v>41.622035195103294</v>
      </c>
      <c r="AK18" s="2">
        <v>218</v>
      </c>
      <c r="AL18" s="2">
        <v>44.248985115020297</v>
      </c>
      <c r="AM18" s="2">
        <v>168.66666666666666</v>
      </c>
      <c r="AN18" s="2">
        <v>40.158730158730158</v>
      </c>
      <c r="AO18" s="1"/>
      <c r="AP18" s="1"/>
      <c r="AQ18">
        <f t="shared" si="0"/>
        <v>4.296875</v>
      </c>
      <c r="AR18">
        <f t="shared" si="1"/>
        <v>6.4285714285714288</v>
      </c>
      <c r="AS18">
        <f t="shared" si="4"/>
        <v>1242.0748769699837</v>
      </c>
      <c r="AT18">
        <f t="shared" si="5"/>
        <v>1738.2552829119861</v>
      </c>
      <c r="AU18">
        <f t="shared" si="2"/>
        <v>0.88695652173913042</v>
      </c>
    </row>
    <row r="19" spans="1:48" x14ac:dyDescent="0.2">
      <c r="A19" s="3">
        <v>0</v>
      </c>
      <c r="B19" s="3">
        <v>2068</v>
      </c>
      <c r="C19" t="s">
        <v>64</v>
      </c>
      <c r="D19" t="s">
        <v>45</v>
      </c>
      <c r="E19" s="2">
        <v>30.714285714285715</v>
      </c>
      <c r="F19" s="9">
        <v>42810</v>
      </c>
      <c r="G19" s="3">
        <v>1606</v>
      </c>
      <c r="H19" s="1"/>
      <c r="I19" s="2">
        <v>35.299999999999997</v>
      </c>
      <c r="J19" s="1"/>
      <c r="K19" s="1"/>
      <c r="L19" s="2">
        <v>2.37</v>
      </c>
      <c r="M19" s="2">
        <v>0.43</v>
      </c>
      <c r="N19" s="2">
        <v>10.36</v>
      </c>
      <c r="O19" s="2">
        <v>11.4</v>
      </c>
      <c r="P19" s="2">
        <v>1.3</v>
      </c>
      <c r="Q19" s="3">
        <v>12.2</v>
      </c>
      <c r="R19" s="2">
        <v>1.33</v>
      </c>
      <c r="S19" s="2">
        <v>12.7</v>
      </c>
      <c r="T19" s="2">
        <v>2.13</v>
      </c>
      <c r="U19" s="2">
        <v>10.3</v>
      </c>
      <c r="V19" s="2">
        <v>1.81</v>
      </c>
      <c r="W19" s="2">
        <v>54.7</v>
      </c>
      <c r="X19" s="2">
        <v>6.4</v>
      </c>
      <c r="Y19" s="2">
        <v>85</v>
      </c>
      <c r="Z19" s="2">
        <v>5.8</v>
      </c>
      <c r="AA19" s="1"/>
      <c r="AB19" s="1"/>
      <c r="AC19" s="2">
        <v>30</v>
      </c>
      <c r="AD19" s="2">
        <v>43</v>
      </c>
      <c r="AE19" s="2">
        <v>32</v>
      </c>
      <c r="AF19" s="2">
        <v>48</v>
      </c>
      <c r="AG19" s="2">
        <v>140</v>
      </c>
      <c r="AH19" s="2">
        <v>33.201581027667984</v>
      </c>
      <c r="AI19" s="2">
        <v>152.33333333333334</v>
      </c>
      <c r="AJ19" s="2">
        <v>37.245313773431135</v>
      </c>
      <c r="AK19" s="2">
        <v>152</v>
      </c>
      <c r="AL19" s="2">
        <v>34.02985074626865</v>
      </c>
      <c r="AM19" s="2">
        <v>193.33333333333334</v>
      </c>
      <c r="AN19" s="2">
        <v>41.310541310541311</v>
      </c>
      <c r="AO19" s="2">
        <v>2.5087029999999997</v>
      </c>
      <c r="AP19" s="2">
        <v>2.9259776000000004</v>
      </c>
      <c r="AQ19">
        <f t="shared" si="0"/>
        <v>4.2734375</v>
      </c>
      <c r="AR19">
        <f t="shared" si="1"/>
        <v>7.3275862068965516</v>
      </c>
      <c r="AS19">
        <f t="shared" si="4"/>
        <v>1225.4204049019258</v>
      </c>
      <c r="AT19">
        <f t="shared" si="5"/>
        <v>2000.2887722560943</v>
      </c>
      <c r="AU19">
        <f t="shared" si="2"/>
        <v>1.233009708737864</v>
      </c>
      <c r="AV19">
        <f>AO19/AP19</f>
        <v>0.85738968063186793</v>
      </c>
    </row>
    <row r="20" spans="1:48" x14ac:dyDescent="0.2">
      <c r="A20" s="3">
        <v>0</v>
      </c>
      <c r="B20" s="3">
        <v>2051</v>
      </c>
      <c r="C20" t="s">
        <v>68</v>
      </c>
      <c r="D20" t="s">
        <v>45</v>
      </c>
      <c r="E20" s="2">
        <v>30.857142857142858</v>
      </c>
      <c r="F20" s="9">
        <v>42747</v>
      </c>
      <c r="G20" s="3">
        <v>1539</v>
      </c>
      <c r="H20" s="2">
        <v>2.17</v>
      </c>
      <c r="I20" s="2">
        <v>51</v>
      </c>
      <c r="J20" s="2">
        <v>1.28</v>
      </c>
      <c r="K20" s="2">
        <v>2.3199999999999998</v>
      </c>
      <c r="L20" s="2">
        <v>2.1</v>
      </c>
      <c r="M20" s="2">
        <v>0.3</v>
      </c>
      <c r="N20" s="2">
        <v>10.19</v>
      </c>
      <c r="O20" s="2">
        <v>11.3</v>
      </c>
      <c r="P20" s="2">
        <v>1.01</v>
      </c>
      <c r="Q20" s="3">
        <v>13.2</v>
      </c>
      <c r="R20" s="2">
        <v>0.99</v>
      </c>
      <c r="S20" s="2">
        <v>10.9</v>
      </c>
      <c r="T20" s="2">
        <v>2.37</v>
      </c>
      <c r="U20" s="2">
        <v>10.3</v>
      </c>
      <c r="V20" s="2">
        <v>1.69</v>
      </c>
      <c r="W20" s="2">
        <v>55</v>
      </c>
      <c r="X20" s="2">
        <v>5.3</v>
      </c>
      <c r="Y20" s="2">
        <v>67</v>
      </c>
      <c r="Z20" s="2">
        <v>4.2</v>
      </c>
      <c r="AA20" s="1"/>
      <c r="AB20" s="1"/>
      <c r="AC20" s="1"/>
      <c r="AD20" s="1"/>
      <c r="AE20" s="1"/>
      <c r="AF20" s="1"/>
      <c r="AG20" s="2">
        <v>236</v>
      </c>
      <c r="AH20" s="2">
        <v>52.994011976047908</v>
      </c>
      <c r="AI20" s="2">
        <v>178.66666666666666</v>
      </c>
      <c r="AJ20" s="2">
        <v>45.578231292517003</v>
      </c>
      <c r="AK20" s="2">
        <v>190.66666666666666</v>
      </c>
      <c r="AL20" s="2">
        <v>45.686900958466452</v>
      </c>
      <c r="AM20" s="2">
        <v>168</v>
      </c>
      <c r="AN20" s="2">
        <v>42.857142857142854</v>
      </c>
      <c r="AO20" s="1"/>
      <c r="AP20" s="1"/>
      <c r="AQ20">
        <f t="shared" si="0"/>
        <v>5.1886792452830193</v>
      </c>
      <c r="AR20">
        <f t="shared" si="1"/>
        <v>7.9761904761904763</v>
      </c>
      <c r="AS20">
        <f t="shared" si="4"/>
        <v>1325.4369162159037</v>
      </c>
      <c r="AT20">
        <f t="shared" si="5"/>
        <v>1813.7794006674885</v>
      </c>
      <c r="AU20">
        <f t="shared" si="2"/>
        <v>1.058252427184466</v>
      </c>
    </row>
    <row r="21" spans="1:48" x14ac:dyDescent="0.2">
      <c r="A21" s="3">
        <v>0</v>
      </c>
      <c r="B21" s="3">
        <v>7039</v>
      </c>
      <c r="C21" t="s">
        <v>47</v>
      </c>
      <c r="D21" t="s">
        <v>45</v>
      </c>
      <c r="E21" s="2">
        <v>30.857142857142858</v>
      </c>
      <c r="F21" s="9">
        <v>42809</v>
      </c>
      <c r="G21" s="3">
        <v>1491</v>
      </c>
      <c r="H21" s="2">
        <v>1.99</v>
      </c>
      <c r="I21" s="2">
        <v>40.299999999999997</v>
      </c>
      <c r="J21" s="2">
        <v>1.26</v>
      </c>
      <c r="K21" s="2">
        <v>2.73</v>
      </c>
      <c r="L21" s="2">
        <v>3.21</v>
      </c>
      <c r="M21" s="2">
        <v>0.42</v>
      </c>
      <c r="N21" s="2">
        <v>7.88</v>
      </c>
      <c r="O21" s="2">
        <v>10.5</v>
      </c>
      <c r="P21" s="2">
        <v>1.29</v>
      </c>
      <c r="Q21" s="3">
        <v>13.6</v>
      </c>
      <c r="R21" s="2">
        <v>1.53</v>
      </c>
      <c r="S21" s="2">
        <v>13.2</v>
      </c>
      <c r="T21" s="2">
        <v>2.14</v>
      </c>
      <c r="U21" s="2">
        <v>11</v>
      </c>
      <c r="V21" s="2">
        <v>1.92</v>
      </c>
      <c r="W21" s="2">
        <v>46.4</v>
      </c>
      <c r="X21" s="2">
        <v>6.4</v>
      </c>
      <c r="Y21" s="2">
        <v>75.3</v>
      </c>
      <c r="Z21" s="2">
        <v>6.1</v>
      </c>
      <c r="AA21" s="1"/>
      <c r="AB21" s="1"/>
      <c r="AC21" s="2">
        <v>51.2</v>
      </c>
      <c r="AD21" s="2">
        <v>62.9</v>
      </c>
      <c r="AE21" s="2">
        <v>41.7</v>
      </c>
      <c r="AF21" s="2">
        <v>49</v>
      </c>
      <c r="AG21" s="2">
        <v>197.33333333333334</v>
      </c>
      <c r="AH21" s="2">
        <v>42.836468885672943</v>
      </c>
      <c r="AI21" s="2">
        <v>174</v>
      </c>
      <c r="AJ21" s="2">
        <v>38.046647230320701</v>
      </c>
      <c r="AK21" s="2">
        <v>179</v>
      </c>
      <c r="AL21" s="2">
        <v>40.07462686567164</v>
      </c>
      <c r="AM21" s="2">
        <v>194.66666666666666</v>
      </c>
      <c r="AN21" s="2">
        <v>43.582089552238799</v>
      </c>
      <c r="AO21" s="2">
        <v>2.3367879999999999</v>
      </c>
      <c r="AP21" s="2">
        <v>2.0899840000000003</v>
      </c>
      <c r="AQ21">
        <f t="shared" si="0"/>
        <v>3.6249999999999996</v>
      </c>
      <c r="AR21">
        <f t="shared" si="1"/>
        <v>6.1721311475409841</v>
      </c>
      <c r="AS21">
        <f t="shared" si="4"/>
        <v>1001.5711657191414</v>
      </c>
      <c r="AT21">
        <f t="shared" si="5"/>
        <v>1664.8836113507341</v>
      </c>
      <c r="AU21">
        <f t="shared" si="2"/>
        <v>1.2</v>
      </c>
      <c r="AV21">
        <f>AO21/AP21</f>
        <v>1.1180889423076921</v>
      </c>
    </row>
    <row r="22" spans="1:48" x14ac:dyDescent="0.2">
      <c r="A22" s="3">
        <v>0</v>
      </c>
      <c r="B22" s="3">
        <v>7038</v>
      </c>
      <c r="C22" t="s">
        <v>48</v>
      </c>
      <c r="D22" t="s">
        <v>45</v>
      </c>
      <c r="E22" s="2">
        <v>31.571428571428573</v>
      </c>
      <c r="F22" s="9">
        <v>42809</v>
      </c>
      <c r="G22" s="3">
        <v>1446</v>
      </c>
      <c r="H22" s="2">
        <v>1.64</v>
      </c>
      <c r="I22" s="2">
        <v>53.5</v>
      </c>
      <c r="J22" s="2">
        <v>0.89</v>
      </c>
      <c r="K22" s="2">
        <v>2.88</v>
      </c>
      <c r="L22" s="2">
        <v>2.31</v>
      </c>
      <c r="M22" s="2">
        <v>0.68</v>
      </c>
      <c r="N22" s="2">
        <v>10.210000000000001</v>
      </c>
      <c r="O22" s="2">
        <v>14.1</v>
      </c>
      <c r="P22" s="2">
        <v>1.93</v>
      </c>
      <c r="Q22" s="3">
        <v>12.4</v>
      </c>
      <c r="R22" s="2">
        <v>1.96</v>
      </c>
      <c r="S22" s="2">
        <v>11.5</v>
      </c>
      <c r="T22" s="2">
        <v>2.4900000000000002</v>
      </c>
      <c r="U22" s="2">
        <v>13.6</v>
      </c>
      <c r="V22" s="2">
        <v>2.4900000000000002</v>
      </c>
      <c r="W22" s="2">
        <v>66.3</v>
      </c>
      <c r="X22" s="2">
        <v>6.1</v>
      </c>
      <c r="Y22" s="1"/>
      <c r="Z22" s="2">
        <v>6.6</v>
      </c>
      <c r="AA22" s="1"/>
      <c r="AB22" s="1"/>
      <c r="AC22" s="2">
        <v>54.1</v>
      </c>
      <c r="AD22" s="2">
        <v>74.400000000000006</v>
      </c>
      <c r="AE22" s="2">
        <v>39.9</v>
      </c>
      <c r="AF22" s="2">
        <v>71.7</v>
      </c>
      <c r="AG22" s="2">
        <v>182</v>
      </c>
      <c r="AH22" s="2">
        <v>43.645083932853716</v>
      </c>
      <c r="AI22" s="2">
        <v>155.66666666666666</v>
      </c>
      <c r="AJ22" s="2">
        <v>38.787375415282391</v>
      </c>
      <c r="AK22" s="2">
        <v>156</v>
      </c>
      <c r="AL22" s="2">
        <v>37.142857142857146</v>
      </c>
      <c r="AM22" s="2">
        <v>185.66666666666666</v>
      </c>
      <c r="AN22" s="2">
        <v>43.892828999211972</v>
      </c>
      <c r="AO22" s="2">
        <v>2.0516759999999996</v>
      </c>
      <c r="AP22" s="2">
        <v>2.9794046999999995</v>
      </c>
      <c r="AQ22">
        <f t="shared" si="0"/>
        <v>5.4344262295081966</v>
      </c>
      <c r="AS22">
        <f t="shared" si="4"/>
        <v>1443.6029311936229</v>
      </c>
      <c r="AU22">
        <f t="shared" si="2"/>
        <v>0.84558823529411764</v>
      </c>
      <c r="AV22">
        <f>AO22/AP22</f>
        <v>0.68861944132665154</v>
      </c>
    </row>
    <row r="23" spans="1:48" x14ac:dyDescent="0.2">
      <c r="A23" s="3">
        <v>0</v>
      </c>
      <c r="B23" s="3">
        <v>7029</v>
      </c>
      <c r="C23" t="s">
        <v>49</v>
      </c>
      <c r="D23" t="s">
        <v>45</v>
      </c>
      <c r="E23" s="2">
        <v>31.571428571428573</v>
      </c>
      <c r="F23" s="9">
        <v>42774</v>
      </c>
      <c r="G23" s="3">
        <v>1799</v>
      </c>
      <c r="H23" s="2">
        <v>2.15</v>
      </c>
      <c r="I23" s="2">
        <v>45</v>
      </c>
      <c r="J23" s="2">
        <v>0.89</v>
      </c>
      <c r="K23" s="2">
        <v>2.5299999999999998</v>
      </c>
      <c r="L23" s="1"/>
      <c r="M23" s="1"/>
      <c r="N23" s="2">
        <v>8.39</v>
      </c>
      <c r="O23" s="2">
        <v>11.5</v>
      </c>
      <c r="P23" s="2">
        <v>1.37</v>
      </c>
      <c r="Q23" s="3">
        <v>15.5</v>
      </c>
      <c r="R23" s="2">
        <v>1.72</v>
      </c>
      <c r="S23" s="2">
        <v>12.1</v>
      </c>
      <c r="T23" s="2">
        <v>2.17</v>
      </c>
      <c r="U23" s="2">
        <v>12</v>
      </c>
      <c r="V23" s="2">
        <v>2.17</v>
      </c>
      <c r="W23" s="1"/>
      <c r="X23" s="1"/>
      <c r="Y23" s="2">
        <v>84</v>
      </c>
      <c r="Z23" s="2">
        <v>5.6</v>
      </c>
      <c r="AA23" s="1"/>
      <c r="AB23" s="1"/>
      <c r="AC23" s="2">
        <v>54.2</v>
      </c>
      <c r="AD23" s="2">
        <v>56</v>
      </c>
      <c r="AE23" s="1"/>
      <c r="AF23" s="1"/>
      <c r="AG23" s="2">
        <v>174.33333333333334</v>
      </c>
      <c r="AH23" s="2">
        <v>39.531368102796677</v>
      </c>
      <c r="AI23" s="2">
        <v>188.33333333333334</v>
      </c>
      <c r="AJ23" s="2">
        <v>43.730650154798759</v>
      </c>
      <c r="AK23" s="2">
        <v>178</v>
      </c>
      <c r="AL23" s="2">
        <v>38.639652677279301</v>
      </c>
      <c r="AM23" s="1"/>
      <c r="AN23" s="1"/>
      <c r="AO23" s="2">
        <v>2.6587007999999996</v>
      </c>
      <c r="AP23" s="1"/>
      <c r="AR23">
        <f t="shared" ref="AR23:AR28" si="6">Y23/Z23/2</f>
        <v>7.5000000000000009</v>
      </c>
      <c r="AT23">
        <f t="shared" ref="AT23:AT28" si="7">Y23/SQRT(Z23/2/G23)</f>
        <v>2129.197031746945</v>
      </c>
      <c r="AU23">
        <f t="shared" si="2"/>
        <v>1.0083333333333333</v>
      </c>
    </row>
    <row r="24" spans="1:48" x14ac:dyDescent="0.2">
      <c r="A24" s="3">
        <v>0</v>
      </c>
      <c r="B24" s="3">
        <v>1151</v>
      </c>
      <c r="C24" t="s">
        <v>70</v>
      </c>
      <c r="E24" s="2">
        <v>32.571428571428569</v>
      </c>
      <c r="F24" s="9">
        <v>42831</v>
      </c>
      <c r="G24" s="3">
        <v>2200</v>
      </c>
      <c r="H24" s="2">
        <v>1.89</v>
      </c>
      <c r="I24" s="2">
        <v>62</v>
      </c>
      <c r="J24" s="2">
        <v>0.9</v>
      </c>
      <c r="K24" s="2">
        <v>2.66</v>
      </c>
      <c r="L24" s="2">
        <v>2.16</v>
      </c>
      <c r="M24" s="2">
        <v>0.55000000000000004</v>
      </c>
      <c r="N24" s="2">
        <v>13.37</v>
      </c>
      <c r="O24" s="2">
        <v>14</v>
      </c>
      <c r="P24" s="2">
        <v>1.63</v>
      </c>
      <c r="Q24" s="3">
        <v>14</v>
      </c>
      <c r="R24" s="2">
        <v>1.32</v>
      </c>
      <c r="S24" s="2">
        <v>10.3</v>
      </c>
      <c r="T24" s="2">
        <v>2.12</v>
      </c>
      <c r="U24" s="2">
        <v>10.9</v>
      </c>
      <c r="V24" s="2">
        <v>2.0099999999999998</v>
      </c>
      <c r="W24" s="2">
        <v>81</v>
      </c>
      <c r="X24" s="2">
        <v>5.9</v>
      </c>
      <c r="Y24" s="2">
        <v>88</v>
      </c>
      <c r="Z24" s="2">
        <v>4.7</v>
      </c>
      <c r="AA24" s="1"/>
      <c r="AB24" s="1"/>
      <c r="AC24" s="2">
        <v>37</v>
      </c>
      <c r="AD24" s="2">
        <v>39</v>
      </c>
      <c r="AE24" s="2">
        <v>43</v>
      </c>
      <c r="AF24" s="2">
        <v>40</v>
      </c>
      <c r="AG24" s="2">
        <v>249</v>
      </c>
      <c r="AH24" s="2">
        <v>54.091238233164376</v>
      </c>
      <c r="AI24" s="2">
        <v>157.33333333333334</v>
      </c>
      <c r="AJ24" s="2">
        <v>39.267886855241265</v>
      </c>
      <c r="AK24" s="2">
        <v>196.33333333333334</v>
      </c>
      <c r="AL24" s="2">
        <v>42.3132183908046</v>
      </c>
      <c r="AM24" s="2">
        <v>183.66666666666666</v>
      </c>
      <c r="AN24" s="2">
        <v>39.956490210297311</v>
      </c>
      <c r="AO24" s="2">
        <v>1.6993837000000005</v>
      </c>
      <c r="AP24" s="2">
        <v>2.9238659500000006</v>
      </c>
      <c r="AQ24">
        <f>W24/X24/2</f>
        <v>6.8644067796610164</v>
      </c>
      <c r="AR24">
        <f t="shared" si="6"/>
        <v>9.3617021276595747</v>
      </c>
      <c r="AS24">
        <f>W24/SQRT(X24/2/G24)</f>
        <v>2212.0011646792532</v>
      </c>
      <c r="AT24">
        <f t="shared" si="7"/>
        <v>2692.5270894941009</v>
      </c>
      <c r="AU24">
        <f t="shared" si="2"/>
        <v>0.94495412844036697</v>
      </c>
      <c r="AV24">
        <f t="shared" ref="AV24:AV30" si="8">AO24/AP24</f>
        <v>0.58121122139679493</v>
      </c>
    </row>
    <row r="25" spans="1:48" x14ac:dyDescent="0.2">
      <c r="A25" s="3">
        <v>0</v>
      </c>
      <c r="B25" s="3">
        <v>7042</v>
      </c>
      <c r="C25" t="s">
        <v>46</v>
      </c>
      <c r="D25" t="s">
        <v>45</v>
      </c>
      <c r="E25" s="2">
        <v>32.571428571428569</v>
      </c>
      <c r="F25" s="9">
        <v>42816</v>
      </c>
      <c r="G25" s="3">
        <v>1877</v>
      </c>
      <c r="H25" s="2">
        <v>2.36</v>
      </c>
      <c r="I25" s="2">
        <v>38.700000000000003</v>
      </c>
      <c r="J25" s="2">
        <v>1.03</v>
      </c>
      <c r="K25" s="2">
        <v>2.35</v>
      </c>
      <c r="L25" s="2">
        <v>2.36</v>
      </c>
      <c r="M25" s="2">
        <v>0.59</v>
      </c>
      <c r="N25" s="2">
        <v>12.59</v>
      </c>
      <c r="O25" s="2">
        <v>12.2</v>
      </c>
      <c r="P25" s="2">
        <v>2</v>
      </c>
      <c r="Q25" s="3">
        <v>15.2</v>
      </c>
      <c r="R25" s="2">
        <v>2.4900000000000002</v>
      </c>
      <c r="S25" s="2">
        <v>14.5</v>
      </c>
      <c r="T25" s="2">
        <v>3.64</v>
      </c>
      <c r="U25" s="2">
        <v>13.4</v>
      </c>
      <c r="V25" s="2">
        <v>2.77</v>
      </c>
      <c r="W25" s="2">
        <v>77</v>
      </c>
      <c r="X25" s="2">
        <v>8.1999999999999993</v>
      </c>
      <c r="Y25" s="2">
        <v>75.5</v>
      </c>
      <c r="Z25" s="2">
        <v>6.5</v>
      </c>
      <c r="AA25" s="1"/>
      <c r="AB25" s="1"/>
      <c r="AC25" s="2">
        <v>46</v>
      </c>
      <c r="AD25" s="2">
        <v>63</v>
      </c>
      <c r="AE25" s="2">
        <v>33</v>
      </c>
      <c r="AF25" s="2">
        <v>50</v>
      </c>
      <c r="AG25" s="2">
        <v>189.33333333333334</v>
      </c>
      <c r="AH25" s="2">
        <v>43.226788432267888</v>
      </c>
      <c r="AI25" s="2">
        <v>169.66666666666666</v>
      </c>
      <c r="AJ25" s="2">
        <v>37.454010301692421</v>
      </c>
      <c r="AK25" s="2">
        <v>170.33333333333334</v>
      </c>
      <c r="AL25" s="2">
        <v>40.299684542586753</v>
      </c>
      <c r="AM25" s="2">
        <v>176</v>
      </c>
      <c r="AN25" s="2">
        <v>40.866873065015483</v>
      </c>
      <c r="AO25" s="2">
        <v>2.5869675000000001</v>
      </c>
      <c r="AP25" s="2">
        <v>6.8618419999999993</v>
      </c>
      <c r="AQ25">
        <f>W25/X25/2</f>
        <v>4.6951219512195124</v>
      </c>
      <c r="AR25">
        <f t="shared" si="6"/>
        <v>5.8076923076923075</v>
      </c>
      <c r="AS25">
        <f>W25/SQRT(X25/2/G25)</f>
        <v>1647.5209018252908</v>
      </c>
      <c r="AT25">
        <f t="shared" si="7"/>
        <v>1814.4182581159766</v>
      </c>
      <c r="AU25">
        <f t="shared" si="2"/>
        <v>1.0820895522388059</v>
      </c>
      <c r="AV25">
        <f t="shared" si="8"/>
        <v>0.37700773349196909</v>
      </c>
    </row>
    <row r="26" spans="1:48" x14ac:dyDescent="0.2">
      <c r="A26" s="3">
        <v>0</v>
      </c>
      <c r="B26" s="3">
        <v>7043</v>
      </c>
      <c r="C26" t="s">
        <v>44</v>
      </c>
      <c r="D26" t="s">
        <v>45</v>
      </c>
      <c r="E26" s="2">
        <v>32.714285714285715</v>
      </c>
      <c r="F26" s="9">
        <v>42816</v>
      </c>
      <c r="G26" s="3">
        <v>1881</v>
      </c>
      <c r="H26" s="2">
        <v>1.81</v>
      </c>
      <c r="I26" s="2">
        <v>32.4</v>
      </c>
      <c r="J26" s="2">
        <v>0.9</v>
      </c>
      <c r="K26" s="2">
        <v>3.21</v>
      </c>
      <c r="L26" s="2">
        <v>2.59</v>
      </c>
      <c r="M26" s="2">
        <v>0.28999999999999998</v>
      </c>
      <c r="N26" s="2">
        <v>9.07</v>
      </c>
      <c r="O26" s="2">
        <v>12.9</v>
      </c>
      <c r="P26" s="2">
        <v>1.43</v>
      </c>
      <c r="Q26" s="3">
        <v>14.8</v>
      </c>
      <c r="R26" s="2">
        <v>1.65</v>
      </c>
      <c r="S26" s="2">
        <v>13.3</v>
      </c>
      <c r="T26" s="2">
        <v>2.59</v>
      </c>
      <c r="U26" s="2">
        <v>15.3</v>
      </c>
      <c r="V26" s="2">
        <v>2.83</v>
      </c>
      <c r="W26" s="2">
        <v>73</v>
      </c>
      <c r="X26" s="2">
        <v>7.4</v>
      </c>
      <c r="Y26" s="2">
        <v>53.7</v>
      </c>
      <c r="Z26" s="2">
        <v>7.5</v>
      </c>
      <c r="AA26" s="1"/>
      <c r="AB26" s="1"/>
      <c r="AC26" s="2">
        <v>33</v>
      </c>
      <c r="AD26" s="2">
        <v>43</v>
      </c>
      <c r="AE26" s="2">
        <v>30</v>
      </c>
      <c r="AF26" s="2">
        <v>34</v>
      </c>
      <c r="AG26" s="2">
        <v>178</v>
      </c>
      <c r="AH26" s="2">
        <v>42.38095238095238</v>
      </c>
      <c r="AI26" s="2">
        <v>152.33333333333334</v>
      </c>
      <c r="AJ26" s="2">
        <v>35.398915569326107</v>
      </c>
      <c r="AK26" s="2">
        <v>158</v>
      </c>
      <c r="AL26" s="2">
        <v>37.889688249400479</v>
      </c>
      <c r="AM26" s="2">
        <v>178</v>
      </c>
      <c r="AN26" s="2">
        <v>42.18009478672986</v>
      </c>
      <c r="AO26" s="2">
        <v>2.7818437500000002</v>
      </c>
      <c r="AP26" s="2">
        <v>3.7828208000000001</v>
      </c>
      <c r="AQ26">
        <f>W26/X26/2</f>
        <v>4.9324324324324325</v>
      </c>
      <c r="AR26">
        <f t="shared" si="6"/>
        <v>3.58</v>
      </c>
      <c r="AS26">
        <f>W26/SQRT(X26/2/G26)</f>
        <v>1645.9490813443708</v>
      </c>
      <c r="AT26">
        <f t="shared" si="7"/>
        <v>1202.6881989942367</v>
      </c>
      <c r="AU26">
        <f t="shared" si="2"/>
        <v>0.86928104575163401</v>
      </c>
      <c r="AV26">
        <f t="shared" si="8"/>
        <v>0.73538872103061292</v>
      </c>
    </row>
    <row r="27" spans="1:48" x14ac:dyDescent="0.2">
      <c r="A27" s="3">
        <v>0</v>
      </c>
      <c r="B27" s="3">
        <v>2062</v>
      </c>
      <c r="C27" t="s">
        <v>66</v>
      </c>
      <c r="E27" s="2">
        <v>32.857142857142854</v>
      </c>
      <c r="F27" s="9">
        <v>42782</v>
      </c>
      <c r="G27" s="3">
        <v>2234</v>
      </c>
      <c r="H27" s="2">
        <v>2.13</v>
      </c>
      <c r="I27" s="2">
        <v>52</v>
      </c>
      <c r="J27" s="2">
        <v>0.86</v>
      </c>
      <c r="K27" s="2">
        <v>2.77</v>
      </c>
      <c r="L27" s="2">
        <v>2.0499999999999998</v>
      </c>
      <c r="M27" s="1"/>
      <c r="N27" s="2">
        <v>13.57</v>
      </c>
      <c r="O27" s="2">
        <v>14.9</v>
      </c>
      <c r="P27" s="2">
        <v>1.82</v>
      </c>
      <c r="Q27" s="3">
        <v>16</v>
      </c>
      <c r="R27" s="2">
        <v>1.99</v>
      </c>
      <c r="S27" s="2">
        <v>14.5</v>
      </c>
      <c r="T27" s="2">
        <v>3.97</v>
      </c>
      <c r="U27" s="2">
        <v>15.1</v>
      </c>
      <c r="V27" s="2">
        <v>3.94</v>
      </c>
      <c r="W27" s="2">
        <v>80</v>
      </c>
      <c r="X27" s="2">
        <v>5.7</v>
      </c>
      <c r="Y27" s="2">
        <v>116</v>
      </c>
      <c r="Z27" s="2">
        <v>6.8</v>
      </c>
      <c r="AA27" s="10">
        <v>5.57</v>
      </c>
      <c r="AB27" s="10">
        <v>5.09</v>
      </c>
      <c r="AC27" s="2">
        <v>47</v>
      </c>
      <c r="AD27" s="2">
        <v>53</v>
      </c>
      <c r="AE27" s="2">
        <v>44</v>
      </c>
      <c r="AF27" s="2">
        <v>55</v>
      </c>
      <c r="AG27" s="2">
        <v>188</v>
      </c>
      <c r="AH27" s="2">
        <v>40.988372093023258</v>
      </c>
      <c r="AI27" s="2">
        <v>177.33333333333334</v>
      </c>
      <c r="AJ27" s="2">
        <v>41.304347826086961</v>
      </c>
      <c r="AK27" s="2">
        <v>148</v>
      </c>
      <c r="AL27" s="2">
        <v>33.636363636363633</v>
      </c>
      <c r="AM27" s="2">
        <v>204</v>
      </c>
      <c r="AN27" s="2">
        <v>45.808383233532936</v>
      </c>
      <c r="AO27" s="2">
        <v>5.0091792000000002</v>
      </c>
      <c r="AP27" s="2">
        <v>2.9075301000000007</v>
      </c>
      <c r="AQ27">
        <f>W27/X27/2</f>
        <v>7.0175438596491224</v>
      </c>
      <c r="AR27">
        <f t="shared" si="6"/>
        <v>8.5294117647058822</v>
      </c>
      <c r="AS27">
        <f>W27/SQRT(X27/2/G27)</f>
        <v>2239.7994897726817</v>
      </c>
      <c r="AT27">
        <f t="shared" si="7"/>
        <v>2973.4464060096602</v>
      </c>
      <c r="AU27">
        <f t="shared" si="2"/>
        <v>0.96026490066225167</v>
      </c>
      <c r="AV27">
        <f t="shared" si="8"/>
        <v>1.7228296965868037</v>
      </c>
    </row>
    <row r="28" spans="1:48" x14ac:dyDescent="0.2">
      <c r="A28" s="3">
        <v>0</v>
      </c>
      <c r="B28" s="3">
        <v>7097</v>
      </c>
      <c r="C28" t="s">
        <v>42</v>
      </c>
      <c r="E28" s="2">
        <v>32.857142857142854</v>
      </c>
      <c r="F28" s="9">
        <v>42944</v>
      </c>
      <c r="G28" s="3">
        <v>2059</v>
      </c>
      <c r="H28" s="2">
        <v>2.64</v>
      </c>
      <c r="I28" s="2">
        <v>64</v>
      </c>
      <c r="J28" s="2">
        <v>0.95</v>
      </c>
      <c r="K28" s="2">
        <v>3.45</v>
      </c>
      <c r="L28" s="2">
        <v>2.5299999999999998</v>
      </c>
      <c r="M28" s="2">
        <v>0.42</v>
      </c>
      <c r="N28" s="2">
        <v>11.81</v>
      </c>
      <c r="O28" s="2">
        <v>13.8</v>
      </c>
      <c r="P28" s="2">
        <v>1.91</v>
      </c>
      <c r="Q28" s="3">
        <v>15</v>
      </c>
      <c r="R28" s="2">
        <v>2.06</v>
      </c>
      <c r="S28" s="2">
        <v>11.5</v>
      </c>
      <c r="T28" s="2">
        <v>1.91</v>
      </c>
      <c r="U28" s="2">
        <v>9.6999999999999993</v>
      </c>
      <c r="V28" s="2">
        <v>1.77</v>
      </c>
      <c r="W28" s="2">
        <v>61.5</v>
      </c>
      <c r="X28" s="2">
        <v>7.5</v>
      </c>
      <c r="Y28" s="2">
        <v>65.900000000000006</v>
      </c>
      <c r="Z28" s="2">
        <v>5.9</v>
      </c>
      <c r="AA28" s="10">
        <v>4.4000000000000004</v>
      </c>
      <c r="AB28" s="10">
        <v>4.2</v>
      </c>
      <c r="AC28" s="2">
        <v>42</v>
      </c>
      <c r="AD28" s="2">
        <v>64</v>
      </c>
      <c r="AE28" s="2">
        <v>44</v>
      </c>
      <c r="AF28" s="2">
        <v>52</v>
      </c>
      <c r="AG28" s="2">
        <v>165.66666666666666</v>
      </c>
      <c r="AH28" s="2">
        <v>38.919342208300698</v>
      </c>
      <c r="AI28" s="2">
        <v>170.33333333333334</v>
      </c>
      <c r="AJ28" s="2">
        <v>40.363349131121645</v>
      </c>
      <c r="AK28" s="2">
        <v>147.66666666666666</v>
      </c>
      <c r="AL28" s="2">
        <v>34.99210110584518</v>
      </c>
      <c r="AM28" s="2">
        <v>180.66666666666666</v>
      </c>
      <c r="AN28" s="2">
        <v>41.500765696784079</v>
      </c>
      <c r="AO28" s="2">
        <v>1.9674612000000005</v>
      </c>
      <c r="AP28" s="2">
        <v>3.8857500000000007</v>
      </c>
      <c r="AQ28">
        <f>W28/X28/2</f>
        <v>4.0999999999999996</v>
      </c>
      <c r="AR28">
        <f t="shared" si="6"/>
        <v>5.5847457627118642</v>
      </c>
      <c r="AS28">
        <f>W28/SQRT(X28/2/G28)</f>
        <v>1441.0785544167952</v>
      </c>
      <c r="AT28">
        <f t="shared" si="7"/>
        <v>1741.0152687732796</v>
      </c>
      <c r="AU28" s="8">
        <f t="shared" si="2"/>
        <v>1.1855670103092784</v>
      </c>
      <c r="AV28">
        <f t="shared" si="8"/>
        <v>0.50632727272727274</v>
      </c>
    </row>
    <row r="29" spans="1:48" x14ac:dyDescent="0.2">
      <c r="A29" s="3">
        <v>0</v>
      </c>
      <c r="B29" s="3">
        <v>7002</v>
      </c>
      <c r="C29" t="s">
        <v>54</v>
      </c>
      <c r="E29" s="2">
        <v>33.142857142857146</v>
      </c>
      <c r="F29" s="9">
        <v>42669</v>
      </c>
      <c r="G29" s="3">
        <v>2247</v>
      </c>
      <c r="H29" s="2">
        <v>2.19</v>
      </c>
      <c r="I29" s="2">
        <v>45</v>
      </c>
      <c r="J29" s="2">
        <v>1.05</v>
      </c>
      <c r="K29" s="2">
        <v>3.13</v>
      </c>
      <c r="L29" s="2">
        <v>2.88</v>
      </c>
      <c r="M29" s="2">
        <v>0.63</v>
      </c>
      <c r="N29" s="2">
        <v>11.14</v>
      </c>
      <c r="O29" s="2">
        <v>14.8</v>
      </c>
      <c r="P29" s="2">
        <v>2.09</v>
      </c>
      <c r="Q29" s="3">
        <v>16</v>
      </c>
      <c r="R29" s="2">
        <v>2.2200000000000002</v>
      </c>
      <c r="S29" s="2">
        <v>13.1</v>
      </c>
      <c r="T29" s="2">
        <v>2.65</v>
      </c>
      <c r="U29" s="2">
        <v>16.600000000000001</v>
      </c>
      <c r="V29" s="2">
        <v>2.57</v>
      </c>
      <c r="W29" s="1"/>
      <c r="X29" s="2">
        <v>7.6</v>
      </c>
      <c r="Y29" s="1"/>
      <c r="Z29" s="2">
        <v>6</v>
      </c>
      <c r="AA29" s="1"/>
      <c r="AB29" s="2">
        <v>3.7</v>
      </c>
      <c r="AC29" s="2">
        <v>50</v>
      </c>
      <c r="AD29" s="2">
        <v>51</v>
      </c>
      <c r="AE29" s="2">
        <v>44</v>
      </c>
      <c r="AF29" s="2">
        <v>54</v>
      </c>
      <c r="AG29" s="2">
        <v>177.33333333333334</v>
      </c>
      <c r="AH29" s="2">
        <v>40.79754601226994</v>
      </c>
      <c r="AI29" s="2">
        <v>179</v>
      </c>
      <c r="AJ29" s="2">
        <v>43.132530120481924</v>
      </c>
      <c r="AK29" s="2">
        <v>166.66666666666666</v>
      </c>
      <c r="AL29" s="2">
        <v>37.31343283582089</v>
      </c>
      <c r="AM29" s="2">
        <v>193.33333333333334</v>
      </c>
      <c r="AN29" s="2">
        <v>43.939393939393938</v>
      </c>
      <c r="AO29" s="2">
        <v>3.13686</v>
      </c>
      <c r="AP29" s="2">
        <v>4.3981352000000005</v>
      </c>
      <c r="AU29" s="8">
        <f t="shared" si="2"/>
        <v>0.78915662650602403</v>
      </c>
      <c r="AV29">
        <f t="shared" si="8"/>
        <v>0.71322500499757258</v>
      </c>
    </row>
    <row r="30" spans="1:48" x14ac:dyDescent="0.2">
      <c r="A30" s="3">
        <v>0</v>
      </c>
      <c r="B30" s="3">
        <v>9903</v>
      </c>
      <c r="C30" t="s">
        <v>77</v>
      </c>
      <c r="D30" t="s">
        <v>77</v>
      </c>
      <c r="E30" s="2">
        <v>33.142857142857146</v>
      </c>
      <c r="F30" s="9">
        <v>42333</v>
      </c>
      <c r="G30" s="3">
        <v>2240</v>
      </c>
      <c r="H30" s="2">
        <v>1.36</v>
      </c>
      <c r="I30" s="2">
        <v>41.2</v>
      </c>
      <c r="J30" s="2">
        <v>0.76</v>
      </c>
      <c r="K30" s="2">
        <v>2.21</v>
      </c>
      <c r="L30" s="2">
        <v>2.39</v>
      </c>
      <c r="M30" s="2">
        <v>0.4</v>
      </c>
      <c r="N30" s="2">
        <v>15.28</v>
      </c>
      <c r="O30" s="2">
        <v>14.8</v>
      </c>
      <c r="P30" s="2">
        <v>2.4300000000000002</v>
      </c>
      <c r="Q30" s="3">
        <v>17.7</v>
      </c>
      <c r="R30" s="2">
        <v>2.71</v>
      </c>
      <c r="S30" s="2">
        <v>13.8</v>
      </c>
      <c r="T30" s="2">
        <v>3.8</v>
      </c>
      <c r="U30" s="2">
        <v>12.8</v>
      </c>
      <c r="V30" s="2">
        <v>3.69</v>
      </c>
      <c r="W30" s="2">
        <v>85</v>
      </c>
      <c r="X30" s="2">
        <v>8.5</v>
      </c>
      <c r="Y30" s="2">
        <v>88</v>
      </c>
      <c r="Z30" s="2">
        <v>8</v>
      </c>
      <c r="AA30" s="1"/>
      <c r="AB30" s="1"/>
      <c r="AC30" s="2">
        <v>37.200000000000003</v>
      </c>
      <c r="AD30" s="2">
        <v>45.1</v>
      </c>
      <c r="AE30" s="2">
        <v>38.799999999999997</v>
      </c>
      <c r="AF30" s="2">
        <v>42.7</v>
      </c>
      <c r="AG30" s="2">
        <v>175</v>
      </c>
      <c r="AH30" s="2">
        <v>39.954337899543383</v>
      </c>
      <c r="AI30" s="2">
        <v>195</v>
      </c>
      <c r="AJ30" s="2">
        <v>44.31818181818182</v>
      </c>
      <c r="AK30" s="2">
        <v>213</v>
      </c>
      <c r="AL30" s="2">
        <v>45.222929936305732</v>
      </c>
      <c r="AM30" s="2">
        <v>184</v>
      </c>
      <c r="AN30" s="2">
        <v>41.348314606741567</v>
      </c>
      <c r="AO30" s="2">
        <v>5.3254400000000004</v>
      </c>
      <c r="AP30" s="2">
        <v>6.4089362500000009</v>
      </c>
      <c r="AQ30">
        <f>W30/X30/2</f>
        <v>5</v>
      </c>
      <c r="AR30">
        <f>Y30/Z30/2</f>
        <v>5.5</v>
      </c>
      <c r="AS30">
        <f>W30/SQRT(X30/2/G30)</f>
        <v>1951.4097468240748</v>
      </c>
      <c r="AT30">
        <f>Y30/SQRT(Z30/2/G30)</f>
        <v>2082.4600836510649</v>
      </c>
      <c r="AU30">
        <f t="shared" si="2"/>
        <v>1.078125</v>
      </c>
      <c r="AV30">
        <f t="shared" si="8"/>
        <v>0.83093976789049817</v>
      </c>
    </row>
    <row r="31" spans="1:48" x14ac:dyDescent="0.2">
      <c r="A31" s="3">
        <v>0</v>
      </c>
      <c r="B31" s="3">
        <v>7110</v>
      </c>
      <c r="C31" t="s">
        <v>41</v>
      </c>
      <c r="E31" s="2">
        <v>33.142857142857146</v>
      </c>
      <c r="F31" s="9">
        <v>43026</v>
      </c>
      <c r="G31" s="3">
        <v>2417</v>
      </c>
      <c r="H31" s="2">
        <v>2.37</v>
      </c>
      <c r="I31" s="2">
        <v>48.7</v>
      </c>
      <c r="J31" s="2">
        <v>0.77</v>
      </c>
      <c r="K31" s="1"/>
      <c r="L31" s="1"/>
      <c r="M31" s="2">
        <v>0.53</v>
      </c>
      <c r="N31" s="1"/>
      <c r="O31" s="1"/>
      <c r="P31" s="1"/>
      <c r="Q31" s="1"/>
      <c r="R31" s="1"/>
      <c r="S31" s="1"/>
      <c r="T31" s="1"/>
      <c r="U31" s="1"/>
      <c r="V31" s="2">
        <v>2.57</v>
      </c>
      <c r="W31" s="1"/>
      <c r="X31" s="1"/>
      <c r="Y31" s="1"/>
      <c r="Z31" s="1"/>
      <c r="AA31" s="10">
        <v>4.5999999999999996</v>
      </c>
      <c r="AB31" s="10">
        <v>3.6</v>
      </c>
      <c r="AC31" s="2">
        <v>41</v>
      </c>
      <c r="AD31" s="2">
        <v>53</v>
      </c>
      <c r="AE31" s="2">
        <v>43</v>
      </c>
      <c r="AF31" s="2">
        <v>45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8" x14ac:dyDescent="0.2">
      <c r="A32" s="3">
        <v>0</v>
      </c>
      <c r="B32" s="3">
        <v>7082</v>
      </c>
      <c r="C32" t="s">
        <v>43</v>
      </c>
      <c r="E32" s="2">
        <v>33.285714285714285</v>
      </c>
      <c r="F32" s="9">
        <v>42928</v>
      </c>
      <c r="G32" s="3">
        <v>2034</v>
      </c>
      <c r="H32" s="1"/>
      <c r="I32" s="2">
        <v>67.8</v>
      </c>
      <c r="J32" s="2">
        <v>1.1399999999999999</v>
      </c>
      <c r="K32" s="2">
        <v>2.35</v>
      </c>
      <c r="L32" s="2">
        <v>2.52</v>
      </c>
      <c r="M32" s="2">
        <v>0.36</v>
      </c>
      <c r="N32" s="2">
        <v>14.6</v>
      </c>
      <c r="O32" s="2">
        <v>16.399999999999999</v>
      </c>
      <c r="P32" s="2">
        <v>2.4300000000000002</v>
      </c>
      <c r="Q32" s="3">
        <v>19</v>
      </c>
      <c r="R32" s="2">
        <v>2.4500000000000002</v>
      </c>
      <c r="S32" s="2">
        <v>10.199999999999999</v>
      </c>
      <c r="T32" s="2">
        <v>2.82</v>
      </c>
      <c r="U32" s="2">
        <v>14.2</v>
      </c>
      <c r="V32" s="2">
        <v>3.1</v>
      </c>
      <c r="W32" s="2">
        <v>67.7</v>
      </c>
      <c r="X32" s="2">
        <v>6.3</v>
      </c>
      <c r="Y32" s="2">
        <v>103.8</v>
      </c>
      <c r="Z32" s="2">
        <v>6.6</v>
      </c>
      <c r="AA32" s="10">
        <v>5.0999999999999996</v>
      </c>
      <c r="AB32" s="10">
        <v>4.5</v>
      </c>
      <c r="AC32" s="2">
        <v>42</v>
      </c>
      <c r="AD32" s="2">
        <v>62</v>
      </c>
      <c r="AE32" s="2">
        <v>42</v>
      </c>
      <c r="AF32" s="2">
        <v>66</v>
      </c>
      <c r="AG32" s="2">
        <v>160.33333333333334</v>
      </c>
      <c r="AH32" s="2">
        <v>42.11908931698774</v>
      </c>
      <c r="AI32" s="2">
        <v>257.33333333333331</v>
      </c>
      <c r="AJ32" s="2">
        <v>66.380051590713663</v>
      </c>
      <c r="AK32" s="2">
        <v>157</v>
      </c>
      <c r="AL32" s="2">
        <v>38.606557377049178</v>
      </c>
      <c r="AM32" s="2">
        <v>183.33333333333334</v>
      </c>
      <c r="AN32" s="2">
        <v>46.413502109704645</v>
      </c>
      <c r="AO32" s="2">
        <v>4.9924115999999987</v>
      </c>
      <c r="AP32" s="2">
        <v>2.7417852000000003</v>
      </c>
      <c r="AQ32">
        <f t="shared" ref="AQ32:AQ61" si="9">W32/X32/2</f>
        <v>5.3730158730158735</v>
      </c>
      <c r="AR32">
        <f t="shared" ref="AR32:AR61" si="10">Y32/Z32/2</f>
        <v>7.8636363636363642</v>
      </c>
      <c r="AS32">
        <f>W32/SQRT(X32/2/G32)</f>
        <v>1720.3185253235604</v>
      </c>
      <c r="AT32">
        <f>Y32/SQRT(Z32/2/G32)</f>
        <v>2577.0085405721529</v>
      </c>
      <c r="AU32" s="8">
        <f t="shared" ref="AU32:AU61" si="11" xml:space="preserve"> S32/U32</f>
        <v>0.71830985915492951</v>
      </c>
      <c r="AV32">
        <f>AO32/AP32</f>
        <v>1.8208616780045346</v>
      </c>
    </row>
    <row r="33" spans="1:48" x14ac:dyDescent="0.2">
      <c r="A33" s="3">
        <v>0</v>
      </c>
      <c r="B33" s="3">
        <v>9920</v>
      </c>
      <c r="C33" t="s">
        <v>94</v>
      </c>
      <c r="D33" t="s">
        <v>94</v>
      </c>
      <c r="E33" s="2">
        <v>33.285714285714285</v>
      </c>
      <c r="F33" s="9">
        <v>42150</v>
      </c>
      <c r="G33" s="3">
        <v>1886</v>
      </c>
      <c r="H33" s="2">
        <v>1.73</v>
      </c>
      <c r="I33" s="2">
        <v>56.4</v>
      </c>
      <c r="J33" s="2">
        <v>0.84</v>
      </c>
      <c r="K33" s="2">
        <v>2.91</v>
      </c>
      <c r="L33" s="2">
        <v>2.9</v>
      </c>
      <c r="M33" s="2">
        <v>0.34</v>
      </c>
      <c r="N33" s="2">
        <v>12.58</v>
      </c>
      <c r="O33" s="1"/>
      <c r="P33" s="2">
        <v>0.91</v>
      </c>
      <c r="Q33" s="1"/>
      <c r="R33" s="2">
        <v>1.36</v>
      </c>
      <c r="S33" s="2">
        <v>11</v>
      </c>
      <c r="T33" s="1"/>
      <c r="U33" s="2">
        <v>10.199999999999999</v>
      </c>
      <c r="V33" s="1"/>
      <c r="W33" s="2">
        <v>81</v>
      </c>
      <c r="X33" s="2">
        <v>7</v>
      </c>
      <c r="Y33" s="2">
        <v>85</v>
      </c>
      <c r="Z33" s="2">
        <v>6</v>
      </c>
      <c r="AA33" s="1"/>
      <c r="AB33" s="1"/>
      <c r="AC33" s="2">
        <v>46.7</v>
      </c>
      <c r="AD33" s="2">
        <v>60.2</v>
      </c>
      <c r="AE33" s="2">
        <v>42</v>
      </c>
      <c r="AF33" s="2">
        <v>53</v>
      </c>
      <c r="AG33" s="2">
        <v>200</v>
      </c>
      <c r="AH33" s="2">
        <v>47.393364928909953</v>
      </c>
      <c r="AI33" s="2">
        <v>191</v>
      </c>
      <c r="AJ33" s="2">
        <v>47.160493827160494</v>
      </c>
      <c r="AK33" s="2">
        <v>161</v>
      </c>
      <c r="AL33" s="2">
        <v>39.46078431372549</v>
      </c>
      <c r="AM33" s="2">
        <v>162</v>
      </c>
      <c r="AN33" s="2">
        <v>38.20754716981132</v>
      </c>
      <c r="AO33" s="2">
        <v>2.59992</v>
      </c>
      <c r="AP33" s="2">
        <v>3.7695700000000003</v>
      </c>
      <c r="AQ33">
        <f t="shared" si="9"/>
        <v>5.7857142857142856</v>
      </c>
      <c r="AR33">
        <f t="shared" si="10"/>
        <v>7.083333333333333</v>
      </c>
      <c r="AS33">
        <f>W33/SQRT(X33/2/G33)</f>
        <v>1880.2770312604773</v>
      </c>
      <c r="AT33">
        <f>Y33/SQRT(Z33/2/G33)</f>
        <v>2131.2242178303686</v>
      </c>
      <c r="AU33">
        <f t="shared" si="11"/>
        <v>1.0784313725490198</v>
      </c>
      <c r="AV33">
        <f>AO33/AP33</f>
        <v>0.68971261974177422</v>
      </c>
    </row>
    <row r="34" spans="1:48" x14ac:dyDescent="0.2">
      <c r="A34" s="3">
        <v>0</v>
      </c>
      <c r="B34" s="3">
        <v>2071</v>
      </c>
      <c r="C34" t="s">
        <v>63</v>
      </c>
      <c r="E34" s="2">
        <v>33.428571428571431</v>
      </c>
      <c r="F34" s="9">
        <v>42831</v>
      </c>
      <c r="G34" s="3">
        <v>2361</v>
      </c>
      <c r="H34" s="2">
        <v>2.0499999999999998</v>
      </c>
      <c r="I34" s="2">
        <v>73</v>
      </c>
      <c r="J34" s="2">
        <v>0.75</v>
      </c>
      <c r="K34" s="2">
        <v>2.8</v>
      </c>
      <c r="L34" s="2">
        <v>2.0699999999999998</v>
      </c>
      <c r="M34" s="2">
        <v>0.64</v>
      </c>
      <c r="N34" s="2">
        <v>16.11</v>
      </c>
      <c r="O34" s="2">
        <v>15.6</v>
      </c>
      <c r="P34" s="2">
        <v>1.69</v>
      </c>
      <c r="Q34" s="3">
        <v>16</v>
      </c>
      <c r="R34" s="2">
        <v>1.75</v>
      </c>
      <c r="S34" s="2">
        <v>13.8</v>
      </c>
      <c r="T34" s="2">
        <v>3.09</v>
      </c>
      <c r="U34" s="2">
        <v>14.4</v>
      </c>
      <c r="V34" s="2">
        <v>3.18</v>
      </c>
      <c r="W34" s="2">
        <v>80</v>
      </c>
      <c r="X34" s="2">
        <v>7.1</v>
      </c>
      <c r="Y34" s="2">
        <v>96</v>
      </c>
      <c r="Z34" s="2">
        <v>6.4</v>
      </c>
      <c r="AA34" s="10">
        <v>4.7</v>
      </c>
      <c r="AB34" s="10">
        <v>3.2</v>
      </c>
      <c r="AC34" s="2">
        <v>47.3</v>
      </c>
      <c r="AD34" s="2">
        <v>57.2</v>
      </c>
      <c r="AE34" s="2">
        <v>38</v>
      </c>
      <c r="AF34" s="2">
        <v>9</v>
      </c>
      <c r="AG34" s="2">
        <v>192</v>
      </c>
      <c r="AH34" s="2">
        <v>41.982507288629741</v>
      </c>
      <c r="AI34" s="2">
        <v>188</v>
      </c>
      <c r="AJ34" s="2">
        <v>40.634005763688755</v>
      </c>
      <c r="AK34" s="2">
        <v>184</v>
      </c>
      <c r="AL34" s="2">
        <v>38.440111420612809</v>
      </c>
      <c r="AM34" s="2">
        <v>174.66666666666666</v>
      </c>
      <c r="AN34" s="2">
        <v>38.786084381939304</v>
      </c>
      <c r="AO34" s="2">
        <v>5.1124224000000007</v>
      </c>
      <c r="AP34" s="1"/>
      <c r="AQ34">
        <f t="shared" si="9"/>
        <v>5.6338028169014089</v>
      </c>
      <c r="AR34">
        <f t="shared" si="10"/>
        <v>7.5</v>
      </c>
      <c r="AS34">
        <f>W34/SQRT(X34/2/G34)</f>
        <v>2063.116745175937</v>
      </c>
      <c r="AT34">
        <f>Y34/SQRT(Z34/2/G34)</f>
        <v>2607.6196041600851</v>
      </c>
      <c r="AU34">
        <f t="shared" si="11"/>
        <v>0.95833333333333337</v>
      </c>
    </row>
    <row r="35" spans="1:48" x14ac:dyDescent="0.2">
      <c r="A35" s="3">
        <v>0</v>
      </c>
      <c r="B35" s="3">
        <v>5054</v>
      </c>
      <c r="C35" t="s">
        <v>55</v>
      </c>
      <c r="E35" s="2">
        <v>34</v>
      </c>
      <c r="F35" s="9">
        <v>42433</v>
      </c>
      <c r="G35" s="1"/>
      <c r="H35" s="1"/>
      <c r="I35" s="1"/>
      <c r="J35" s="1"/>
      <c r="K35" s="2">
        <v>2.8</v>
      </c>
      <c r="L35" s="2">
        <v>2.2000000000000002</v>
      </c>
      <c r="M35" s="2">
        <v>0.34</v>
      </c>
      <c r="N35" s="2">
        <v>10.31</v>
      </c>
      <c r="O35" s="2">
        <v>14.6</v>
      </c>
      <c r="P35" s="2">
        <v>2.2999999999999998</v>
      </c>
      <c r="Q35" s="3">
        <v>15</v>
      </c>
      <c r="R35" s="2">
        <v>2.2000000000000002</v>
      </c>
      <c r="S35" s="2">
        <v>11.7</v>
      </c>
      <c r="T35" s="2">
        <v>1.9</v>
      </c>
      <c r="U35" s="2">
        <v>11.9</v>
      </c>
      <c r="V35" s="2">
        <v>2.8</v>
      </c>
      <c r="W35" s="2">
        <v>52</v>
      </c>
      <c r="X35" s="2">
        <v>5.5</v>
      </c>
      <c r="Y35" s="2">
        <v>87</v>
      </c>
      <c r="Z35" s="2">
        <v>5.3</v>
      </c>
      <c r="AA35" s="10">
        <v>7.34</v>
      </c>
      <c r="AB35" s="10">
        <v>5.56</v>
      </c>
      <c r="AC35" s="2">
        <v>37</v>
      </c>
      <c r="AD35" s="2">
        <v>47</v>
      </c>
      <c r="AE35" s="2">
        <v>31</v>
      </c>
      <c r="AF35" s="2">
        <v>37</v>
      </c>
      <c r="AG35" s="2">
        <v>164.66666666666666</v>
      </c>
      <c r="AH35" s="2">
        <v>39.870863599677158</v>
      </c>
      <c r="AI35" s="2">
        <v>172.33333333333334</v>
      </c>
      <c r="AJ35" s="2">
        <v>42.798013245033111</v>
      </c>
      <c r="AK35" s="2">
        <v>638.66666666666663</v>
      </c>
      <c r="AL35" s="2">
        <v>154.51612903225808</v>
      </c>
      <c r="AM35" s="2">
        <v>158.33333333333334</v>
      </c>
      <c r="AN35" s="2">
        <v>37.758346581875998</v>
      </c>
      <c r="AO35" s="2">
        <v>1.8522546000000004</v>
      </c>
      <c r="AP35" s="2">
        <v>1.6147450000000003</v>
      </c>
      <c r="AQ35">
        <f t="shared" si="9"/>
        <v>4.7272727272727275</v>
      </c>
      <c r="AR35">
        <f t="shared" si="10"/>
        <v>8.2075471698113205</v>
      </c>
      <c r="AU35" s="8">
        <f t="shared" si="11"/>
        <v>0.98319327731092432</v>
      </c>
      <c r="AV35">
        <f t="shared" ref="AV35:AV57" si="12">AO35/AP35</f>
        <v>1.1470879922216821</v>
      </c>
    </row>
    <row r="36" spans="1:48" x14ac:dyDescent="0.2">
      <c r="A36" s="3">
        <v>0</v>
      </c>
      <c r="B36" s="3">
        <v>9907</v>
      </c>
      <c r="C36" t="s">
        <v>81</v>
      </c>
      <c r="D36" t="s">
        <v>81</v>
      </c>
      <c r="E36" s="2">
        <v>34.142857142857146</v>
      </c>
      <c r="F36" s="9">
        <v>42193</v>
      </c>
      <c r="G36" s="3">
        <v>2541</v>
      </c>
      <c r="H36" s="2">
        <v>2.2999999999999998</v>
      </c>
      <c r="I36" s="2">
        <v>49.2</v>
      </c>
      <c r="J36" s="2">
        <v>0.9</v>
      </c>
      <c r="K36" s="2">
        <v>2.95</v>
      </c>
      <c r="L36" s="2">
        <v>2.02</v>
      </c>
      <c r="M36" s="2">
        <v>0.35</v>
      </c>
      <c r="N36" s="2">
        <v>12.43</v>
      </c>
      <c r="O36" s="1"/>
      <c r="P36" s="2">
        <v>2.35</v>
      </c>
      <c r="Q36" s="1"/>
      <c r="R36" s="2">
        <v>2.92</v>
      </c>
      <c r="S36" s="2">
        <v>9.6</v>
      </c>
      <c r="T36" s="2">
        <v>2.85</v>
      </c>
      <c r="U36" s="2">
        <v>13</v>
      </c>
      <c r="V36" s="2">
        <v>2.88</v>
      </c>
      <c r="W36" s="2">
        <v>72</v>
      </c>
      <c r="X36" s="2">
        <v>7.5</v>
      </c>
      <c r="Y36" s="2">
        <v>102</v>
      </c>
      <c r="Z36" s="2">
        <v>6.8</v>
      </c>
      <c r="AA36" s="1"/>
      <c r="AB36" s="1"/>
      <c r="AC36" s="2">
        <v>40.1</v>
      </c>
      <c r="AD36" s="2">
        <v>45.9</v>
      </c>
      <c r="AE36" s="2">
        <v>35.4</v>
      </c>
      <c r="AF36" s="2">
        <v>44.3</v>
      </c>
      <c r="AG36" s="2">
        <v>263</v>
      </c>
      <c r="AH36" s="2">
        <v>51.267056530214425</v>
      </c>
      <c r="AI36" s="1"/>
      <c r="AJ36" s="1"/>
      <c r="AK36" s="2">
        <v>196</v>
      </c>
      <c r="AL36" s="2">
        <v>45.265588914549653</v>
      </c>
      <c r="AM36" s="1"/>
      <c r="AN36" s="1"/>
      <c r="AO36" s="2">
        <v>4.5735983999999998</v>
      </c>
      <c r="AP36" s="2">
        <v>5.3429062500000004</v>
      </c>
      <c r="AQ36">
        <f t="shared" si="9"/>
        <v>4.8</v>
      </c>
      <c r="AR36">
        <f t="shared" si="10"/>
        <v>7.5</v>
      </c>
      <c r="AS36">
        <f t="shared" ref="AS36:AS61" si="13">W36/SQRT(X36/2/G36)</f>
        <v>1874.2140752859584</v>
      </c>
      <c r="AT36">
        <f t="shared" ref="AT36:AT61" si="14">Y36/SQRT(Z36/2/G36)</f>
        <v>2788.451183004644</v>
      </c>
      <c r="AU36">
        <f t="shared" si="11"/>
        <v>0.73846153846153839</v>
      </c>
      <c r="AV36">
        <f t="shared" si="12"/>
        <v>0.85601322314049577</v>
      </c>
    </row>
    <row r="37" spans="1:48" x14ac:dyDescent="0.2">
      <c r="A37" s="3">
        <v>0</v>
      </c>
      <c r="B37" s="3">
        <v>5041</v>
      </c>
      <c r="C37" t="s">
        <v>58</v>
      </c>
      <c r="E37" s="2">
        <v>34.142857142857146</v>
      </c>
      <c r="F37" s="9">
        <v>42312</v>
      </c>
      <c r="G37" s="3">
        <v>2399</v>
      </c>
      <c r="H37" s="2">
        <v>1.49</v>
      </c>
      <c r="I37" s="2">
        <v>36</v>
      </c>
      <c r="J37" s="2">
        <v>1.24</v>
      </c>
      <c r="K37" s="2">
        <v>2.7</v>
      </c>
      <c r="L37" s="2">
        <v>3.72</v>
      </c>
      <c r="M37" s="2">
        <v>0.41</v>
      </c>
      <c r="N37" s="2">
        <v>13.16</v>
      </c>
      <c r="O37" s="2">
        <v>12.6</v>
      </c>
      <c r="P37" s="2">
        <v>1.44</v>
      </c>
      <c r="Q37" s="3">
        <v>13</v>
      </c>
      <c r="R37" s="2">
        <v>1.71</v>
      </c>
      <c r="S37" s="2">
        <v>15.3</v>
      </c>
      <c r="T37" s="2">
        <v>3.94</v>
      </c>
      <c r="U37" s="2">
        <v>11.7</v>
      </c>
      <c r="V37" s="2">
        <v>2.8</v>
      </c>
      <c r="W37" s="2">
        <v>49</v>
      </c>
      <c r="X37" s="2">
        <v>7.6</v>
      </c>
      <c r="Y37" s="2">
        <v>80</v>
      </c>
      <c r="Z37" s="2">
        <v>6.1</v>
      </c>
      <c r="AA37" s="1"/>
      <c r="AB37" s="1"/>
      <c r="AC37" s="2">
        <v>41</v>
      </c>
      <c r="AD37" s="2">
        <v>47</v>
      </c>
      <c r="AE37" s="2">
        <v>31</v>
      </c>
      <c r="AF37" s="2">
        <v>46</v>
      </c>
      <c r="AG37" s="2">
        <v>196</v>
      </c>
      <c r="AH37" s="2">
        <v>45.51083591331269</v>
      </c>
      <c r="AI37" s="2">
        <v>172.33333333333334</v>
      </c>
      <c r="AJ37" s="2">
        <v>38.755622188905548</v>
      </c>
      <c r="AK37" s="2">
        <v>183.66666666666666</v>
      </c>
      <c r="AL37" s="2">
        <v>42.38461538461538</v>
      </c>
      <c r="AM37" s="2">
        <v>166</v>
      </c>
      <c r="AN37" s="2">
        <v>39.058823529411761</v>
      </c>
      <c r="AO37" s="2">
        <v>2.6873061999999996</v>
      </c>
      <c r="AP37" s="2">
        <v>3.5366448000000004</v>
      </c>
      <c r="AQ37">
        <f t="shared" si="9"/>
        <v>3.2236842105263159</v>
      </c>
      <c r="AR37">
        <f t="shared" si="10"/>
        <v>6.557377049180328</v>
      </c>
      <c r="AS37">
        <f t="shared" si="13"/>
        <v>1231.1739156294352</v>
      </c>
      <c r="AT37">
        <f t="shared" si="14"/>
        <v>2243.6504213256471</v>
      </c>
      <c r="AU37">
        <f t="shared" si="11"/>
        <v>1.3076923076923079</v>
      </c>
      <c r="AV37">
        <f t="shared" si="12"/>
        <v>0.7598462248739255</v>
      </c>
    </row>
    <row r="38" spans="1:48" x14ac:dyDescent="0.2">
      <c r="A38" s="3">
        <v>0</v>
      </c>
      <c r="B38" s="3">
        <v>5018</v>
      </c>
      <c r="C38" t="s">
        <v>60</v>
      </c>
      <c r="E38" s="2">
        <v>34.285714285714285</v>
      </c>
      <c r="F38" s="9">
        <v>42291</v>
      </c>
      <c r="G38" s="3">
        <v>2576</v>
      </c>
      <c r="H38" s="2">
        <v>1.65</v>
      </c>
      <c r="I38" s="2">
        <v>46</v>
      </c>
      <c r="J38" s="2">
        <v>1.1100000000000001</v>
      </c>
      <c r="K38" s="2">
        <v>2.98</v>
      </c>
      <c r="L38" s="2">
        <v>2.83</v>
      </c>
      <c r="M38" s="2">
        <v>0.33</v>
      </c>
      <c r="N38" s="2">
        <v>13.63</v>
      </c>
      <c r="O38" s="2">
        <v>11</v>
      </c>
      <c r="P38" s="2">
        <v>1</v>
      </c>
      <c r="Q38" s="3">
        <v>18</v>
      </c>
      <c r="R38" s="2">
        <v>2</v>
      </c>
      <c r="S38" s="2">
        <v>13.5</v>
      </c>
      <c r="T38" s="2">
        <v>3</v>
      </c>
      <c r="U38" s="2">
        <v>15.9</v>
      </c>
      <c r="V38" s="2">
        <v>3.08</v>
      </c>
      <c r="W38" s="2">
        <v>87</v>
      </c>
      <c r="X38" s="2">
        <v>6.3</v>
      </c>
      <c r="Y38" s="2">
        <v>74</v>
      </c>
      <c r="Z38" s="2">
        <v>5.4</v>
      </c>
      <c r="AA38" s="1"/>
      <c r="AB38" s="1"/>
      <c r="AC38" s="2">
        <v>42</v>
      </c>
      <c r="AD38" s="2">
        <v>62</v>
      </c>
      <c r="AE38" s="2">
        <v>31</v>
      </c>
      <c r="AF38" s="2">
        <v>42</v>
      </c>
      <c r="AG38" s="2">
        <v>183.33333333333334</v>
      </c>
      <c r="AH38" s="2">
        <v>41.509433962264154</v>
      </c>
      <c r="AI38" s="2">
        <v>180.5</v>
      </c>
      <c r="AJ38" s="2">
        <v>41.446613088404135</v>
      </c>
      <c r="AK38" s="2">
        <v>183.66666666666666</v>
      </c>
      <c r="AL38" s="2">
        <v>41.584905660377352</v>
      </c>
      <c r="AM38" s="2">
        <v>173.66666666666666</v>
      </c>
      <c r="AN38" s="2">
        <v>35.442176870748298</v>
      </c>
      <c r="AO38" s="2">
        <v>2.2890600000000001</v>
      </c>
      <c r="AP38" s="2">
        <v>3.7387980000000001</v>
      </c>
      <c r="AQ38">
        <f t="shared" si="9"/>
        <v>6.9047619047619051</v>
      </c>
      <c r="AR38">
        <f t="shared" si="10"/>
        <v>6.8518518518518512</v>
      </c>
      <c r="AS38">
        <f t="shared" si="13"/>
        <v>2487.9228283851576</v>
      </c>
      <c r="AT38">
        <f t="shared" si="14"/>
        <v>2285.7186243345068</v>
      </c>
      <c r="AU38">
        <f t="shared" si="11"/>
        <v>0.84905660377358494</v>
      </c>
      <c r="AV38">
        <f t="shared" si="12"/>
        <v>0.61224489795918369</v>
      </c>
    </row>
    <row r="39" spans="1:48" x14ac:dyDescent="0.2">
      <c r="A39" s="3">
        <v>0</v>
      </c>
      <c r="B39" s="3">
        <v>9913</v>
      </c>
      <c r="C39" t="s">
        <v>87</v>
      </c>
      <c r="D39" t="s">
        <v>87</v>
      </c>
      <c r="E39" s="2">
        <v>34.428571428571431</v>
      </c>
      <c r="F39" s="9">
        <v>42405</v>
      </c>
      <c r="G39" s="3">
        <v>2286</v>
      </c>
      <c r="H39" s="2">
        <v>1.4</v>
      </c>
      <c r="I39" s="2">
        <v>67</v>
      </c>
      <c r="J39" s="2">
        <v>1.28</v>
      </c>
      <c r="K39" s="2">
        <v>2.5</v>
      </c>
      <c r="L39" s="2">
        <v>2.44</v>
      </c>
      <c r="M39" s="2">
        <v>0.54</v>
      </c>
      <c r="N39" s="2">
        <v>16.079999999999998</v>
      </c>
      <c r="O39" s="2">
        <v>12.97</v>
      </c>
      <c r="P39" s="2">
        <v>2.41</v>
      </c>
      <c r="Q39" s="3">
        <v>17.059999999999999</v>
      </c>
      <c r="R39" s="2">
        <v>2.56</v>
      </c>
      <c r="S39" s="2">
        <v>11.8</v>
      </c>
      <c r="T39" s="2">
        <v>2.88</v>
      </c>
      <c r="U39" s="2">
        <v>13.3</v>
      </c>
      <c r="V39" s="2">
        <v>3.31</v>
      </c>
      <c r="W39" s="2">
        <v>71</v>
      </c>
      <c r="X39" s="2">
        <v>7.2</v>
      </c>
      <c r="Y39" s="2">
        <v>95</v>
      </c>
      <c r="Z39" s="2">
        <v>5.8</v>
      </c>
      <c r="AA39" s="1"/>
      <c r="AB39" s="1"/>
      <c r="AC39" s="2">
        <v>42</v>
      </c>
      <c r="AD39" s="2">
        <v>53</v>
      </c>
      <c r="AE39" s="2">
        <v>39.6</v>
      </c>
      <c r="AF39" s="2">
        <v>46.7</v>
      </c>
      <c r="AG39" s="2">
        <v>204</v>
      </c>
      <c r="AH39" s="2">
        <v>45.739910313901348</v>
      </c>
      <c r="AI39" s="2">
        <v>192</v>
      </c>
      <c r="AJ39" s="2">
        <v>43.438914027149323</v>
      </c>
      <c r="AK39" s="2">
        <v>208</v>
      </c>
      <c r="AL39" s="2">
        <v>48.941176470588239</v>
      </c>
      <c r="AM39" s="2">
        <v>206</v>
      </c>
      <c r="AN39" s="2">
        <v>49.164677804295941</v>
      </c>
      <c r="AO39" s="2">
        <v>2.7199621999999999</v>
      </c>
      <c r="AP39" s="2">
        <v>4.8426336000000001</v>
      </c>
      <c r="AQ39">
        <f t="shared" si="9"/>
        <v>4.9305555555555554</v>
      </c>
      <c r="AR39">
        <f t="shared" si="10"/>
        <v>8.1896551724137936</v>
      </c>
      <c r="AS39">
        <f t="shared" si="13"/>
        <v>1789.1436499062897</v>
      </c>
      <c r="AT39">
        <f t="shared" si="14"/>
        <v>2667.2438312183635</v>
      </c>
      <c r="AU39">
        <f t="shared" si="11"/>
        <v>0.88721804511278191</v>
      </c>
      <c r="AV39">
        <f t="shared" si="12"/>
        <v>0.5616700383857246</v>
      </c>
    </row>
    <row r="40" spans="1:48" x14ac:dyDescent="0.2">
      <c r="A40" s="3">
        <v>0</v>
      </c>
      <c r="B40" s="3">
        <v>1153</v>
      </c>
      <c r="C40" t="s">
        <v>69</v>
      </c>
      <c r="E40" s="2">
        <v>34.428571428571431</v>
      </c>
      <c r="F40" s="9">
        <v>42836</v>
      </c>
      <c r="G40" s="3">
        <v>2168</v>
      </c>
      <c r="H40" s="2">
        <v>1.64</v>
      </c>
      <c r="I40" s="2">
        <v>53</v>
      </c>
      <c r="J40" s="2">
        <v>0.83</v>
      </c>
      <c r="K40" s="2">
        <v>2.56</v>
      </c>
      <c r="L40" s="2">
        <v>2.0499999999999998</v>
      </c>
      <c r="M40" s="2">
        <v>0.53</v>
      </c>
      <c r="N40" s="2">
        <v>11.1</v>
      </c>
      <c r="O40" s="2">
        <v>14</v>
      </c>
      <c r="P40" s="2">
        <v>1.75</v>
      </c>
      <c r="Q40" s="3">
        <v>17</v>
      </c>
      <c r="R40" s="2">
        <v>2.11</v>
      </c>
      <c r="S40" s="2">
        <v>12</v>
      </c>
      <c r="T40" s="2">
        <v>2.4700000000000002</v>
      </c>
      <c r="U40" s="2">
        <v>13.5</v>
      </c>
      <c r="V40" s="2">
        <v>3.05</v>
      </c>
      <c r="W40" s="2">
        <v>63</v>
      </c>
      <c r="X40" s="2">
        <v>7.9</v>
      </c>
      <c r="Y40" s="2">
        <v>87</v>
      </c>
      <c r="Z40" s="2">
        <v>4.9000000000000004</v>
      </c>
      <c r="AA40" s="10">
        <v>4.74</v>
      </c>
      <c r="AB40" s="10">
        <v>3.99</v>
      </c>
      <c r="AC40" s="2">
        <v>37</v>
      </c>
      <c r="AD40" s="2">
        <v>47</v>
      </c>
      <c r="AE40" s="2">
        <v>31</v>
      </c>
      <c r="AF40" s="2">
        <v>47</v>
      </c>
      <c r="AG40" s="2">
        <v>199</v>
      </c>
      <c r="AH40" s="2">
        <v>54.921803127874888</v>
      </c>
      <c r="AI40" s="2">
        <v>175.66666666666666</v>
      </c>
      <c r="AJ40" s="2">
        <v>45.945945945945951</v>
      </c>
      <c r="AK40" s="2">
        <v>157.33333333333334</v>
      </c>
      <c r="AL40" s="2">
        <v>34.93708364174686</v>
      </c>
      <c r="AM40" s="2">
        <v>159</v>
      </c>
      <c r="AN40" s="2">
        <v>43.681318681318679</v>
      </c>
      <c r="AO40" s="2">
        <v>1.8659371500000006</v>
      </c>
      <c r="AP40" s="2">
        <v>3.870356150000001</v>
      </c>
      <c r="AQ40">
        <f t="shared" si="9"/>
        <v>3.9873417721518987</v>
      </c>
      <c r="AR40">
        <f t="shared" si="10"/>
        <v>8.8775510204081627</v>
      </c>
      <c r="AS40">
        <f t="shared" si="13"/>
        <v>1475.9499837157016</v>
      </c>
      <c r="AT40">
        <f t="shared" si="14"/>
        <v>2588.0093997242793</v>
      </c>
      <c r="AU40" s="8">
        <f t="shared" si="11"/>
        <v>0.88888888888888884</v>
      </c>
      <c r="AV40">
        <f t="shared" si="12"/>
        <v>0.48210993450822354</v>
      </c>
    </row>
    <row r="41" spans="1:48" x14ac:dyDescent="0.2">
      <c r="A41" s="3">
        <v>0</v>
      </c>
      <c r="B41" s="3">
        <v>5022</v>
      </c>
      <c r="C41" t="s">
        <v>59</v>
      </c>
      <c r="E41" s="2">
        <v>34.428571428571431</v>
      </c>
      <c r="F41" s="9">
        <v>42298</v>
      </c>
      <c r="G41" s="3">
        <v>2456</v>
      </c>
      <c r="H41" s="2">
        <v>2.27</v>
      </c>
      <c r="I41" s="2">
        <v>45</v>
      </c>
      <c r="J41" s="2">
        <v>1.26</v>
      </c>
      <c r="K41" s="2">
        <v>3.92</v>
      </c>
      <c r="L41" s="2">
        <v>3.74</v>
      </c>
      <c r="M41" s="2">
        <v>0.99</v>
      </c>
      <c r="N41" s="2">
        <v>12.78</v>
      </c>
      <c r="O41" s="2">
        <v>10.8</v>
      </c>
      <c r="P41" s="2">
        <v>2</v>
      </c>
      <c r="Q41" s="3">
        <v>11</v>
      </c>
      <c r="R41" s="2">
        <v>2.2999999999999998</v>
      </c>
      <c r="S41" s="2">
        <v>14.8</v>
      </c>
      <c r="T41" s="2">
        <v>3.9</v>
      </c>
      <c r="U41" s="2">
        <v>14.1</v>
      </c>
      <c r="V41" s="2">
        <v>3.46</v>
      </c>
      <c r="W41" s="2">
        <v>70</v>
      </c>
      <c r="X41" s="2">
        <v>5.0999999999999996</v>
      </c>
      <c r="Y41" s="2">
        <v>96</v>
      </c>
      <c r="Z41" s="2">
        <v>5.7</v>
      </c>
      <c r="AA41" s="1"/>
      <c r="AB41" s="1"/>
      <c r="AC41" s="2">
        <v>44.3</v>
      </c>
      <c r="AD41" s="2">
        <v>53</v>
      </c>
      <c r="AE41" s="2">
        <v>51</v>
      </c>
      <c r="AF41" s="2">
        <v>56</v>
      </c>
      <c r="AG41" s="2">
        <v>246</v>
      </c>
      <c r="AH41" s="2">
        <v>47.490347490347489</v>
      </c>
      <c r="AI41" s="2">
        <v>190.5</v>
      </c>
      <c r="AJ41" s="2">
        <v>39.157245632065774</v>
      </c>
      <c r="AK41" s="2">
        <v>214</v>
      </c>
      <c r="AL41" s="2">
        <v>78.58017135862913</v>
      </c>
      <c r="AM41" s="2">
        <v>190.33333333333334</v>
      </c>
      <c r="AN41" s="2">
        <v>37.739590218109718</v>
      </c>
      <c r="AO41" s="2">
        <v>4.0297347000000014</v>
      </c>
      <c r="AP41" s="2">
        <v>2.1438742500000001</v>
      </c>
      <c r="AQ41">
        <f t="shared" si="9"/>
        <v>6.8627450980392162</v>
      </c>
      <c r="AR41">
        <f t="shared" si="10"/>
        <v>8.4210526315789469</v>
      </c>
      <c r="AS41">
        <f t="shared" si="13"/>
        <v>2172.411689579028</v>
      </c>
      <c r="AT41">
        <f t="shared" si="14"/>
        <v>2818.1427254581395</v>
      </c>
      <c r="AU41">
        <f t="shared" si="11"/>
        <v>1.0496453900709222</v>
      </c>
      <c r="AV41">
        <f t="shared" si="12"/>
        <v>1.8796506838029334</v>
      </c>
    </row>
    <row r="42" spans="1:48" x14ac:dyDescent="0.2">
      <c r="A42" s="3">
        <v>0</v>
      </c>
      <c r="B42" s="3">
        <v>9901</v>
      </c>
      <c r="D42" t="s">
        <v>59</v>
      </c>
      <c r="E42" s="2">
        <v>34.428571428571431</v>
      </c>
      <c r="F42" s="9">
        <v>42298</v>
      </c>
      <c r="G42" s="3">
        <v>2396</v>
      </c>
      <c r="H42" s="2">
        <v>2.63</v>
      </c>
      <c r="I42" s="2">
        <v>41.8</v>
      </c>
      <c r="J42" s="2">
        <v>0.88</v>
      </c>
      <c r="K42" s="2">
        <v>2.73</v>
      </c>
      <c r="L42" s="2">
        <v>2.4</v>
      </c>
      <c r="M42" s="2">
        <v>0.61</v>
      </c>
      <c r="N42" s="2">
        <v>14.29</v>
      </c>
      <c r="O42" s="1"/>
      <c r="P42" s="2">
        <v>2.3199999999999998</v>
      </c>
      <c r="Q42" s="1"/>
      <c r="R42" s="2">
        <v>2.68</v>
      </c>
      <c r="S42" s="2">
        <v>15.5</v>
      </c>
      <c r="T42" s="2">
        <v>4.3099999999999996</v>
      </c>
      <c r="U42" s="2">
        <v>13.4</v>
      </c>
      <c r="V42" s="2">
        <v>3.6</v>
      </c>
      <c r="W42" s="2">
        <v>81</v>
      </c>
      <c r="X42" s="2">
        <v>6.7</v>
      </c>
      <c r="Y42" s="2">
        <v>92</v>
      </c>
      <c r="Z42" s="2">
        <v>5.4</v>
      </c>
      <c r="AA42" s="1"/>
      <c r="AB42" s="1"/>
      <c r="AC42" s="2">
        <v>45.1</v>
      </c>
      <c r="AD42" s="2">
        <v>57</v>
      </c>
      <c r="AE42" s="2">
        <v>37.4</v>
      </c>
      <c r="AF42" s="2">
        <v>46.2</v>
      </c>
      <c r="AG42" s="2">
        <v>189</v>
      </c>
      <c r="AH42" s="2">
        <v>43.851508120649655</v>
      </c>
      <c r="AI42" s="2">
        <v>200</v>
      </c>
      <c r="AJ42" s="2">
        <v>45.871559633027523</v>
      </c>
      <c r="AK42" s="2">
        <v>192</v>
      </c>
      <c r="AL42" s="2">
        <v>43.243243243243242</v>
      </c>
      <c r="AM42" s="2">
        <v>186</v>
      </c>
      <c r="AN42" s="2">
        <v>43.155452436194899</v>
      </c>
      <c r="AO42" s="2">
        <v>2.5637472000000003</v>
      </c>
      <c r="AP42" s="2">
        <v>4.017206100000001</v>
      </c>
      <c r="AQ42">
        <f t="shared" si="9"/>
        <v>6.044776119402985</v>
      </c>
      <c r="AR42">
        <f t="shared" si="10"/>
        <v>8.5185185185185173</v>
      </c>
      <c r="AS42">
        <f t="shared" si="13"/>
        <v>2166.2372632278798</v>
      </c>
      <c r="AT42">
        <f t="shared" si="14"/>
        <v>2740.6233408289245</v>
      </c>
      <c r="AU42">
        <f t="shared" si="11"/>
        <v>1.1567164179104477</v>
      </c>
      <c r="AV42">
        <f t="shared" si="12"/>
        <v>0.63819160286548393</v>
      </c>
    </row>
    <row r="43" spans="1:48" x14ac:dyDescent="0.2">
      <c r="A43" s="3">
        <v>0</v>
      </c>
      <c r="B43" s="3">
        <v>9902</v>
      </c>
      <c r="D43" t="s">
        <v>76</v>
      </c>
      <c r="E43" s="2">
        <v>34.714285714285715</v>
      </c>
      <c r="F43" s="9">
        <v>42431</v>
      </c>
      <c r="G43" s="3">
        <v>2456</v>
      </c>
      <c r="H43" s="2">
        <v>2.27</v>
      </c>
      <c r="I43" s="2">
        <v>45.2</v>
      </c>
      <c r="J43" s="2">
        <v>1.26</v>
      </c>
      <c r="K43" s="2">
        <v>3.92</v>
      </c>
      <c r="L43" s="2">
        <v>3.74</v>
      </c>
      <c r="M43" s="2">
        <v>0.96</v>
      </c>
      <c r="N43" s="2">
        <v>12.78</v>
      </c>
      <c r="O43" s="1"/>
      <c r="P43" s="2">
        <v>1.82</v>
      </c>
      <c r="Q43" s="1"/>
      <c r="R43" s="2">
        <v>2.27</v>
      </c>
      <c r="S43" s="2">
        <v>13</v>
      </c>
      <c r="T43" s="2">
        <v>3.07</v>
      </c>
      <c r="U43" s="2">
        <v>7.7</v>
      </c>
      <c r="V43" s="2">
        <v>3.1</v>
      </c>
      <c r="W43" s="2">
        <v>70</v>
      </c>
      <c r="X43" s="2">
        <v>5.0999999999999996</v>
      </c>
      <c r="Y43" s="2">
        <v>96</v>
      </c>
      <c r="Z43" s="2">
        <v>5.7</v>
      </c>
      <c r="AA43" s="1"/>
      <c r="AB43" s="1"/>
      <c r="AC43" s="2">
        <v>44.3</v>
      </c>
      <c r="AD43" s="2">
        <v>53</v>
      </c>
      <c r="AE43" s="2">
        <v>51.4</v>
      </c>
      <c r="AF43" s="2">
        <v>56.2</v>
      </c>
      <c r="AG43" s="2">
        <v>254</v>
      </c>
      <c r="AH43" s="2">
        <v>47.654784240150093</v>
      </c>
      <c r="AI43" s="2">
        <v>203</v>
      </c>
      <c r="AJ43" s="2">
        <v>39.34108527131783</v>
      </c>
      <c r="AK43" s="2">
        <v>225</v>
      </c>
      <c r="AL43" s="2">
        <v>45</v>
      </c>
      <c r="AM43" s="2">
        <v>196</v>
      </c>
      <c r="AN43" s="2">
        <v>38.735177865612648</v>
      </c>
      <c r="AO43" s="2">
        <v>4.0297347000000014</v>
      </c>
      <c r="AP43" s="2">
        <v>2.1438742500000001</v>
      </c>
      <c r="AQ43">
        <f t="shared" si="9"/>
        <v>6.8627450980392162</v>
      </c>
      <c r="AR43">
        <f t="shared" si="10"/>
        <v>8.4210526315789469</v>
      </c>
      <c r="AS43">
        <f t="shared" si="13"/>
        <v>2172.411689579028</v>
      </c>
      <c r="AT43">
        <f t="shared" si="14"/>
        <v>2818.1427254581395</v>
      </c>
      <c r="AU43">
        <f t="shared" si="11"/>
        <v>1.6883116883116882</v>
      </c>
      <c r="AV43">
        <f t="shared" si="12"/>
        <v>1.8796506838029334</v>
      </c>
    </row>
    <row r="44" spans="1:48" x14ac:dyDescent="0.2">
      <c r="A44" s="3">
        <v>0</v>
      </c>
      <c r="B44" s="3">
        <v>9904</v>
      </c>
      <c r="C44" t="s">
        <v>78</v>
      </c>
      <c r="D44" t="s">
        <v>78</v>
      </c>
      <c r="E44" s="2">
        <v>34.857142857142854</v>
      </c>
      <c r="F44" s="9">
        <v>42426</v>
      </c>
      <c r="G44" s="3">
        <v>2459</v>
      </c>
      <c r="H44" s="2">
        <v>1.71</v>
      </c>
      <c r="I44" s="2">
        <v>53.8</v>
      </c>
      <c r="J44" s="2">
        <v>0.98</v>
      </c>
      <c r="K44" s="2">
        <v>2.59</v>
      </c>
      <c r="L44" s="2">
        <v>2.02</v>
      </c>
      <c r="M44" s="2">
        <v>0.66</v>
      </c>
      <c r="N44" s="2">
        <v>11.01</v>
      </c>
      <c r="O44" s="2">
        <v>14.24</v>
      </c>
      <c r="P44" s="2">
        <v>2.59</v>
      </c>
      <c r="Q44" s="3">
        <v>19.34</v>
      </c>
      <c r="R44" s="2">
        <v>2.56</v>
      </c>
      <c r="S44" s="2">
        <v>14.7</v>
      </c>
      <c r="T44" s="2">
        <v>2.98</v>
      </c>
      <c r="U44" s="2">
        <v>15.6</v>
      </c>
      <c r="V44" s="2">
        <v>3.72</v>
      </c>
      <c r="W44" s="2">
        <v>69</v>
      </c>
      <c r="X44" s="2">
        <v>6.1</v>
      </c>
      <c r="Y44" s="2">
        <v>86</v>
      </c>
      <c r="Z44" s="2">
        <v>5.0999999999999996</v>
      </c>
      <c r="AA44" s="1"/>
      <c r="AB44" s="1"/>
      <c r="AC44" s="2">
        <v>49.9</v>
      </c>
      <c r="AD44" s="2">
        <v>59.4</v>
      </c>
      <c r="AE44" s="2">
        <v>40.700000000000003</v>
      </c>
      <c r="AF44" s="2">
        <v>53.1</v>
      </c>
      <c r="AG44" s="2">
        <v>189</v>
      </c>
      <c r="AH44" s="2">
        <v>45.652173913043477</v>
      </c>
      <c r="AI44" s="2">
        <v>186</v>
      </c>
      <c r="AJ44" s="2">
        <v>44.60431654676259</v>
      </c>
      <c r="AK44" s="2">
        <v>150</v>
      </c>
      <c r="AL44" s="2">
        <v>35.799522673031028</v>
      </c>
      <c r="AM44" s="2">
        <v>203</v>
      </c>
      <c r="AN44" s="2">
        <v>45.72072072072072</v>
      </c>
      <c r="AO44" s="2">
        <v>1.98053145</v>
      </c>
      <c r="AP44" s="2">
        <v>2.8041455999999996</v>
      </c>
      <c r="AQ44">
        <f t="shared" si="9"/>
        <v>5.6557377049180335</v>
      </c>
      <c r="AR44">
        <f t="shared" si="10"/>
        <v>8.4313725490196081</v>
      </c>
      <c r="AS44">
        <f t="shared" si="13"/>
        <v>1959.1984811459481</v>
      </c>
      <c r="AT44">
        <f t="shared" si="14"/>
        <v>2670.5925023719906</v>
      </c>
      <c r="AU44">
        <f t="shared" si="11"/>
        <v>0.94230769230769229</v>
      </c>
      <c r="AV44">
        <f t="shared" si="12"/>
        <v>0.70628695243214201</v>
      </c>
    </row>
    <row r="45" spans="1:48" x14ac:dyDescent="0.2">
      <c r="A45" s="3">
        <v>0</v>
      </c>
      <c r="B45" s="3">
        <v>5010</v>
      </c>
      <c r="C45" t="s">
        <v>62</v>
      </c>
      <c r="E45" s="2">
        <v>35</v>
      </c>
      <c r="F45" s="9">
        <v>42270</v>
      </c>
      <c r="G45" s="3">
        <v>2383</v>
      </c>
      <c r="H45" s="2">
        <v>2.04</v>
      </c>
      <c r="I45" s="2">
        <v>62</v>
      </c>
      <c r="J45" s="2">
        <v>1.1200000000000001</v>
      </c>
      <c r="K45" s="2">
        <v>3.54</v>
      </c>
      <c r="L45" s="2">
        <v>2.42</v>
      </c>
      <c r="M45" s="2">
        <v>0.53</v>
      </c>
      <c r="N45" s="2">
        <v>12.17</v>
      </c>
      <c r="O45" s="2">
        <v>11.7</v>
      </c>
      <c r="P45" s="2">
        <v>1.8</v>
      </c>
      <c r="Q45" s="3">
        <v>15</v>
      </c>
      <c r="R45" s="2">
        <v>1.5</v>
      </c>
      <c r="S45" s="2">
        <v>10.5</v>
      </c>
      <c r="T45" s="2">
        <v>3.2</v>
      </c>
      <c r="U45" s="2">
        <v>15</v>
      </c>
      <c r="V45" s="2">
        <v>2.97</v>
      </c>
      <c r="W45" s="2">
        <v>51</v>
      </c>
      <c r="X45" s="2">
        <v>6.8</v>
      </c>
      <c r="Y45" s="2">
        <v>88</v>
      </c>
      <c r="Z45" s="2">
        <v>5.4</v>
      </c>
      <c r="AA45" s="1"/>
      <c r="AB45" s="1"/>
      <c r="AC45" s="2">
        <v>51</v>
      </c>
      <c r="AD45" s="2">
        <v>54</v>
      </c>
      <c r="AE45" s="2">
        <v>34</v>
      </c>
      <c r="AF45" s="2">
        <v>36</v>
      </c>
      <c r="AG45" s="2">
        <v>175</v>
      </c>
      <c r="AH45" s="2">
        <v>37.260468417317242</v>
      </c>
      <c r="AI45" s="2">
        <v>186</v>
      </c>
      <c r="AJ45" s="2">
        <v>41.61073825503356</v>
      </c>
      <c r="AK45" s="2">
        <v>240.33333333333334</v>
      </c>
      <c r="AL45" s="2">
        <v>47.65366820885658</v>
      </c>
      <c r="AM45" s="2">
        <v>200</v>
      </c>
      <c r="AN45" s="2">
        <v>41.011619958988376</v>
      </c>
      <c r="AO45" s="2">
        <v>2.5408566000000001</v>
      </c>
      <c r="AP45" s="2">
        <v>2.6134847999999997</v>
      </c>
      <c r="AQ45">
        <f t="shared" si="9"/>
        <v>3.75</v>
      </c>
      <c r="AR45">
        <f t="shared" si="10"/>
        <v>8.148148148148147</v>
      </c>
      <c r="AS45">
        <f t="shared" si="13"/>
        <v>1350.1833208864639</v>
      </c>
      <c r="AT45">
        <f t="shared" si="14"/>
        <v>2614.3444755879123</v>
      </c>
      <c r="AU45">
        <f t="shared" si="11"/>
        <v>0.7</v>
      </c>
      <c r="AV45">
        <f t="shared" si="12"/>
        <v>0.97221020761245691</v>
      </c>
    </row>
    <row r="46" spans="1:48" x14ac:dyDescent="0.2">
      <c r="A46" s="3">
        <v>0</v>
      </c>
      <c r="B46" s="3">
        <v>5042</v>
      </c>
      <c r="C46" t="s">
        <v>57</v>
      </c>
      <c r="E46" s="2">
        <v>35</v>
      </c>
      <c r="F46" s="9">
        <v>42305</v>
      </c>
      <c r="G46" s="3">
        <v>2598</v>
      </c>
      <c r="H46" s="2">
        <v>2.04</v>
      </c>
      <c r="I46" s="2">
        <v>55</v>
      </c>
      <c r="J46" s="2">
        <v>1.35</v>
      </c>
      <c r="K46" s="2">
        <v>2.75</v>
      </c>
      <c r="L46" s="2">
        <v>3.14</v>
      </c>
      <c r="M46" s="2">
        <v>0.86</v>
      </c>
      <c r="N46" s="2">
        <v>10.3</v>
      </c>
      <c r="O46" s="2">
        <v>14.2</v>
      </c>
      <c r="P46" s="2">
        <v>2.14</v>
      </c>
      <c r="Q46" s="3">
        <v>17</v>
      </c>
      <c r="R46" s="2">
        <v>2.57</v>
      </c>
      <c r="S46" s="2">
        <v>13.5</v>
      </c>
      <c r="T46" s="2">
        <v>3.33</v>
      </c>
      <c r="U46" s="2">
        <v>14.5</v>
      </c>
      <c r="V46" s="2">
        <v>3.5</v>
      </c>
      <c r="W46" s="2">
        <v>71</v>
      </c>
      <c r="X46" s="2">
        <v>6.6</v>
      </c>
      <c r="Y46" s="2">
        <v>80</v>
      </c>
      <c r="Z46" s="2">
        <v>6</v>
      </c>
      <c r="AA46" s="1"/>
      <c r="AB46" s="1"/>
      <c r="AC46" s="2">
        <v>45</v>
      </c>
      <c r="AD46" s="2">
        <v>60</v>
      </c>
      <c r="AE46" s="2">
        <v>32</v>
      </c>
      <c r="AF46" s="2">
        <v>4</v>
      </c>
      <c r="AG46" s="2">
        <v>222.33333333333334</v>
      </c>
      <c r="AH46" s="2">
        <v>50.799695354150799</v>
      </c>
      <c r="AI46" s="2">
        <v>180.66666666666666</v>
      </c>
      <c r="AJ46" s="2">
        <v>42.879746835443036</v>
      </c>
      <c r="AK46" s="2">
        <v>173.33333333333334</v>
      </c>
      <c r="AL46" s="2">
        <v>41.009463722397477</v>
      </c>
      <c r="AM46" s="2">
        <v>186</v>
      </c>
      <c r="AN46" s="2">
        <v>44.356120826709066</v>
      </c>
      <c r="AO46" s="2">
        <v>3.13686</v>
      </c>
      <c r="AP46" s="2">
        <v>3.1459031999999989</v>
      </c>
      <c r="AQ46">
        <f t="shared" si="9"/>
        <v>5.3787878787878789</v>
      </c>
      <c r="AR46">
        <f t="shared" si="10"/>
        <v>6.666666666666667</v>
      </c>
      <c r="AS46">
        <f t="shared" si="13"/>
        <v>1992.1450294046915</v>
      </c>
      <c r="AT46">
        <f t="shared" si="14"/>
        <v>2354.2302351299459</v>
      </c>
      <c r="AU46">
        <f t="shared" si="11"/>
        <v>0.93103448275862066</v>
      </c>
      <c r="AV46">
        <f t="shared" si="12"/>
        <v>0.99712540424002905</v>
      </c>
    </row>
    <row r="47" spans="1:48" x14ac:dyDescent="0.2">
      <c r="A47" s="3">
        <v>0</v>
      </c>
      <c r="B47" s="3">
        <v>9918</v>
      </c>
      <c r="C47" t="s">
        <v>92</v>
      </c>
      <c r="D47" t="s">
        <v>92</v>
      </c>
      <c r="E47" s="2">
        <v>35</v>
      </c>
      <c r="F47" s="9">
        <v>42046</v>
      </c>
      <c r="G47" s="3">
        <v>2815</v>
      </c>
      <c r="H47" s="2">
        <v>2.09</v>
      </c>
      <c r="I47" s="2">
        <v>49.5</v>
      </c>
      <c r="J47" s="2">
        <v>0.84</v>
      </c>
      <c r="K47" s="2">
        <v>2.12</v>
      </c>
      <c r="L47" s="2">
        <v>2.48</v>
      </c>
      <c r="M47" s="2">
        <v>0.57999999999999996</v>
      </c>
      <c r="N47" s="2">
        <v>14.93</v>
      </c>
      <c r="O47" s="1"/>
      <c r="P47" s="1"/>
      <c r="Q47" s="1"/>
      <c r="R47" s="1"/>
      <c r="S47" s="2">
        <v>14.8</v>
      </c>
      <c r="T47" s="1"/>
      <c r="U47" s="2">
        <v>14.8</v>
      </c>
      <c r="V47" s="1"/>
      <c r="W47" s="2">
        <v>91</v>
      </c>
      <c r="X47" s="2">
        <v>8.6</v>
      </c>
      <c r="Y47" s="2">
        <v>88</v>
      </c>
      <c r="Z47" s="2">
        <v>6.1</v>
      </c>
      <c r="AA47" s="1"/>
      <c r="AB47" s="1"/>
      <c r="AC47" s="2">
        <v>56.1</v>
      </c>
      <c r="AD47" s="2">
        <v>75.599999999999994</v>
      </c>
      <c r="AE47" s="2">
        <v>47.5</v>
      </c>
      <c r="AF47" s="2">
        <v>72</v>
      </c>
      <c r="AG47" s="2">
        <v>196</v>
      </c>
      <c r="AH47" s="2">
        <v>46.117647058823529</v>
      </c>
      <c r="AI47" s="2">
        <v>152</v>
      </c>
      <c r="AJ47" s="2">
        <v>34.004474272930651</v>
      </c>
      <c r="AK47" s="2">
        <v>175</v>
      </c>
      <c r="AL47" s="2">
        <v>35</v>
      </c>
      <c r="AM47" s="2">
        <v>203</v>
      </c>
      <c r="AN47" s="2">
        <v>43.099787685774949</v>
      </c>
      <c r="AO47" s="2">
        <v>2.9501948499999999</v>
      </c>
      <c r="AP47" s="2">
        <v>7.895969599999999</v>
      </c>
      <c r="AQ47">
        <f t="shared" si="9"/>
        <v>5.2906976744186052</v>
      </c>
      <c r="AR47">
        <f t="shared" si="10"/>
        <v>7.2131147540983607</v>
      </c>
      <c r="AS47">
        <f t="shared" si="13"/>
        <v>2328.3398117692714</v>
      </c>
      <c r="AT47">
        <f t="shared" si="14"/>
        <v>2673.4492977314876</v>
      </c>
      <c r="AU47">
        <f t="shared" si="11"/>
        <v>1</v>
      </c>
      <c r="AV47">
        <f t="shared" si="12"/>
        <v>0.37363300512200559</v>
      </c>
    </row>
    <row r="48" spans="1:48" x14ac:dyDescent="0.2">
      <c r="A48" s="3">
        <v>0</v>
      </c>
      <c r="B48" s="3">
        <v>9926</v>
      </c>
      <c r="C48" t="s">
        <v>100</v>
      </c>
      <c r="D48" t="s">
        <v>100</v>
      </c>
      <c r="E48" s="2">
        <v>35.142857142857146</v>
      </c>
      <c r="F48" s="9">
        <v>42277</v>
      </c>
      <c r="G48" s="3">
        <v>2783</v>
      </c>
      <c r="H48" s="2">
        <v>2.2599999999999998</v>
      </c>
      <c r="I48" s="2">
        <v>58.3</v>
      </c>
      <c r="J48" s="2">
        <v>1.1200000000000001</v>
      </c>
      <c r="K48" s="2">
        <v>2.71</v>
      </c>
      <c r="L48" s="2">
        <v>2.34</v>
      </c>
      <c r="M48" s="2">
        <v>0.53</v>
      </c>
      <c r="N48" s="2">
        <v>12.12</v>
      </c>
      <c r="O48" s="2">
        <v>15.2</v>
      </c>
      <c r="P48" s="2">
        <v>1.79</v>
      </c>
      <c r="Q48" s="3">
        <v>19.2</v>
      </c>
      <c r="R48" s="2">
        <v>3.12</v>
      </c>
      <c r="S48" s="2">
        <v>12.8</v>
      </c>
      <c r="T48" s="2">
        <v>4.54</v>
      </c>
      <c r="U48" s="2">
        <v>16.100000000000001</v>
      </c>
      <c r="V48" s="2">
        <v>4.74</v>
      </c>
      <c r="W48" s="2">
        <v>82</v>
      </c>
      <c r="X48" s="2">
        <v>7.9</v>
      </c>
      <c r="Y48" s="2">
        <v>111</v>
      </c>
      <c r="Z48" s="2">
        <v>6.8</v>
      </c>
      <c r="AA48" s="1"/>
      <c r="AB48" s="1"/>
      <c r="AC48" s="2">
        <v>49.9</v>
      </c>
      <c r="AD48" s="2">
        <v>63.3</v>
      </c>
      <c r="AE48" s="2">
        <v>49.1</v>
      </c>
      <c r="AF48" s="2">
        <v>45.1</v>
      </c>
      <c r="AG48" s="2">
        <v>196</v>
      </c>
      <c r="AH48" s="2">
        <v>41.970021413276228</v>
      </c>
      <c r="AI48" s="2">
        <v>167</v>
      </c>
      <c r="AJ48" s="2">
        <v>36.462882096069869</v>
      </c>
      <c r="AK48" s="2">
        <v>167</v>
      </c>
      <c r="AL48" s="2">
        <v>35.760171306209848</v>
      </c>
      <c r="AM48" s="2">
        <v>175</v>
      </c>
      <c r="AN48" s="2">
        <v>39.592760180995477</v>
      </c>
      <c r="AO48" s="2">
        <v>5.4084615999999999</v>
      </c>
      <c r="AP48" s="2">
        <v>5.4870872000000004</v>
      </c>
      <c r="AQ48">
        <f t="shared" si="9"/>
        <v>5.1898734177215191</v>
      </c>
      <c r="AR48">
        <f t="shared" si="10"/>
        <v>8.1617647058823533</v>
      </c>
      <c r="AS48">
        <f t="shared" si="13"/>
        <v>2176.5663354601043</v>
      </c>
      <c r="AT48">
        <f t="shared" si="14"/>
        <v>3175.7047851387165</v>
      </c>
      <c r="AU48">
        <f t="shared" si="11"/>
        <v>0.79503105590062106</v>
      </c>
      <c r="AV48">
        <f t="shared" si="12"/>
        <v>0.98567079451553086</v>
      </c>
    </row>
    <row r="49" spans="1:48" x14ac:dyDescent="0.2">
      <c r="A49" s="3">
        <v>0</v>
      </c>
      <c r="B49" s="3">
        <v>5011</v>
      </c>
      <c r="C49" t="s">
        <v>61</v>
      </c>
      <c r="E49" s="2">
        <v>35.142857142857146</v>
      </c>
      <c r="F49" s="9">
        <v>42270</v>
      </c>
      <c r="G49" s="3">
        <v>2384</v>
      </c>
      <c r="H49" s="2">
        <v>1.42</v>
      </c>
      <c r="I49" s="2">
        <v>64</v>
      </c>
      <c r="J49" s="1"/>
      <c r="K49" s="2">
        <v>3.01</v>
      </c>
      <c r="L49" s="2">
        <v>2.96</v>
      </c>
      <c r="M49" s="2">
        <v>0.28999999999999998</v>
      </c>
      <c r="N49" s="2">
        <v>13.31</v>
      </c>
      <c r="O49" s="2">
        <v>12.1</v>
      </c>
      <c r="P49" s="2">
        <v>1.5</v>
      </c>
      <c r="Q49" s="3">
        <v>15</v>
      </c>
      <c r="R49" s="2">
        <v>1.8</v>
      </c>
      <c r="S49" s="2">
        <v>11.1</v>
      </c>
      <c r="T49" s="2">
        <v>1.9</v>
      </c>
      <c r="U49" s="2">
        <v>12.6</v>
      </c>
      <c r="V49" s="2">
        <v>2.14</v>
      </c>
      <c r="W49" s="2">
        <v>81</v>
      </c>
      <c r="X49" s="2">
        <v>6.7</v>
      </c>
      <c r="Y49" s="2">
        <v>84</v>
      </c>
      <c r="Z49" s="2">
        <v>6.7</v>
      </c>
      <c r="AA49" s="1"/>
      <c r="AB49" s="1"/>
      <c r="AC49" s="2">
        <v>50</v>
      </c>
      <c r="AD49" s="2">
        <v>59</v>
      </c>
      <c r="AE49" s="2">
        <v>27</v>
      </c>
      <c r="AF49" s="2">
        <v>64</v>
      </c>
      <c r="AG49" s="2">
        <v>152.66666666666666</v>
      </c>
      <c r="AH49" s="2">
        <v>42.64432029795158</v>
      </c>
      <c r="AI49" s="2">
        <v>173.33333333333334</v>
      </c>
      <c r="AJ49" s="2">
        <v>42.003231017770595</v>
      </c>
      <c r="AK49" s="2">
        <v>194.66666666666666</v>
      </c>
      <c r="AL49" s="2">
        <v>46.129541864139014</v>
      </c>
      <c r="AM49" s="2">
        <v>175</v>
      </c>
      <c r="AN49" s="2">
        <v>48.973880597014926</v>
      </c>
      <c r="AO49" s="2">
        <v>4.1581607000000007</v>
      </c>
      <c r="AP49" s="2">
        <v>3.8057742000000006</v>
      </c>
      <c r="AQ49">
        <f t="shared" si="9"/>
        <v>6.044776119402985</v>
      </c>
      <c r="AR49">
        <f t="shared" si="10"/>
        <v>6.2686567164179099</v>
      </c>
      <c r="AS49">
        <f t="shared" si="13"/>
        <v>2160.8058198377698</v>
      </c>
      <c r="AT49">
        <f t="shared" si="14"/>
        <v>2240.8356650169462</v>
      </c>
      <c r="AU49">
        <f t="shared" si="11"/>
        <v>0.88095238095238093</v>
      </c>
      <c r="AV49">
        <f t="shared" si="12"/>
        <v>1.0925925925925926</v>
      </c>
    </row>
    <row r="50" spans="1:48" x14ac:dyDescent="0.2">
      <c r="A50" s="3">
        <v>0</v>
      </c>
      <c r="B50" s="3">
        <v>5043</v>
      </c>
      <c r="C50" t="s">
        <v>56</v>
      </c>
      <c r="E50" s="2">
        <v>35.571428571428569</v>
      </c>
      <c r="F50" s="9">
        <v>42312</v>
      </c>
      <c r="G50" s="3">
        <v>2625</v>
      </c>
      <c r="H50" s="2">
        <v>1.7</v>
      </c>
      <c r="I50" s="2">
        <v>63.3</v>
      </c>
      <c r="J50" s="2">
        <v>1.05</v>
      </c>
      <c r="K50" s="2">
        <v>2.33</v>
      </c>
      <c r="L50" s="2">
        <v>2.69</v>
      </c>
      <c r="M50" s="2">
        <v>0.52</v>
      </c>
      <c r="N50" s="2">
        <v>11.7</v>
      </c>
      <c r="O50" s="2">
        <v>15</v>
      </c>
      <c r="P50" s="2">
        <v>2.08</v>
      </c>
      <c r="Q50" s="3">
        <v>18</v>
      </c>
      <c r="R50" s="2">
        <v>2.4700000000000002</v>
      </c>
      <c r="S50" s="2">
        <v>15.7</v>
      </c>
      <c r="T50" s="2">
        <v>4.58</v>
      </c>
      <c r="U50" s="2">
        <v>17.100000000000001</v>
      </c>
      <c r="V50" s="2">
        <v>4.4000000000000004</v>
      </c>
      <c r="W50" s="2">
        <v>7.42</v>
      </c>
      <c r="X50" s="2">
        <v>11.13</v>
      </c>
      <c r="Y50" s="2">
        <v>7.42</v>
      </c>
      <c r="Z50" s="2">
        <v>7.92</v>
      </c>
      <c r="AA50" s="10">
        <v>4.4000000000000004</v>
      </c>
      <c r="AB50" s="10">
        <v>4.4000000000000004</v>
      </c>
      <c r="AC50" s="2">
        <v>36</v>
      </c>
      <c r="AD50" s="2">
        <v>49</v>
      </c>
      <c r="AE50" s="2">
        <v>37</v>
      </c>
      <c r="AF50" s="2">
        <v>44</v>
      </c>
      <c r="AG50" s="2">
        <v>194.33333333333334</v>
      </c>
      <c r="AH50" s="2">
        <v>47.283049472830498</v>
      </c>
      <c r="AI50" s="2">
        <v>186</v>
      </c>
      <c r="AJ50" s="2">
        <v>43.764705882352942</v>
      </c>
      <c r="AK50" s="2">
        <v>168.33333333333334</v>
      </c>
      <c r="AL50" s="2">
        <v>41.495480690221861</v>
      </c>
      <c r="AM50" s="2">
        <v>169.66666666666666</v>
      </c>
      <c r="AN50" s="2">
        <v>40.42891183478951</v>
      </c>
      <c r="AO50" s="2">
        <v>4.776301728</v>
      </c>
      <c r="AP50" s="2">
        <v>11.863690713</v>
      </c>
      <c r="AQ50">
        <f t="shared" si="9"/>
        <v>0.33333333333333331</v>
      </c>
      <c r="AR50">
        <f t="shared" si="10"/>
        <v>0.46843434343434343</v>
      </c>
      <c r="AS50">
        <f t="shared" si="13"/>
        <v>161.15210206509872</v>
      </c>
      <c r="AT50">
        <f t="shared" si="14"/>
        <v>191.0385293519862</v>
      </c>
      <c r="AU50">
        <f t="shared" si="11"/>
        <v>0.91812865497076013</v>
      </c>
      <c r="AV50">
        <f t="shared" si="12"/>
        <v>0.40259830128294072</v>
      </c>
    </row>
    <row r="51" spans="1:48" x14ac:dyDescent="0.2">
      <c r="A51" s="3">
        <v>0</v>
      </c>
      <c r="B51" s="3">
        <v>9924</v>
      </c>
      <c r="C51" t="s">
        <v>98</v>
      </c>
      <c r="D51" t="s">
        <v>98</v>
      </c>
      <c r="E51" s="2">
        <v>35.571428571428569</v>
      </c>
      <c r="F51" s="9">
        <v>42323</v>
      </c>
      <c r="G51" s="3">
        <v>2780</v>
      </c>
      <c r="H51" s="2">
        <v>1.43</v>
      </c>
      <c r="I51" s="2">
        <v>58.4</v>
      </c>
      <c r="J51" s="2">
        <v>1.08</v>
      </c>
      <c r="K51" s="2">
        <v>2.4900000000000002</v>
      </c>
      <c r="L51" s="2">
        <v>3.25</v>
      </c>
      <c r="M51" s="2">
        <v>0.62</v>
      </c>
      <c r="N51" s="2">
        <v>15.2</v>
      </c>
      <c r="O51" s="2">
        <v>14.5</v>
      </c>
      <c r="P51" s="2">
        <v>3.09</v>
      </c>
      <c r="Q51" s="3">
        <v>16.899999999999999</v>
      </c>
      <c r="R51" s="2">
        <v>2.83</v>
      </c>
      <c r="S51" s="2">
        <v>13.5</v>
      </c>
      <c r="T51" s="2">
        <v>3.81</v>
      </c>
      <c r="U51" s="2">
        <v>12.3</v>
      </c>
      <c r="V51" s="2">
        <v>3.15</v>
      </c>
      <c r="W51" s="2">
        <v>82</v>
      </c>
      <c r="X51" s="2">
        <v>6.7</v>
      </c>
      <c r="Y51" s="2">
        <v>106</v>
      </c>
      <c r="Z51" s="2">
        <v>6.3</v>
      </c>
      <c r="AA51" s="1"/>
      <c r="AB51" s="1"/>
      <c r="AC51" s="2">
        <v>35.799999999999997</v>
      </c>
      <c r="AD51" s="2">
        <v>51.6</v>
      </c>
      <c r="AE51" s="2">
        <v>34</v>
      </c>
      <c r="AF51" s="2">
        <v>42.8</v>
      </c>
      <c r="AG51" s="2">
        <v>204</v>
      </c>
      <c r="AH51" s="2">
        <v>50.370370370370367</v>
      </c>
      <c r="AI51" s="2">
        <v>173</v>
      </c>
      <c r="AJ51" s="2">
        <v>35.817805383022773</v>
      </c>
      <c r="AK51" s="2">
        <v>233</v>
      </c>
      <c r="AL51" s="2">
        <v>49.05263157894737</v>
      </c>
      <c r="AM51" s="2">
        <v>189</v>
      </c>
      <c r="AN51" s="2">
        <v>44.26229508196721</v>
      </c>
      <c r="AO51" s="2">
        <v>4.8915940500000001</v>
      </c>
      <c r="AP51" s="2">
        <v>4.2991153000000004</v>
      </c>
      <c r="AQ51">
        <f t="shared" si="9"/>
        <v>6.1194029850746263</v>
      </c>
      <c r="AR51">
        <f t="shared" si="10"/>
        <v>8.412698412698413</v>
      </c>
      <c r="AS51">
        <f t="shared" si="13"/>
        <v>2362.1846705773128</v>
      </c>
      <c r="AT51">
        <f t="shared" si="14"/>
        <v>3149.0023615449818</v>
      </c>
      <c r="AU51">
        <f t="shared" si="11"/>
        <v>1.097560975609756</v>
      </c>
      <c r="AV51">
        <f t="shared" si="12"/>
        <v>1.1378141102658959</v>
      </c>
    </row>
    <row r="52" spans="1:48" x14ac:dyDescent="0.2">
      <c r="A52" s="3">
        <v>0</v>
      </c>
      <c r="B52" s="3">
        <v>9908</v>
      </c>
      <c r="C52" t="s">
        <v>82</v>
      </c>
      <c r="D52" t="s">
        <v>82</v>
      </c>
      <c r="E52" s="2">
        <v>35.571428571428569</v>
      </c>
      <c r="F52" s="9">
        <v>42032</v>
      </c>
      <c r="G52" s="3">
        <v>2816</v>
      </c>
      <c r="H52" s="2">
        <v>1.72</v>
      </c>
      <c r="I52" s="2">
        <v>64</v>
      </c>
      <c r="J52" s="2">
        <v>0.93</v>
      </c>
      <c r="K52" s="2">
        <v>2.61</v>
      </c>
      <c r="L52" s="2">
        <v>2.67</v>
      </c>
      <c r="M52" s="2">
        <v>0.51</v>
      </c>
      <c r="N52" s="2">
        <v>13.8</v>
      </c>
      <c r="O52" s="1"/>
      <c r="P52" s="1"/>
      <c r="Q52" s="1"/>
      <c r="R52" s="1"/>
      <c r="S52" s="2">
        <v>14</v>
      </c>
      <c r="T52" s="1"/>
      <c r="U52" s="2">
        <v>12.2</v>
      </c>
      <c r="V52" s="1"/>
      <c r="W52" s="2">
        <v>92</v>
      </c>
      <c r="X52" s="2">
        <v>8.1</v>
      </c>
      <c r="Y52" s="2">
        <v>62</v>
      </c>
      <c r="Z52" s="2">
        <v>6.1</v>
      </c>
      <c r="AA52" s="1"/>
      <c r="AB52" s="1"/>
      <c r="AC52" s="2">
        <v>45.9</v>
      </c>
      <c r="AD52" s="2">
        <v>59.1</v>
      </c>
      <c r="AE52" s="2">
        <v>32.200000000000003</v>
      </c>
      <c r="AF52" s="2">
        <v>44.9</v>
      </c>
      <c r="AG52" s="2">
        <v>208</v>
      </c>
      <c r="AH52" s="2">
        <v>48.036951501154732</v>
      </c>
      <c r="AI52" s="2">
        <v>165</v>
      </c>
      <c r="AJ52" s="2">
        <v>40.942928039702231</v>
      </c>
      <c r="AK52" s="2">
        <v>217</v>
      </c>
      <c r="AL52" s="2">
        <v>51.058823529411768</v>
      </c>
      <c r="AM52" s="2">
        <v>208</v>
      </c>
      <c r="AN52" s="2">
        <v>46.846846846846844</v>
      </c>
      <c r="AO52" s="2">
        <v>2.1031092</v>
      </c>
      <c r="AP52" s="2">
        <v>7.0045235999999989</v>
      </c>
      <c r="AQ52">
        <f t="shared" si="9"/>
        <v>5.6790123456790127</v>
      </c>
      <c r="AR52">
        <f t="shared" si="10"/>
        <v>5.081967213114754</v>
      </c>
      <c r="AS52">
        <f t="shared" si="13"/>
        <v>2425.9209273344036</v>
      </c>
      <c r="AT52">
        <f t="shared" si="14"/>
        <v>1883.9010798575716</v>
      </c>
      <c r="AU52">
        <f t="shared" si="11"/>
        <v>1.1475409836065575</v>
      </c>
      <c r="AV52">
        <f t="shared" si="12"/>
        <v>0.30025014120874693</v>
      </c>
    </row>
    <row r="53" spans="1:48" x14ac:dyDescent="0.2">
      <c r="A53" s="3">
        <v>0</v>
      </c>
      <c r="B53" s="3">
        <v>9915</v>
      </c>
      <c r="C53" t="s">
        <v>89</v>
      </c>
      <c r="D53" t="s">
        <v>89</v>
      </c>
      <c r="E53" s="2">
        <v>35.857142857142854</v>
      </c>
      <c r="F53" s="9">
        <v>42123</v>
      </c>
      <c r="G53" s="3">
        <v>2865</v>
      </c>
      <c r="H53" s="2">
        <v>1.76</v>
      </c>
      <c r="I53" s="2">
        <v>47.5</v>
      </c>
      <c r="J53" s="2">
        <v>1.19</v>
      </c>
      <c r="K53" s="2">
        <v>2.4300000000000002</v>
      </c>
      <c r="L53" s="2">
        <v>3.18</v>
      </c>
      <c r="M53" s="2">
        <v>0.78</v>
      </c>
      <c r="N53" s="2">
        <v>15.07</v>
      </c>
      <c r="O53" s="1"/>
      <c r="P53" s="2">
        <v>3.8</v>
      </c>
      <c r="Q53" s="1"/>
      <c r="R53" s="2">
        <v>4.7</v>
      </c>
      <c r="S53" s="2">
        <v>11.3</v>
      </c>
      <c r="T53" s="2">
        <v>6.93</v>
      </c>
      <c r="U53" s="2">
        <v>11.8</v>
      </c>
      <c r="V53" s="2">
        <v>7.39</v>
      </c>
      <c r="W53" s="2">
        <v>86</v>
      </c>
      <c r="X53" s="2">
        <v>7</v>
      </c>
      <c r="Y53" s="2">
        <v>50</v>
      </c>
      <c r="Z53" s="2">
        <v>6.6</v>
      </c>
      <c r="AA53" s="1"/>
      <c r="AB53" s="1"/>
      <c r="AC53" s="2">
        <v>42.9</v>
      </c>
      <c r="AD53" s="2">
        <v>61.3</v>
      </c>
      <c r="AE53" s="2">
        <v>45.5</v>
      </c>
      <c r="AF53" s="2">
        <v>48.2</v>
      </c>
      <c r="AG53" s="2">
        <v>242</v>
      </c>
      <c r="AH53" s="2">
        <v>50.521920668058449</v>
      </c>
      <c r="AI53" s="2">
        <v>189</v>
      </c>
      <c r="AJ53" s="2">
        <v>35.261194029850742</v>
      </c>
      <c r="AK53" s="2">
        <v>154</v>
      </c>
      <c r="AL53" s="2">
        <v>34.841628959276015</v>
      </c>
      <c r="AM53" s="2">
        <v>190</v>
      </c>
      <c r="AN53" s="2">
        <v>41.575492341356671</v>
      </c>
      <c r="AO53" s="2">
        <v>4.0349627999999989</v>
      </c>
      <c r="AP53" s="2">
        <v>5.0004499999999998</v>
      </c>
      <c r="AQ53">
        <f t="shared" si="9"/>
        <v>6.1428571428571432</v>
      </c>
      <c r="AR53">
        <f t="shared" si="10"/>
        <v>3.7878787878787881</v>
      </c>
      <c r="AS53">
        <f t="shared" si="13"/>
        <v>2460.5191089918985</v>
      </c>
      <c r="AT53">
        <f t="shared" si="14"/>
        <v>1473.246260967441</v>
      </c>
      <c r="AU53">
        <f t="shared" si="11"/>
        <v>0.9576271186440678</v>
      </c>
      <c r="AV53">
        <f t="shared" si="12"/>
        <v>0.80691993720565125</v>
      </c>
    </row>
    <row r="54" spans="1:48" x14ac:dyDescent="0.2">
      <c r="A54" s="3">
        <v>0</v>
      </c>
      <c r="B54" s="3">
        <v>9909</v>
      </c>
      <c r="C54" t="s">
        <v>83</v>
      </c>
      <c r="D54" t="s">
        <v>83</v>
      </c>
      <c r="E54" s="2">
        <v>36</v>
      </c>
      <c r="F54" s="9">
        <v>42095</v>
      </c>
      <c r="G54" s="3">
        <v>2163</v>
      </c>
      <c r="H54" s="2">
        <v>1.94</v>
      </c>
      <c r="I54" s="2">
        <v>45</v>
      </c>
      <c r="J54" s="2">
        <v>1</v>
      </c>
      <c r="K54" s="2">
        <v>3.12</v>
      </c>
      <c r="L54" s="2">
        <v>2.98</v>
      </c>
      <c r="M54" s="2">
        <v>0.4</v>
      </c>
      <c r="N54" s="2">
        <v>10.61</v>
      </c>
      <c r="O54" s="1"/>
      <c r="P54" s="2">
        <v>0.77</v>
      </c>
      <c r="Q54" s="1"/>
      <c r="R54" s="2">
        <v>1.1299999999999999</v>
      </c>
      <c r="S54" s="2">
        <v>17.2</v>
      </c>
      <c r="T54" s="2">
        <v>5.0199999999999996</v>
      </c>
      <c r="U54" s="2">
        <v>15.4</v>
      </c>
      <c r="V54" s="2">
        <v>6.78</v>
      </c>
      <c r="W54" s="2">
        <v>67</v>
      </c>
      <c r="X54" s="2">
        <v>8</v>
      </c>
      <c r="Y54" s="2">
        <v>85</v>
      </c>
      <c r="Z54" s="2">
        <v>6</v>
      </c>
      <c r="AA54" s="1"/>
      <c r="AB54" s="1"/>
      <c r="AC54" s="2">
        <v>54.5</v>
      </c>
      <c r="AD54" s="2">
        <v>58.3</v>
      </c>
      <c r="AE54" s="2">
        <v>31.7</v>
      </c>
      <c r="AF54" s="2">
        <v>37.4</v>
      </c>
      <c r="AG54" s="2">
        <v>238</v>
      </c>
      <c r="AH54" s="2">
        <v>50.96359743040685</v>
      </c>
      <c r="AI54" s="2">
        <v>179</v>
      </c>
      <c r="AJ54" s="2">
        <v>40.68181818181818</v>
      </c>
      <c r="AK54" s="2">
        <v>242</v>
      </c>
      <c r="AL54" s="2">
        <v>47.173489278752434</v>
      </c>
      <c r="AM54" s="2">
        <v>200</v>
      </c>
      <c r="AN54" s="2">
        <v>41.580041580041581</v>
      </c>
      <c r="AO54" s="2">
        <v>2.8260000000000001</v>
      </c>
      <c r="AP54" s="2">
        <v>5.476160000000001</v>
      </c>
      <c r="AQ54">
        <f t="shared" si="9"/>
        <v>4.1875</v>
      </c>
      <c r="AR54">
        <f t="shared" si="10"/>
        <v>7.083333333333333</v>
      </c>
      <c r="AS54">
        <f t="shared" si="13"/>
        <v>1558.0201378672871</v>
      </c>
      <c r="AT54">
        <f t="shared" si="14"/>
        <v>2282.3726689565842</v>
      </c>
      <c r="AU54">
        <f t="shared" si="11"/>
        <v>1.1168831168831168</v>
      </c>
      <c r="AV54">
        <f t="shared" si="12"/>
        <v>0.51605504587155959</v>
      </c>
    </row>
    <row r="55" spans="1:48" x14ac:dyDescent="0.2">
      <c r="A55" s="3">
        <v>0</v>
      </c>
      <c r="B55" s="3">
        <v>9922</v>
      </c>
      <c r="C55" t="s">
        <v>96</v>
      </c>
      <c r="D55" t="s">
        <v>96</v>
      </c>
      <c r="E55" s="2">
        <v>36.142857142857146</v>
      </c>
      <c r="F55" s="9">
        <v>42333</v>
      </c>
      <c r="G55" s="3">
        <v>3303</v>
      </c>
      <c r="H55" s="2">
        <v>2.2400000000000002</v>
      </c>
      <c r="I55" s="2">
        <v>43</v>
      </c>
      <c r="J55" s="2">
        <v>0.73</v>
      </c>
      <c r="K55" s="2">
        <v>2.73</v>
      </c>
      <c r="L55" s="2">
        <v>2.67</v>
      </c>
      <c r="M55" s="2">
        <v>0.59</v>
      </c>
      <c r="N55" s="2">
        <v>20.16</v>
      </c>
      <c r="O55" s="2">
        <v>16.7</v>
      </c>
      <c r="P55" s="2">
        <v>2.57</v>
      </c>
      <c r="Q55" s="3">
        <v>17.5</v>
      </c>
      <c r="R55" s="2">
        <v>3.05</v>
      </c>
      <c r="S55" s="2">
        <v>14.2</v>
      </c>
      <c r="T55" s="2">
        <v>4.87</v>
      </c>
      <c r="U55" s="2">
        <v>15.5</v>
      </c>
      <c r="V55" s="2">
        <v>4.5</v>
      </c>
      <c r="W55" s="2">
        <v>90</v>
      </c>
      <c r="X55" s="2">
        <v>8</v>
      </c>
      <c r="Y55" s="2">
        <v>114</v>
      </c>
      <c r="Z55" s="2">
        <v>7.2</v>
      </c>
      <c r="AA55" s="1"/>
      <c r="AB55" s="1"/>
      <c r="AC55" s="2">
        <v>54.7</v>
      </c>
      <c r="AD55" s="2">
        <v>64</v>
      </c>
      <c r="AE55" s="2">
        <v>40.200000000000003</v>
      </c>
      <c r="AF55" s="2">
        <v>44.2</v>
      </c>
      <c r="AG55" s="2">
        <v>200</v>
      </c>
      <c r="AH55" s="2">
        <v>44.052863436123346</v>
      </c>
      <c r="AI55" s="2">
        <v>167</v>
      </c>
      <c r="AJ55" s="2">
        <v>40.338164251207729</v>
      </c>
      <c r="AK55" s="2">
        <v>204</v>
      </c>
      <c r="AL55" s="2">
        <v>45.739910313901348</v>
      </c>
      <c r="AM55" s="2">
        <v>186</v>
      </c>
      <c r="AN55" s="2">
        <v>41.333333333333336</v>
      </c>
      <c r="AO55" s="2">
        <v>5.9413823999999993</v>
      </c>
      <c r="AP55" s="2">
        <v>6.179520000000001</v>
      </c>
      <c r="AQ55">
        <f t="shared" si="9"/>
        <v>5.625</v>
      </c>
      <c r="AR55">
        <f t="shared" si="10"/>
        <v>7.9166666666666661</v>
      </c>
      <c r="AS55">
        <f t="shared" si="13"/>
        <v>2586.2279481901824</v>
      </c>
      <c r="AT55">
        <f t="shared" si="14"/>
        <v>3453.0899206362992</v>
      </c>
      <c r="AU55">
        <f t="shared" si="11"/>
        <v>0.91612903225806452</v>
      </c>
      <c r="AV55">
        <f t="shared" si="12"/>
        <v>0.96146341463414609</v>
      </c>
    </row>
    <row r="56" spans="1:48" x14ac:dyDescent="0.2">
      <c r="A56" s="3">
        <v>0</v>
      </c>
      <c r="B56" s="3">
        <v>9925</v>
      </c>
      <c r="C56" t="s">
        <v>99</v>
      </c>
      <c r="D56" t="s">
        <v>99</v>
      </c>
      <c r="E56" s="2">
        <v>36.571428571428569</v>
      </c>
      <c r="F56" s="9">
        <v>42334</v>
      </c>
      <c r="G56" s="3">
        <v>2661</v>
      </c>
      <c r="H56" s="2">
        <v>2.0699999999999998</v>
      </c>
      <c r="I56" s="2">
        <v>64.5</v>
      </c>
      <c r="J56" s="2">
        <v>0.71</v>
      </c>
      <c r="K56" s="2">
        <v>2.9</v>
      </c>
      <c r="L56" s="2">
        <v>3.09</v>
      </c>
      <c r="M56" s="2">
        <v>0.67</v>
      </c>
      <c r="N56" s="2">
        <v>12.6</v>
      </c>
      <c r="O56" s="2">
        <v>12.8</v>
      </c>
      <c r="P56" s="2">
        <v>1.55</v>
      </c>
      <c r="Q56" s="3">
        <v>18</v>
      </c>
      <c r="R56" s="2">
        <v>2.41</v>
      </c>
      <c r="S56" s="2">
        <v>13.9</v>
      </c>
      <c r="T56" s="2">
        <v>2.79</v>
      </c>
      <c r="U56" s="2">
        <v>16.5</v>
      </c>
      <c r="V56" s="2">
        <v>3.6</v>
      </c>
      <c r="W56" s="2">
        <v>83</v>
      </c>
      <c r="X56" s="2">
        <v>6.9</v>
      </c>
      <c r="Y56" s="2">
        <v>85</v>
      </c>
      <c r="Z56" s="2">
        <v>7.5</v>
      </c>
      <c r="AA56" s="1"/>
      <c r="AB56" s="1"/>
      <c r="AC56" s="2">
        <v>54.6</v>
      </c>
      <c r="AD56" s="2">
        <v>72.8</v>
      </c>
      <c r="AE56" s="2">
        <v>32.5</v>
      </c>
      <c r="AF56" s="2">
        <v>44.3</v>
      </c>
      <c r="AG56" s="2">
        <v>204</v>
      </c>
      <c r="AH56" s="2">
        <v>44.060475161987043</v>
      </c>
      <c r="AI56" s="2">
        <v>173</v>
      </c>
      <c r="AJ56" s="2">
        <v>40.420560747663551</v>
      </c>
      <c r="AK56" s="2">
        <v>192</v>
      </c>
      <c r="AL56" s="2">
        <v>41.921397379912662</v>
      </c>
      <c r="AM56" s="2">
        <v>180</v>
      </c>
      <c r="AN56" s="2">
        <v>43.165467625899282</v>
      </c>
      <c r="AO56" s="2">
        <v>4.7688750000000004</v>
      </c>
      <c r="AP56" s="2">
        <v>4.1111235000000006</v>
      </c>
      <c r="AQ56">
        <f t="shared" si="9"/>
        <v>6.0144927536231885</v>
      </c>
      <c r="AR56">
        <f t="shared" si="10"/>
        <v>5.666666666666667</v>
      </c>
      <c r="AS56">
        <f t="shared" si="13"/>
        <v>2305.1064296847362</v>
      </c>
      <c r="AT56">
        <f t="shared" si="14"/>
        <v>2264.2570525450506</v>
      </c>
      <c r="AU56">
        <f t="shared" si="11"/>
        <v>0.84242424242424241</v>
      </c>
      <c r="AV56">
        <f t="shared" si="12"/>
        <v>1.1599931259666609</v>
      </c>
    </row>
    <row r="57" spans="1:48" x14ac:dyDescent="0.2">
      <c r="A57" s="3">
        <v>0</v>
      </c>
      <c r="B57" s="3">
        <v>9910</v>
      </c>
      <c r="C57" t="s">
        <v>84</v>
      </c>
      <c r="D57" t="s">
        <v>84</v>
      </c>
      <c r="E57" s="2">
        <v>36.714285714285715</v>
      </c>
      <c r="F57" s="9">
        <v>42323</v>
      </c>
      <c r="G57" s="3">
        <v>3199</v>
      </c>
      <c r="H57" s="2">
        <v>2.13</v>
      </c>
      <c r="I57" s="2">
        <v>56</v>
      </c>
      <c r="J57" s="2">
        <v>0.97</v>
      </c>
      <c r="K57" s="2">
        <v>3.09</v>
      </c>
      <c r="L57" s="2">
        <v>2.85</v>
      </c>
      <c r="M57" s="2">
        <v>0.51</v>
      </c>
      <c r="N57" s="2">
        <v>16.399999999999999</v>
      </c>
      <c r="O57" s="2">
        <v>16</v>
      </c>
      <c r="P57" s="2">
        <v>2.4</v>
      </c>
      <c r="Q57" s="3">
        <v>22.49</v>
      </c>
      <c r="R57" s="2">
        <v>3.31</v>
      </c>
      <c r="S57" s="2">
        <v>9.5</v>
      </c>
      <c r="T57" s="2">
        <v>4.12</v>
      </c>
      <c r="U57" s="2">
        <v>12.8</v>
      </c>
      <c r="V57" s="2">
        <v>4.29</v>
      </c>
      <c r="W57" s="2">
        <v>73</v>
      </c>
      <c r="X57" s="2">
        <v>7.7</v>
      </c>
      <c r="Y57" s="2">
        <v>98</v>
      </c>
      <c r="Z57" s="2">
        <v>7.5</v>
      </c>
      <c r="AA57" s="1"/>
      <c r="AB57" s="1"/>
      <c r="AC57" s="2">
        <v>36.1</v>
      </c>
      <c r="AD57" s="2">
        <v>49.4</v>
      </c>
      <c r="AE57" s="2">
        <v>29.8</v>
      </c>
      <c r="AF57" s="2">
        <v>32.299999999999997</v>
      </c>
      <c r="AG57" s="2">
        <v>196</v>
      </c>
      <c r="AH57" s="2">
        <v>43.946188340807176</v>
      </c>
      <c r="AI57" s="2">
        <v>195</v>
      </c>
      <c r="AJ57" s="2">
        <v>41.666666666666671</v>
      </c>
      <c r="AK57" s="2">
        <v>178</v>
      </c>
      <c r="AL57" s="2">
        <v>38.864628820960704</v>
      </c>
      <c r="AM57" s="2">
        <v>179</v>
      </c>
      <c r="AN57" s="2">
        <v>40.497737556561084</v>
      </c>
      <c r="AO57" s="2">
        <v>5.1662812499999999</v>
      </c>
      <c r="AP57" s="2">
        <v>5.2593194500000005</v>
      </c>
      <c r="AQ57">
        <f t="shared" si="9"/>
        <v>4.7402597402597397</v>
      </c>
      <c r="AR57">
        <f t="shared" si="10"/>
        <v>6.5333333333333332</v>
      </c>
      <c r="AS57">
        <f t="shared" si="13"/>
        <v>2104.2610449881317</v>
      </c>
      <c r="AT57">
        <f t="shared" si="14"/>
        <v>2862.3158921870704</v>
      </c>
      <c r="AU57">
        <f t="shared" si="11"/>
        <v>0.7421875</v>
      </c>
      <c r="AV57">
        <f t="shared" si="12"/>
        <v>0.98230984048706138</v>
      </c>
    </row>
    <row r="58" spans="1:48" x14ac:dyDescent="0.2">
      <c r="A58" s="3">
        <v>0</v>
      </c>
      <c r="B58" s="3">
        <v>1150</v>
      </c>
      <c r="C58" t="s">
        <v>71</v>
      </c>
      <c r="E58" s="2">
        <v>36.714285714285715</v>
      </c>
      <c r="F58" s="9">
        <v>42796</v>
      </c>
      <c r="G58" s="3">
        <v>3230</v>
      </c>
      <c r="H58" s="1"/>
      <c r="I58" s="2">
        <v>60</v>
      </c>
      <c r="J58" s="1"/>
      <c r="K58" s="2">
        <v>2.2000000000000002</v>
      </c>
      <c r="L58" s="2">
        <v>2.97</v>
      </c>
      <c r="M58" s="2">
        <v>0.68</v>
      </c>
      <c r="N58" s="2">
        <v>14.73</v>
      </c>
      <c r="O58" s="2">
        <v>14.7</v>
      </c>
      <c r="P58" s="2">
        <v>2.48</v>
      </c>
      <c r="Q58" s="3">
        <v>18.5</v>
      </c>
      <c r="R58" s="2">
        <v>2.27</v>
      </c>
      <c r="S58" s="2">
        <v>12.8</v>
      </c>
      <c r="T58" s="2">
        <v>3.2</v>
      </c>
      <c r="U58" s="2">
        <v>15.5</v>
      </c>
      <c r="V58" s="2">
        <v>2.91</v>
      </c>
      <c r="W58" s="2">
        <v>66</v>
      </c>
      <c r="X58" s="2">
        <v>6.5</v>
      </c>
      <c r="Y58" s="2">
        <v>75</v>
      </c>
      <c r="Z58" s="2">
        <v>5.5</v>
      </c>
      <c r="AA58" s="1"/>
      <c r="AB58" s="1"/>
      <c r="AC58" s="1"/>
      <c r="AD58" s="1"/>
      <c r="AE58" s="1"/>
      <c r="AF58" s="1"/>
      <c r="AG58" s="2">
        <v>190.66666666666666</v>
      </c>
      <c r="AH58" s="2">
        <v>44.204018547140649</v>
      </c>
      <c r="AI58" s="2">
        <v>165</v>
      </c>
      <c r="AJ58" s="2">
        <v>36.10503282275711</v>
      </c>
      <c r="AK58" s="2">
        <v>186.66666666666666</v>
      </c>
      <c r="AL58" s="2">
        <v>41.297935103244839</v>
      </c>
      <c r="AM58" s="2">
        <v>198</v>
      </c>
      <c r="AN58" s="2">
        <v>45.657186779400462</v>
      </c>
      <c r="AO58" s="1"/>
      <c r="AP58" s="1"/>
      <c r="AQ58">
        <f t="shared" si="9"/>
        <v>5.0769230769230766</v>
      </c>
      <c r="AR58">
        <f t="shared" si="10"/>
        <v>6.8181818181818183</v>
      </c>
      <c r="AS58">
        <f t="shared" si="13"/>
        <v>2080.6714892442405</v>
      </c>
      <c r="AT58">
        <f t="shared" si="14"/>
        <v>2570.3731600330293</v>
      </c>
      <c r="AU58">
        <f t="shared" si="11"/>
        <v>0.82580645161290323</v>
      </c>
    </row>
    <row r="59" spans="1:48" x14ac:dyDescent="0.2">
      <c r="A59" s="3">
        <v>0</v>
      </c>
      <c r="B59" s="3">
        <v>2065</v>
      </c>
      <c r="C59" t="s">
        <v>65</v>
      </c>
      <c r="E59" s="2">
        <v>36.714285714285715</v>
      </c>
      <c r="F59" s="9">
        <v>42796</v>
      </c>
      <c r="G59" s="3">
        <v>3429</v>
      </c>
      <c r="H59" s="2">
        <v>1.93</v>
      </c>
      <c r="I59" s="2">
        <v>58</v>
      </c>
      <c r="J59" s="2">
        <v>0.98</v>
      </c>
      <c r="K59" s="2">
        <v>3.42</v>
      </c>
      <c r="L59" s="2">
        <v>2.71</v>
      </c>
      <c r="M59" s="1"/>
      <c r="N59" s="2">
        <v>17.920000000000002</v>
      </c>
      <c r="O59" s="2">
        <v>15.7</v>
      </c>
      <c r="P59" s="2">
        <v>2.1800000000000002</v>
      </c>
      <c r="Q59" s="3">
        <v>18.600000000000001</v>
      </c>
      <c r="R59" s="2">
        <v>2.7</v>
      </c>
      <c r="S59" s="2">
        <v>15.4</v>
      </c>
      <c r="T59" s="2">
        <v>4</v>
      </c>
      <c r="U59" s="2">
        <v>14.7</v>
      </c>
      <c r="V59" s="2">
        <v>3.69</v>
      </c>
      <c r="W59" s="2">
        <v>84</v>
      </c>
      <c r="X59" s="2">
        <v>7</v>
      </c>
      <c r="Y59" s="2">
        <v>78</v>
      </c>
      <c r="Z59" s="2">
        <v>8.3000000000000007</v>
      </c>
      <c r="AA59" s="1"/>
      <c r="AB59" s="1"/>
      <c r="AC59" s="1"/>
      <c r="AD59" s="1"/>
      <c r="AE59" s="2">
        <v>32.1</v>
      </c>
      <c r="AF59" s="2">
        <v>46.5</v>
      </c>
      <c r="AG59" s="2">
        <v>145.33333333333334</v>
      </c>
      <c r="AH59" s="2">
        <v>38.111888111888113</v>
      </c>
      <c r="AI59" s="2">
        <v>161.33333333333334</v>
      </c>
      <c r="AJ59" s="2">
        <v>45.318352059925097</v>
      </c>
      <c r="AK59" s="2">
        <v>153.33333333333334</v>
      </c>
      <c r="AL59" s="2">
        <v>39.249146757679185</v>
      </c>
      <c r="AM59" s="2">
        <v>145.66666666666666</v>
      </c>
      <c r="AN59" s="2">
        <v>44.410569105691053</v>
      </c>
      <c r="AO59" s="2">
        <v>4.4344492999999998</v>
      </c>
      <c r="AP59" s="2">
        <v>2.7310149999999997</v>
      </c>
      <c r="AQ59">
        <f t="shared" si="9"/>
        <v>6</v>
      </c>
      <c r="AR59">
        <f t="shared" si="10"/>
        <v>4.6987951807228914</v>
      </c>
      <c r="AS59">
        <f t="shared" si="13"/>
        <v>2629.232587657471</v>
      </c>
      <c r="AT59">
        <f t="shared" si="14"/>
        <v>2242.096480195717</v>
      </c>
      <c r="AU59">
        <f t="shared" si="11"/>
        <v>1.0476190476190477</v>
      </c>
      <c r="AV59">
        <f>AO59/AP59</f>
        <v>1.6237367059499856</v>
      </c>
    </row>
    <row r="60" spans="1:48" x14ac:dyDescent="0.2">
      <c r="A60" s="3">
        <v>0</v>
      </c>
      <c r="B60" s="3">
        <v>9919</v>
      </c>
      <c r="C60" t="s">
        <v>93</v>
      </c>
      <c r="D60" t="s">
        <v>93</v>
      </c>
      <c r="E60" s="2">
        <v>37.714285714285715</v>
      </c>
      <c r="F60" s="9">
        <v>42459</v>
      </c>
      <c r="G60" s="3">
        <v>3003</v>
      </c>
      <c r="H60" s="2">
        <v>1.49</v>
      </c>
      <c r="I60" s="2">
        <v>56.1</v>
      </c>
      <c r="J60" s="2">
        <v>0.61</v>
      </c>
      <c r="K60" s="2">
        <v>3.17</v>
      </c>
      <c r="L60" s="2">
        <v>2.75</v>
      </c>
      <c r="M60" s="2">
        <v>0.39</v>
      </c>
      <c r="N60" s="2">
        <v>16.350000000000001</v>
      </c>
      <c r="O60" s="2">
        <v>12.9</v>
      </c>
      <c r="P60" s="2">
        <v>2.0499999999999998</v>
      </c>
      <c r="Q60" s="3">
        <v>18.399999999999999</v>
      </c>
      <c r="R60" s="2">
        <v>3.27</v>
      </c>
      <c r="S60" s="2">
        <v>14</v>
      </c>
      <c r="T60" s="2">
        <v>3.83</v>
      </c>
      <c r="U60" s="2">
        <v>15</v>
      </c>
      <c r="V60" s="2">
        <v>4.6399999999999997</v>
      </c>
      <c r="W60" s="2">
        <v>89</v>
      </c>
      <c r="X60" s="2">
        <v>5.4</v>
      </c>
      <c r="Y60" s="2">
        <v>104</v>
      </c>
      <c r="Z60" s="2">
        <v>7.8</v>
      </c>
      <c r="AA60" s="1"/>
      <c r="AB60" s="1"/>
      <c r="AC60" s="2">
        <v>46.8</v>
      </c>
      <c r="AD60" s="2">
        <v>69.900000000000006</v>
      </c>
      <c r="AE60" s="2">
        <v>33</v>
      </c>
      <c r="AF60" s="2">
        <v>52.8</v>
      </c>
      <c r="AG60" s="2">
        <v>195</v>
      </c>
      <c r="AH60" s="2">
        <v>46.428571428571431</v>
      </c>
      <c r="AI60" s="2">
        <v>153</v>
      </c>
      <c r="AJ60" s="2">
        <v>39.331619537275067</v>
      </c>
      <c r="AK60" s="2">
        <v>223</v>
      </c>
      <c r="AL60" s="2">
        <v>54.52322738386308</v>
      </c>
      <c r="AM60" s="2">
        <v>161</v>
      </c>
      <c r="AN60" s="2">
        <v>41.388174807197942</v>
      </c>
      <c r="AO60" s="2">
        <v>5.3968122000000012</v>
      </c>
      <c r="AP60" s="2">
        <v>2.4492942000000002</v>
      </c>
      <c r="AQ60">
        <f t="shared" si="9"/>
        <v>8.2407407407407405</v>
      </c>
      <c r="AR60">
        <f t="shared" si="10"/>
        <v>6.666666666666667</v>
      </c>
      <c r="AS60">
        <f t="shared" si="13"/>
        <v>2968.1496293519676</v>
      </c>
      <c r="AT60">
        <f t="shared" si="14"/>
        <v>2885.882880506414</v>
      </c>
      <c r="AU60">
        <f t="shared" si="11"/>
        <v>0.93333333333333335</v>
      </c>
      <c r="AV60">
        <f>AO60/AP60</f>
        <v>2.2034152532594904</v>
      </c>
    </row>
    <row r="61" spans="1:48" x14ac:dyDescent="0.2">
      <c r="A61" s="3">
        <v>0</v>
      </c>
      <c r="B61" s="3">
        <v>9912</v>
      </c>
      <c r="C61" t="s">
        <v>86</v>
      </c>
      <c r="D61" t="s">
        <v>86</v>
      </c>
      <c r="E61" s="2">
        <v>38.285714285714285</v>
      </c>
      <c r="F61" s="9">
        <v>42459</v>
      </c>
      <c r="G61" s="3">
        <v>3224</v>
      </c>
      <c r="H61" s="2">
        <v>1.52</v>
      </c>
      <c r="I61" s="2">
        <v>71</v>
      </c>
      <c r="J61" s="2">
        <v>0.87</v>
      </c>
      <c r="K61" s="2">
        <v>2.87</v>
      </c>
      <c r="L61" s="2">
        <v>2.2999999999999998</v>
      </c>
      <c r="M61" s="2">
        <v>0.37</v>
      </c>
      <c r="N61" s="2">
        <v>16.309999999999999</v>
      </c>
      <c r="O61" s="2">
        <v>15.4</v>
      </c>
      <c r="P61" s="2">
        <v>2.12</v>
      </c>
      <c r="Q61" s="3">
        <v>15.1</v>
      </c>
      <c r="R61" s="2">
        <v>2.58</v>
      </c>
      <c r="S61" s="2">
        <v>14</v>
      </c>
      <c r="T61" s="2">
        <v>3.31</v>
      </c>
      <c r="U61" s="2">
        <v>18.899999999999999</v>
      </c>
      <c r="V61" s="2">
        <v>5.49</v>
      </c>
      <c r="W61" s="2">
        <v>72</v>
      </c>
      <c r="X61" s="2">
        <v>7.3</v>
      </c>
      <c r="Y61" s="2">
        <v>94</v>
      </c>
      <c r="Z61" s="2">
        <v>6.2</v>
      </c>
      <c r="AA61" s="1"/>
      <c r="AB61" s="1"/>
      <c r="AC61" s="2">
        <v>51.3</v>
      </c>
      <c r="AD61" s="2">
        <v>62.7</v>
      </c>
      <c r="AE61" s="2">
        <v>35.299999999999997</v>
      </c>
      <c r="AF61" s="2">
        <v>46.9</v>
      </c>
      <c r="AG61" s="2">
        <v>200</v>
      </c>
      <c r="AH61" s="2">
        <v>46.403712296983755</v>
      </c>
      <c r="AI61" s="2">
        <v>172</v>
      </c>
      <c r="AJ61" s="2">
        <v>41.050119331742238</v>
      </c>
      <c r="AK61" s="2">
        <v>181</v>
      </c>
      <c r="AL61" s="2">
        <v>43.405275779376502</v>
      </c>
      <c r="AM61" s="2">
        <v>172</v>
      </c>
      <c r="AN61" s="2">
        <v>48.314606741573037</v>
      </c>
      <c r="AO61" s="2">
        <v>3.4098202000000004</v>
      </c>
      <c r="AP61" s="2">
        <v>3.1792813999999994</v>
      </c>
      <c r="AQ61">
        <f t="shared" si="9"/>
        <v>4.9315068493150687</v>
      </c>
      <c r="AR61">
        <f t="shared" si="10"/>
        <v>7.5806451612903221</v>
      </c>
      <c r="AS61">
        <f t="shared" si="13"/>
        <v>2139.8512302660747</v>
      </c>
      <c r="AT61">
        <f t="shared" si="14"/>
        <v>3031.4089133602547</v>
      </c>
      <c r="AU61">
        <f t="shared" si="11"/>
        <v>0.74074074074074081</v>
      </c>
      <c r="AV61">
        <f>AO61/AP61</f>
        <v>1.0725128640704786</v>
      </c>
    </row>
    <row r="62" spans="1:48" x14ac:dyDescent="0.2">
      <c r="A62" s="6" t="s">
        <v>101</v>
      </c>
      <c r="H62" s="5">
        <f t="shared" ref="H62:AT62" si="15">AVERAGE(H2:H61)</f>
        <v>2.0094339622641511</v>
      </c>
      <c r="I62" s="5">
        <f t="shared" si="15"/>
        <v>49.479629629629635</v>
      </c>
      <c r="J62" s="5">
        <f t="shared" si="15"/>
        <v>1.0137735849056599</v>
      </c>
      <c r="K62" s="5">
        <f t="shared" si="15"/>
        <v>2.7278947368421047</v>
      </c>
      <c r="L62" s="5">
        <f t="shared" si="15"/>
        <v>2.6024137931034477</v>
      </c>
      <c r="M62" s="5">
        <f t="shared" si="15"/>
        <v>0.52660714285714294</v>
      </c>
      <c r="N62" s="5">
        <f t="shared" si="15"/>
        <v>11.610000000000001</v>
      </c>
      <c r="O62" s="5">
        <f t="shared" si="15"/>
        <v>13.008085106382982</v>
      </c>
      <c r="P62" s="5">
        <f t="shared" si="15"/>
        <v>1.7436842105263157</v>
      </c>
      <c r="Q62" s="5">
        <f t="shared" si="15"/>
        <v>15.363617021276594</v>
      </c>
      <c r="R62" s="5">
        <f t="shared" si="15"/>
        <v>1.9701754385964911</v>
      </c>
      <c r="S62" s="5">
        <f t="shared" si="15"/>
        <v>12.040677966101695</v>
      </c>
      <c r="T62" s="5">
        <f t="shared" si="15"/>
        <v>2.8108928571428575</v>
      </c>
      <c r="U62" s="5">
        <f t="shared" si="15"/>
        <v>12.77966101694915</v>
      </c>
      <c r="V62" s="5">
        <f t="shared" si="15"/>
        <v>2.8759649122807009</v>
      </c>
      <c r="W62" s="5">
        <f t="shared" si="15"/>
        <v>70.151228070175435</v>
      </c>
      <c r="X62" s="5">
        <f t="shared" si="15"/>
        <v>6.4815517241379306</v>
      </c>
      <c r="Y62" s="5">
        <f t="shared" si="15"/>
        <v>82.645964912280718</v>
      </c>
      <c r="Z62" s="5">
        <f t="shared" si="15"/>
        <v>5.788474576271188</v>
      </c>
      <c r="AA62" s="5">
        <f t="shared" si="15"/>
        <v>5.1062500000000002</v>
      </c>
      <c r="AB62" s="5">
        <f t="shared" si="15"/>
        <v>4.2488888888888887</v>
      </c>
      <c r="AC62" s="5">
        <f t="shared" si="15"/>
        <v>44.054545454545455</v>
      </c>
      <c r="AD62" s="5">
        <f t="shared" si="15"/>
        <v>56.425454545454556</v>
      </c>
      <c r="AE62" s="5">
        <f t="shared" si="15"/>
        <v>38.177777777777784</v>
      </c>
      <c r="AF62" s="5">
        <f t="shared" si="15"/>
        <v>47.274074074074086</v>
      </c>
      <c r="AG62" s="5">
        <f t="shared" si="15"/>
        <v>187.99435028248587</v>
      </c>
      <c r="AH62" s="5">
        <f t="shared" si="15"/>
        <v>43.525699320513169</v>
      </c>
      <c r="AI62" s="5">
        <f t="shared" si="15"/>
        <v>175.90229885057471</v>
      </c>
      <c r="AJ62" s="5">
        <f t="shared" si="15"/>
        <v>41.453588328786431</v>
      </c>
      <c r="AK62" s="5">
        <f t="shared" si="15"/>
        <v>186.63841807909606</v>
      </c>
      <c r="AL62" s="5">
        <f t="shared" si="15"/>
        <v>43.125720691600421</v>
      </c>
      <c r="AM62" s="5">
        <f t="shared" si="15"/>
        <v>182.81871345029236</v>
      </c>
      <c r="AN62" s="5">
        <f t="shared" si="15"/>
        <v>42.884170840962895</v>
      </c>
      <c r="AO62" s="5">
        <f t="shared" si="15"/>
        <v>2.941413822872728</v>
      </c>
      <c r="AP62" s="5">
        <f t="shared" si="15"/>
        <v>3.5970226492884616</v>
      </c>
      <c r="AQ62" s="5">
        <f t="shared" si="15"/>
        <v>5.6492238787837064</v>
      </c>
      <c r="AR62" s="5">
        <f t="shared" si="15"/>
        <v>7.4490126705003714</v>
      </c>
      <c r="AS62" s="5">
        <f t="shared" si="15"/>
        <v>1800.9216922829823</v>
      </c>
      <c r="AT62" s="5">
        <f t="shared" si="15"/>
        <v>2221.6532106404566</v>
      </c>
    </row>
    <row r="63" spans="1:48" x14ac:dyDescent="0.2">
      <c r="A63" s="6" t="s">
        <v>102</v>
      </c>
      <c r="H63" s="5">
        <f t="shared" ref="H63:AT63" si="16">MAX(H2:H61)</f>
        <v>2.89</v>
      </c>
      <c r="I63" s="5">
        <f t="shared" si="16"/>
        <v>73</v>
      </c>
      <c r="J63" s="5">
        <f t="shared" si="16"/>
        <v>1.52</v>
      </c>
      <c r="K63" s="5">
        <f t="shared" si="16"/>
        <v>3.92</v>
      </c>
      <c r="L63" s="5">
        <f t="shared" si="16"/>
        <v>3.74</v>
      </c>
      <c r="M63" s="5">
        <f t="shared" si="16"/>
        <v>0.99</v>
      </c>
      <c r="N63" s="5">
        <f t="shared" si="16"/>
        <v>20.16</v>
      </c>
      <c r="O63" s="5">
        <f t="shared" si="16"/>
        <v>16.7</v>
      </c>
      <c r="P63" s="5">
        <f t="shared" si="16"/>
        <v>3.8</v>
      </c>
      <c r="Q63" s="5">
        <f t="shared" si="16"/>
        <v>22.49</v>
      </c>
      <c r="R63" s="5">
        <f t="shared" si="16"/>
        <v>4.7</v>
      </c>
      <c r="S63" s="5">
        <f t="shared" si="16"/>
        <v>17.2</v>
      </c>
      <c r="T63" s="5">
        <f t="shared" si="16"/>
        <v>6.93</v>
      </c>
      <c r="U63" s="5">
        <f t="shared" si="16"/>
        <v>18.899999999999999</v>
      </c>
      <c r="V63" s="5">
        <f t="shared" si="16"/>
        <v>7.39</v>
      </c>
      <c r="W63" s="5">
        <f t="shared" si="16"/>
        <v>105</v>
      </c>
      <c r="X63" s="5">
        <f t="shared" si="16"/>
        <v>11.13</v>
      </c>
      <c r="Y63" s="5">
        <f t="shared" si="16"/>
        <v>116</v>
      </c>
      <c r="Z63" s="5">
        <f t="shared" si="16"/>
        <v>8.3000000000000007</v>
      </c>
      <c r="AA63" s="5">
        <f t="shared" si="16"/>
        <v>7.34</v>
      </c>
      <c r="AB63" s="5">
        <f t="shared" si="16"/>
        <v>5.56</v>
      </c>
      <c r="AC63" s="5">
        <f t="shared" si="16"/>
        <v>76</v>
      </c>
      <c r="AD63" s="5">
        <f t="shared" si="16"/>
        <v>77.599999999999994</v>
      </c>
      <c r="AE63" s="5">
        <f t="shared" si="16"/>
        <v>74</v>
      </c>
      <c r="AF63" s="5">
        <f t="shared" si="16"/>
        <v>72</v>
      </c>
      <c r="AG63" s="5">
        <f t="shared" si="16"/>
        <v>263</v>
      </c>
      <c r="AH63" s="5">
        <f t="shared" si="16"/>
        <v>54.921803127874888</v>
      </c>
      <c r="AI63" s="5">
        <f t="shared" si="16"/>
        <v>257.33333333333331</v>
      </c>
      <c r="AJ63" s="5">
        <f t="shared" si="16"/>
        <v>66.380051590713663</v>
      </c>
      <c r="AK63" s="5">
        <f t="shared" si="16"/>
        <v>638.66666666666663</v>
      </c>
      <c r="AL63" s="5">
        <f t="shared" si="16"/>
        <v>154.51612903225808</v>
      </c>
      <c r="AM63" s="5">
        <f t="shared" si="16"/>
        <v>208</v>
      </c>
      <c r="AN63" s="5">
        <f t="shared" si="16"/>
        <v>51.413881748071979</v>
      </c>
      <c r="AO63" s="5">
        <f t="shared" si="16"/>
        <v>5.9413823999999993</v>
      </c>
      <c r="AP63" s="5">
        <f t="shared" si="16"/>
        <v>11.863690713</v>
      </c>
      <c r="AQ63" s="5">
        <f t="shared" si="16"/>
        <v>11.666666666666666</v>
      </c>
      <c r="AR63" s="5">
        <f t="shared" si="16"/>
        <v>13.714285714285714</v>
      </c>
      <c r="AS63" s="5">
        <f t="shared" si="16"/>
        <v>2968.1496293519676</v>
      </c>
      <c r="AT63" s="5">
        <f t="shared" si="16"/>
        <v>3453.0899206362992</v>
      </c>
    </row>
    <row r="64" spans="1:48" x14ac:dyDescent="0.2">
      <c r="A64" s="6" t="s">
        <v>103</v>
      </c>
      <c r="H64" s="5">
        <f t="shared" ref="H64:AT64" si="17">MIN(H2:H61)</f>
        <v>1.1299999999999999</v>
      </c>
      <c r="I64" s="5">
        <f t="shared" si="17"/>
        <v>25</v>
      </c>
      <c r="J64" s="5">
        <f t="shared" si="17"/>
        <v>0.61</v>
      </c>
      <c r="K64" s="5">
        <f t="shared" si="17"/>
        <v>2.0699999999999998</v>
      </c>
      <c r="L64" s="5">
        <f t="shared" si="17"/>
        <v>1.99</v>
      </c>
      <c r="M64" s="5">
        <f t="shared" si="17"/>
        <v>0.28999999999999998</v>
      </c>
      <c r="N64" s="5">
        <f t="shared" si="17"/>
        <v>5.24</v>
      </c>
      <c r="O64" s="5">
        <f t="shared" si="17"/>
        <v>9.2799999999999994</v>
      </c>
      <c r="P64" s="5">
        <f t="shared" si="17"/>
        <v>0.77</v>
      </c>
      <c r="Q64" s="5">
        <f t="shared" si="17"/>
        <v>9.1</v>
      </c>
      <c r="R64" s="5">
        <f t="shared" si="17"/>
        <v>0.55000000000000004</v>
      </c>
      <c r="S64" s="5">
        <f t="shared" si="17"/>
        <v>6.9</v>
      </c>
      <c r="T64" s="5">
        <f t="shared" si="17"/>
        <v>0.99</v>
      </c>
      <c r="U64" s="5">
        <f t="shared" si="17"/>
        <v>6.4</v>
      </c>
      <c r="V64" s="5">
        <f t="shared" si="17"/>
        <v>0.95</v>
      </c>
      <c r="W64" s="5">
        <f t="shared" si="17"/>
        <v>7.42</v>
      </c>
      <c r="X64" s="5">
        <f t="shared" si="17"/>
        <v>3.9</v>
      </c>
      <c r="Y64" s="5">
        <f t="shared" si="17"/>
        <v>7.42</v>
      </c>
      <c r="Z64" s="5">
        <f t="shared" si="17"/>
        <v>3.5</v>
      </c>
      <c r="AA64" s="5">
        <f t="shared" si="17"/>
        <v>4.4000000000000004</v>
      </c>
      <c r="AB64" s="5">
        <f t="shared" si="17"/>
        <v>3.2</v>
      </c>
      <c r="AC64" s="5">
        <f t="shared" si="17"/>
        <v>30</v>
      </c>
      <c r="AD64" s="5">
        <f t="shared" si="17"/>
        <v>36</v>
      </c>
      <c r="AE64" s="5">
        <f t="shared" si="17"/>
        <v>26.9</v>
      </c>
      <c r="AF64" s="5">
        <f t="shared" si="17"/>
        <v>4</v>
      </c>
      <c r="AG64" s="5">
        <f t="shared" si="17"/>
        <v>106.66666666666667</v>
      </c>
      <c r="AH64" s="5">
        <f t="shared" si="17"/>
        <v>30.217186024551463</v>
      </c>
      <c r="AI64" s="5">
        <f t="shared" si="17"/>
        <v>133</v>
      </c>
      <c r="AJ64" s="5">
        <f t="shared" si="17"/>
        <v>34.004474272930651</v>
      </c>
      <c r="AK64" s="5">
        <f t="shared" si="17"/>
        <v>111.66666666666667</v>
      </c>
      <c r="AL64" s="5">
        <f t="shared" si="17"/>
        <v>30.044843049327351</v>
      </c>
      <c r="AM64" s="5">
        <f t="shared" si="17"/>
        <v>145.66666666666666</v>
      </c>
      <c r="AN64" s="5">
        <f t="shared" si="17"/>
        <v>35.442176870748298</v>
      </c>
      <c r="AO64" s="5">
        <f t="shared" si="17"/>
        <v>0.97208748000000023</v>
      </c>
      <c r="AP64" s="5">
        <f t="shared" si="17"/>
        <v>1.0626466500000002</v>
      </c>
      <c r="AQ64" s="5">
        <f t="shared" si="17"/>
        <v>0.33333333333333331</v>
      </c>
      <c r="AR64" s="5">
        <f t="shared" si="17"/>
        <v>0.46843434343434343</v>
      </c>
      <c r="AS64" s="5">
        <f t="shared" si="17"/>
        <v>161.15210206509872</v>
      </c>
      <c r="AT64" s="5">
        <f t="shared" si="17"/>
        <v>191.0385293519862</v>
      </c>
    </row>
  </sheetData>
  <sortState xmlns:xlrd2="http://schemas.microsoft.com/office/spreadsheetml/2017/richdata2" ref="A2:AV64">
    <sortCondition ref="E2:E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54E5-5EC8-DD45-92F4-CB319141F7D3}">
  <dimension ref="A1:AD14"/>
  <sheetViews>
    <sheetView tabSelected="1" zoomScale="172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W18" sqref="W18"/>
    </sheetView>
  </sheetViews>
  <sheetFormatPr baseColWidth="10" defaultRowHeight="15" x14ac:dyDescent="0.2"/>
  <cols>
    <col min="8" max="8" width="11" bestFit="1" customWidth="1"/>
    <col min="9" max="9" width="11.6640625" bestFit="1" customWidth="1"/>
  </cols>
  <sheetData>
    <row r="1" spans="1:30" x14ac:dyDescent="0.2">
      <c r="A1" s="4" t="s">
        <v>112</v>
      </c>
      <c r="B1" s="4" t="s">
        <v>4</v>
      </c>
      <c r="C1" s="4" t="s">
        <v>108</v>
      </c>
      <c r="D1" s="4" t="s">
        <v>5</v>
      </c>
      <c r="E1" s="4" t="s">
        <v>117</v>
      </c>
      <c r="F1" s="4" t="s">
        <v>123</v>
      </c>
      <c r="G1" s="4" t="s">
        <v>124</v>
      </c>
      <c r="H1" s="4" t="s">
        <v>125</v>
      </c>
      <c r="I1" s="4" t="s">
        <v>126</v>
      </c>
      <c r="J1" s="4" t="s">
        <v>127</v>
      </c>
      <c r="K1" s="4" t="s">
        <v>128</v>
      </c>
      <c r="L1" s="12" t="s">
        <v>109</v>
      </c>
      <c r="M1" s="12" t="s">
        <v>110</v>
      </c>
      <c r="N1" s="12" t="s">
        <v>142</v>
      </c>
      <c r="O1" s="12" t="s">
        <v>143</v>
      </c>
      <c r="P1" s="12" t="s">
        <v>144</v>
      </c>
      <c r="Q1" s="12" t="s">
        <v>145</v>
      </c>
      <c r="R1" s="12" t="s">
        <v>111</v>
      </c>
      <c r="S1" s="12" t="s">
        <v>152</v>
      </c>
      <c r="T1" s="12" t="s">
        <v>119</v>
      </c>
      <c r="U1" s="12" t="s">
        <v>120</v>
      </c>
      <c r="V1" s="12" t="s">
        <v>121</v>
      </c>
      <c r="W1" s="12" t="s">
        <v>122</v>
      </c>
      <c r="X1" s="12" t="s">
        <v>146</v>
      </c>
      <c r="Y1" s="12" t="s">
        <v>147</v>
      </c>
      <c r="Z1" s="12" t="s">
        <v>148</v>
      </c>
      <c r="AA1" s="12" t="s">
        <v>149</v>
      </c>
      <c r="AB1" s="12" t="s">
        <v>150</v>
      </c>
      <c r="AC1" s="12" t="s">
        <v>151</v>
      </c>
      <c r="AD1" s="13"/>
    </row>
    <row r="2" spans="1:30" s="13" customFormat="1" x14ac:dyDescent="0.2">
      <c r="A2" t="s">
        <v>153</v>
      </c>
      <c r="B2" s="13">
        <v>30.57</v>
      </c>
      <c r="C2" s="17">
        <v>45341</v>
      </c>
      <c r="D2" s="13">
        <v>1358</v>
      </c>
      <c r="E2" s="13">
        <v>30.71</v>
      </c>
      <c r="F2" s="20">
        <v>63</v>
      </c>
      <c r="G2" s="20">
        <v>1.68</v>
      </c>
      <c r="H2" s="13">
        <v>41</v>
      </c>
      <c r="I2" s="13">
        <v>2595</v>
      </c>
      <c r="J2" s="13">
        <v>9</v>
      </c>
      <c r="K2" s="13" t="s">
        <v>129</v>
      </c>
      <c r="L2" s="21">
        <v>4.3899999999999997</v>
      </c>
      <c r="M2" s="21">
        <v>4</v>
      </c>
      <c r="N2" s="22">
        <v>4.3</v>
      </c>
      <c r="O2" s="22">
        <v>4.2</v>
      </c>
      <c r="P2" s="21">
        <v>0.98</v>
      </c>
      <c r="Q2" s="21">
        <v>1.05</v>
      </c>
      <c r="R2" s="21">
        <v>0.85</v>
      </c>
      <c r="S2" s="23">
        <v>1.1767068300000001</v>
      </c>
      <c r="T2" s="23">
        <v>1.3640000000000001</v>
      </c>
      <c r="U2" s="23">
        <v>1.415</v>
      </c>
      <c r="V2" s="23">
        <v>0.57599999999999996</v>
      </c>
      <c r="W2" s="23">
        <v>0.112</v>
      </c>
      <c r="X2" s="22">
        <v>3.8159999999999998</v>
      </c>
      <c r="Y2" s="22">
        <v>2.8370000000000002</v>
      </c>
      <c r="Z2" s="22">
        <v>0.82799999999999996</v>
      </c>
      <c r="AA2" s="22">
        <v>2.0779999999999998</v>
      </c>
      <c r="AB2" s="14">
        <f>POWER(2.49,3/2)/POWER(2.93,3/2)</f>
        <v>0.78342529554977092</v>
      </c>
      <c r="AC2" s="14">
        <f>1/AB2</f>
        <v>1.2764458917531469</v>
      </c>
      <c r="AD2" s="18"/>
    </row>
    <row r="3" spans="1:30" s="13" customFormat="1" x14ac:dyDescent="0.2">
      <c r="A3" t="s">
        <v>154</v>
      </c>
      <c r="B3" s="13">
        <v>30.71</v>
      </c>
      <c r="C3" s="17">
        <v>45357</v>
      </c>
      <c r="D3" s="13">
        <v>1807</v>
      </c>
      <c r="E3" s="13">
        <v>29.85</v>
      </c>
      <c r="F3" s="13">
        <v>55</v>
      </c>
      <c r="G3" s="13">
        <v>1.64</v>
      </c>
      <c r="H3" s="13">
        <v>41.1</v>
      </c>
      <c r="I3" s="13">
        <v>3598</v>
      </c>
      <c r="J3" s="13">
        <v>10</v>
      </c>
      <c r="K3" s="13" t="s">
        <v>129</v>
      </c>
      <c r="L3" s="21">
        <v>4.41</v>
      </c>
      <c r="M3" s="21">
        <v>4.0199999999999996</v>
      </c>
      <c r="N3" s="22">
        <v>4.3</v>
      </c>
      <c r="O3" s="22">
        <v>4</v>
      </c>
      <c r="P3" s="21">
        <v>0.97</v>
      </c>
      <c r="Q3" s="21">
        <v>0.99</v>
      </c>
      <c r="R3" s="21">
        <v>0.9</v>
      </c>
      <c r="S3" s="23">
        <v>1.10747664</v>
      </c>
      <c r="T3" s="23">
        <v>1.37</v>
      </c>
      <c r="U3" s="23">
        <v>1.4219999999999999</v>
      </c>
      <c r="V3" s="23">
        <v>0.54200000000000004</v>
      </c>
      <c r="W3" s="23">
        <v>-0.20100000000000001</v>
      </c>
      <c r="X3" s="22">
        <v>2.9910000000000001</v>
      </c>
      <c r="Y3" s="22">
        <v>2.387</v>
      </c>
      <c r="Z3" s="22">
        <v>1.012</v>
      </c>
      <c r="AA3" s="22">
        <v>2.2589999999999999</v>
      </c>
      <c r="AB3" s="14">
        <f>POWER(2.14,3/2)/POWER(2.37,3/2)</f>
        <v>0.85802144196613073</v>
      </c>
      <c r="AC3" s="14">
        <f t="shared" ref="AC3:AC8" si="0">1/AB3</f>
        <v>1.165472039613054</v>
      </c>
      <c r="AD3" s="18"/>
    </row>
    <row r="4" spans="1:30" s="13" customFormat="1" x14ac:dyDescent="0.2">
      <c r="A4" t="s">
        <v>155</v>
      </c>
      <c r="B4" s="13">
        <v>30.43</v>
      </c>
      <c r="C4" s="17">
        <v>45364</v>
      </c>
      <c r="D4" s="13">
        <v>1562</v>
      </c>
      <c r="E4" s="13">
        <v>35.020000000000003</v>
      </c>
      <c r="F4" s="13">
        <v>55</v>
      </c>
      <c r="G4" s="13">
        <v>1.53</v>
      </c>
      <c r="H4" s="13">
        <v>39.200000000000003</v>
      </c>
      <c r="I4" s="13">
        <v>3230</v>
      </c>
      <c r="J4" s="13">
        <v>10</v>
      </c>
      <c r="K4" s="13" t="s">
        <v>130</v>
      </c>
      <c r="L4" s="21">
        <v>4.3600000000000003</v>
      </c>
      <c r="M4" s="21">
        <v>3.99</v>
      </c>
      <c r="N4" s="22">
        <v>4</v>
      </c>
      <c r="O4" s="22">
        <v>4.2</v>
      </c>
      <c r="P4" s="21">
        <v>0.92</v>
      </c>
      <c r="Q4" s="21">
        <v>1.05</v>
      </c>
      <c r="R4" s="21">
        <v>0.95</v>
      </c>
      <c r="S4" s="23">
        <v>1.0562913899999999</v>
      </c>
      <c r="T4" s="23">
        <v>1.3580000000000001</v>
      </c>
      <c r="U4" s="23">
        <v>1.409</v>
      </c>
      <c r="V4" s="23">
        <v>0.17</v>
      </c>
      <c r="W4" s="23">
        <v>0.14899999999999999</v>
      </c>
      <c r="X4" s="22">
        <v>4.46</v>
      </c>
      <c r="Y4" s="22">
        <v>4.7220000000000004</v>
      </c>
      <c r="Z4" s="22">
        <v>0.85299999999999998</v>
      </c>
      <c r="AA4" s="22">
        <v>1.4590000000000001</v>
      </c>
      <c r="AB4" s="14">
        <f>POWER(3.02,3/2)/POWER(3.19,3/2)</f>
        <v>0.921137344797334</v>
      </c>
      <c r="AC4" s="14">
        <f t="shared" si="0"/>
        <v>1.0856144370305789</v>
      </c>
      <c r="AD4" s="18"/>
    </row>
    <row r="5" spans="1:30" s="13" customFormat="1" x14ac:dyDescent="0.2">
      <c r="A5" t="s">
        <v>156</v>
      </c>
      <c r="B5" s="13">
        <v>33</v>
      </c>
      <c r="C5" s="17">
        <v>45366</v>
      </c>
      <c r="D5" s="13">
        <v>2195</v>
      </c>
      <c r="E5" s="13">
        <v>39.31</v>
      </c>
      <c r="F5" s="20">
        <v>81</v>
      </c>
      <c r="G5" s="20">
        <v>1.59</v>
      </c>
      <c r="H5" s="13">
        <v>40.1</v>
      </c>
      <c r="I5" s="13">
        <v>3045</v>
      </c>
      <c r="J5" s="13">
        <v>6</v>
      </c>
      <c r="K5" s="13" t="s">
        <v>129</v>
      </c>
      <c r="L5" s="21">
        <v>4.8499999999999996</v>
      </c>
      <c r="M5" s="21">
        <v>4.3</v>
      </c>
      <c r="N5" s="22">
        <v>4.2</v>
      </c>
      <c r="O5" s="22">
        <v>4.4000000000000004</v>
      </c>
      <c r="P5" s="21">
        <v>0.87</v>
      </c>
      <c r="Q5" s="21">
        <v>1.02</v>
      </c>
      <c r="R5" s="21">
        <v>0.85</v>
      </c>
      <c r="S5" s="23">
        <v>1.1791666700000001</v>
      </c>
      <c r="T5" s="23">
        <v>1.458</v>
      </c>
      <c r="U5" s="23">
        <v>1.522</v>
      </c>
      <c r="V5" s="23">
        <v>-0.13800000000000001</v>
      </c>
      <c r="W5" s="23">
        <v>-0.23</v>
      </c>
      <c r="X5" s="22">
        <v>3.714</v>
      </c>
      <c r="Y5" s="22">
        <v>2.4220000000000002</v>
      </c>
      <c r="Z5" s="22">
        <v>1.25</v>
      </c>
      <c r="AA5" s="22">
        <v>2.266</v>
      </c>
      <c r="AB5" s="14">
        <f>POWER(2.4,3/2)/POWER(2.83,3/2)</f>
        <v>0.78097513936203178</v>
      </c>
      <c r="AC5" s="14">
        <f t="shared" si="0"/>
        <v>1.280450490161424</v>
      </c>
      <c r="AD5" s="18"/>
    </row>
    <row r="6" spans="1:30" s="13" customFormat="1" x14ac:dyDescent="0.2">
      <c r="A6" t="s">
        <v>157</v>
      </c>
      <c r="B6" s="13">
        <v>32.14</v>
      </c>
      <c r="C6" s="17">
        <v>45411</v>
      </c>
      <c r="D6" s="13">
        <v>1764</v>
      </c>
      <c r="E6" s="13">
        <v>30.87</v>
      </c>
      <c r="H6" s="13">
        <v>38.299999999999997</v>
      </c>
      <c r="I6" s="13">
        <v>3080</v>
      </c>
      <c r="J6" s="13">
        <v>10</v>
      </c>
      <c r="K6" s="13" t="s">
        <v>130</v>
      </c>
      <c r="L6" s="21">
        <v>4.68</v>
      </c>
      <c r="M6" s="21">
        <v>4.2</v>
      </c>
      <c r="N6" s="22">
        <v>4.0999999999999996</v>
      </c>
      <c r="O6" s="22">
        <v>4.4000000000000004</v>
      </c>
      <c r="P6" s="21">
        <v>0.88</v>
      </c>
      <c r="Q6" s="21">
        <v>1.05</v>
      </c>
      <c r="R6" s="21">
        <v>0.93</v>
      </c>
      <c r="S6" s="23">
        <v>1.0703517600000001</v>
      </c>
      <c r="T6" s="23">
        <v>1.425</v>
      </c>
      <c r="U6" s="23">
        <v>1.4850000000000001</v>
      </c>
      <c r="V6" s="23">
        <v>-8.7999999999999995E-2</v>
      </c>
      <c r="W6" s="23">
        <v>-2.1000000000000001E-2</v>
      </c>
      <c r="X6" s="22">
        <v>2.7589999999999999</v>
      </c>
      <c r="Y6" s="22">
        <v>1.7949999999999999</v>
      </c>
      <c r="Z6" s="22">
        <v>0.83199999999999996</v>
      </c>
      <c r="AA6" s="22">
        <v>1.7509999999999999</v>
      </c>
      <c r="AB6" s="14">
        <f>POWER(3.98,3/2)/POWER(4.26,3/2)</f>
        <v>0.90304669902872914</v>
      </c>
      <c r="AC6" s="14">
        <f t="shared" si="0"/>
        <v>1.1073624443514924</v>
      </c>
      <c r="AD6" s="18"/>
    </row>
    <row r="7" spans="1:30" s="13" customFormat="1" x14ac:dyDescent="0.2">
      <c r="A7" t="s">
        <v>158</v>
      </c>
      <c r="B7" s="13">
        <v>37.43</v>
      </c>
      <c r="C7" s="13" t="s">
        <v>114</v>
      </c>
      <c r="D7" s="13">
        <v>2902</v>
      </c>
      <c r="E7" s="13">
        <v>35.950000000000003</v>
      </c>
      <c r="H7" s="13">
        <v>40.6</v>
      </c>
      <c r="I7" s="13">
        <v>3415</v>
      </c>
      <c r="J7" s="13">
        <v>10</v>
      </c>
      <c r="K7" s="13" t="s">
        <v>131</v>
      </c>
      <c r="L7" s="21">
        <v>5.68</v>
      </c>
      <c r="M7" s="21">
        <v>4.84</v>
      </c>
      <c r="N7" s="22">
        <v>4.3</v>
      </c>
      <c r="O7" s="22">
        <v>5.0999999999999996</v>
      </c>
      <c r="P7" s="21">
        <v>0.76</v>
      </c>
      <c r="Q7" s="21">
        <v>1.05</v>
      </c>
      <c r="R7" s="21">
        <v>0.9</v>
      </c>
      <c r="S7" s="23">
        <v>1.1059431500000001</v>
      </c>
      <c r="T7" s="23">
        <v>1.6120000000000001</v>
      </c>
      <c r="U7" s="23">
        <v>1.698</v>
      </c>
      <c r="V7" s="23">
        <v>-0.93500000000000005</v>
      </c>
      <c r="W7" s="23">
        <v>-0.39100000000000001</v>
      </c>
      <c r="X7" s="22">
        <v>4.9649999999999999</v>
      </c>
      <c r="Y7" s="22">
        <v>3.0790000000000002</v>
      </c>
      <c r="Z7" s="22">
        <v>1.012</v>
      </c>
      <c r="AA7" s="22">
        <v>1.9510000000000001</v>
      </c>
      <c r="AB7" s="14">
        <f>POWER(3.87,3/2)/POWER(4.28,3/2)</f>
        <v>0.85980663862047302</v>
      </c>
      <c r="AC7" s="14">
        <f t="shared" si="0"/>
        <v>1.1630521969503071</v>
      </c>
      <c r="AD7" s="18"/>
    </row>
    <row r="8" spans="1:30" s="13" customFormat="1" x14ac:dyDescent="0.2">
      <c r="A8" t="s">
        <v>159</v>
      </c>
      <c r="B8" s="13">
        <v>28.29</v>
      </c>
      <c r="C8" s="13" t="s">
        <v>113</v>
      </c>
      <c r="D8" s="13">
        <v>1242</v>
      </c>
      <c r="F8" s="13">
        <v>88</v>
      </c>
      <c r="G8" s="13">
        <v>1.64</v>
      </c>
      <c r="H8" s="13">
        <v>39.299999999999997</v>
      </c>
      <c r="I8" s="13">
        <v>3450</v>
      </c>
      <c r="J8" s="13">
        <v>9</v>
      </c>
      <c r="K8" s="13" t="s">
        <v>130</v>
      </c>
      <c r="L8" s="21">
        <v>3.96</v>
      </c>
      <c r="M8" s="21">
        <v>3.72</v>
      </c>
      <c r="N8" s="22">
        <v>4</v>
      </c>
      <c r="O8" s="22">
        <v>3.7</v>
      </c>
      <c r="P8" s="21">
        <v>1.01</v>
      </c>
      <c r="Q8" s="21">
        <v>1</v>
      </c>
      <c r="R8" s="21">
        <v>0.91</v>
      </c>
      <c r="S8" s="23">
        <v>1.09375</v>
      </c>
      <c r="T8" s="23">
        <v>1.2689999999999999</v>
      </c>
      <c r="U8" s="23">
        <v>1.3069999999999999</v>
      </c>
      <c r="V8" s="23">
        <v>0.71399999999999997</v>
      </c>
      <c r="W8" s="23">
        <v>7.0000000000000001E-3</v>
      </c>
      <c r="X8" s="22">
        <v>2.7189999999999999</v>
      </c>
      <c r="Y8" s="22">
        <v>2.4529999999999998</v>
      </c>
      <c r="Z8" s="22">
        <v>0.97</v>
      </c>
      <c r="AA8" s="22">
        <v>1.532</v>
      </c>
      <c r="AB8" s="14">
        <f>POWER(1.92,3/2)/POWER(2.1,3/2)</f>
        <v>0.87422435425601375</v>
      </c>
      <c r="AC8" s="14">
        <f t="shared" si="0"/>
        <v>1.1438711300270563</v>
      </c>
      <c r="AD8" s="18"/>
    </row>
    <row r="9" spans="1:30" s="13" customFormat="1" x14ac:dyDescent="0.2">
      <c r="L9" s="22"/>
      <c r="M9" s="22"/>
      <c r="N9" s="22"/>
      <c r="O9" s="22"/>
      <c r="P9" s="22"/>
      <c r="Q9" s="22"/>
      <c r="R9" s="22"/>
      <c r="S9" s="22"/>
      <c r="T9" s="23"/>
      <c r="U9" s="23"/>
      <c r="V9" s="22"/>
      <c r="W9" s="22"/>
      <c r="X9" s="22"/>
      <c r="Y9" s="22"/>
      <c r="Z9" s="22"/>
      <c r="AA9" s="22"/>
    </row>
    <row r="10" spans="1:30" s="13" customFormat="1" x14ac:dyDescent="0.2">
      <c r="A10" s="13" t="s">
        <v>115</v>
      </c>
      <c r="B10" s="14">
        <f>AVERAGE(B2:B5,B6,B7,B8)</f>
        <v>31.79571428571429</v>
      </c>
      <c r="C10" s="14"/>
      <c r="D10" s="14">
        <f>AVERAGE(D2:D5,D6,D7,D8)</f>
        <v>1832.8571428571429</v>
      </c>
      <c r="E10" s="14">
        <f>AVERAGE(E2:E5,E6,E7,E8)</f>
        <v>33.618333333333339</v>
      </c>
      <c r="F10" s="13">
        <f>AVERAGE(F2:F8)</f>
        <v>68.400000000000006</v>
      </c>
      <c r="G10" s="13">
        <f>AVERAGE(G2:G8)</f>
        <v>1.6160000000000001</v>
      </c>
      <c r="H10" s="14">
        <f>MEDIAN(H2:H8)</f>
        <v>40.1</v>
      </c>
      <c r="I10" s="14">
        <f t="shared" ref="I10" si="1">AVERAGE(I2:I8)</f>
        <v>3201.8571428571427</v>
      </c>
      <c r="L10" s="21"/>
      <c r="M10" s="21"/>
      <c r="N10" s="21">
        <v>4.17</v>
      </c>
      <c r="O10" s="21">
        <v>4.29</v>
      </c>
      <c r="P10" s="21"/>
      <c r="Q10" s="21"/>
      <c r="R10" s="21">
        <v>0.9</v>
      </c>
      <c r="S10" s="21">
        <v>1.1100000000000001</v>
      </c>
      <c r="T10" s="23"/>
      <c r="U10" s="23"/>
      <c r="V10" s="21">
        <v>0.12</v>
      </c>
      <c r="W10" s="21">
        <v>-0.08</v>
      </c>
      <c r="X10" s="21">
        <v>3.63</v>
      </c>
      <c r="Y10" s="21">
        <v>2.81</v>
      </c>
      <c r="Z10" s="21">
        <v>0.97</v>
      </c>
      <c r="AA10" s="21">
        <v>1.9</v>
      </c>
      <c r="AB10" s="14">
        <f>AVERAGE(AB2:AB8)</f>
        <v>0.85437670194006898</v>
      </c>
      <c r="AC10" s="14">
        <f>AVERAGE(AC2:AC8)</f>
        <v>1.1746098042695798</v>
      </c>
      <c r="AD10" s="18"/>
    </row>
    <row r="11" spans="1:30" s="13" customFormat="1" x14ac:dyDescent="0.2">
      <c r="A11" s="13" t="s">
        <v>116</v>
      </c>
      <c r="B11" s="14">
        <f>STDEV(B2:B5,B6,B7,B8)</f>
        <v>2.891088936386295</v>
      </c>
      <c r="C11" s="14"/>
      <c r="D11" s="14">
        <f>STDEV(D2:D5,D6,D7,D8)</f>
        <v>566.80226668901889</v>
      </c>
      <c r="E11" s="14">
        <f>STDEV(E2:E5,E6,E7,E8)</f>
        <v>3.7418841065252715</v>
      </c>
      <c r="F11" s="14">
        <f>STDEV(F2:F5,F8)</f>
        <v>15.257784898208527</v>
      </c>
      <c r="G11" s="14">
        <f>STDEV(G2:G5,G8)</f>
        <v>5.7706152185013973E-2</v>
      </c>
      <c r="H11" s="14"/>
      <c r="I11" s="14">
        <f t="shared" ref="I11" si="2">STDEV(I2:I5,I8)</f>
        <v>390.67544074333716</v>
      </c>
      <c r="L11" s="21"/>
      <c r="M11" s="21"/>
      <c r="N11" s="21">
        <v>0.14000000000000001</v>
      </c>
      <c r="O11" s="21">
        <v>0.43</v>
      </c>
      <c r="P11" s="21"/>
      <c r="Q11" s="21"/>
      <c r="R11" s="21">
        <v>0.04</v>
      </c>
      <c r="S11" s="21">
        <v>0.05</v>
      </c>
      <c r="T11" s="23"/>
      <c r="U11" s="23"/>
      <c r="V11" s="21">
        <v>0.56999999999999995</v>
      </c>
      <c r="W11" s="21">
        <v>0.2</v>
      </c>
      <c r="X11" s="21">
        <v>0.87</v>
      </c>
      <c r="Y11" s="21">
        <v>0.93</v>
      </c>
      <c r="Z11" s="21">
        <v>0.15</v>
      </c>
      <c r="AA11" s="21">
        <v>0.33</v>
      </c>
      <c r="AB11" s="14">
        <f>STDEV(AB2:AB8)</f>
        <v>5.4289871912493369E-2</v>
      </c>
      <c r="AC11" s="14">
        <f>STDEV(AC2:AC8)</f>
        <v>7.6569320916873213E-2</v>
      </c>
      <c r="AD11" s="18"/>
    </row>
    <row r="12" spans="1:30" x14ac:dyDescent="0.2">
      <c r="H12" s="11">
        <f>QUARTILE(H2:H8,1)</f>
        <v>39.25</v>
      </c>
      <c r="Y12" s="7"/>
      <c r="Z12" s="7"/>
    </row>
    <row r="13" spans="1:30" x14ac:dyDescent="0.2">
      <c r="H13" s="11">
        <f>QUARTILE(H2:H8,3)</f>
        <v>40.799999999999997</v>
      </c>
      <c r="X13" s="7"/>
      <c r="Y13" s="7"/>
    </row>
    <row r="14" spans="1:30" x14ac:dyDescent="0.2">
      <c r="T14" s="7"/>
      <c r="U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BB56-BCFF-354A-9EBF-A3C338873D47}">
  <dimension ref="A1:AD15"/>
  <sheetViews>
    <sheetView zoomScale="180" workbookViewId="0">
      <pane xSplit="1" topLeftCell="U1" activePane="topRight" state="frozen"/>
      <selection pane="topRight" activeCell="T2" sqref="T2:T10"/>
    </sheetView>
  </sheetViews>
  <sheetFormatPr baseColWidth="10" defaultRowHeight="15" x14ac:dyDescent="0.2"/>
  <cols>
    <col min="16" max="16" width="12.1640625" bestFit="1" customWidth="1"/>
  </cols>
  <sheetData>
    <row r="1" spans="1:30" x14ac:dyDescent="0.2">
      <c r="A1" s="4" t="s">
        <v>132</v>
      </c>
      <c r="B1" s="4" t="s">
        <v>4</v>
      </c>
      <c r="C1" s="4" t="s">
        <v>108</v>
      </c>
      <c r="D1" s="4" t="s">
        <v>5</v>
      </c>
      <c r="E1" s="4" t="s">
        <v>118</v>
      </c>
      <c r="F1" s="4" t="s">
        <v>117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109</v>
      </c>
      <c r="N1" s="4" t="s">
        <v>110</v>
      </c>
      <c r="O1" s="4" t="s">
        <v>142</v>
      </c>
      <c r="P1" s="4" t="s">
        <v>143</v>
      </c>
      <c r="Q1" s="4" t="s">
        <v>144</v>
      </c>
      <c r="R1" s="4" t="s">
        <v>145</v>
      </c>
      <c r="S1" s="4" t="s">
        <v>111</v>
      </c>
      <c r="T1" s="4" t="s">
        <v>152</v>
      </c>
      <c r="U1" s="4" t="s">
        <v>119</v>
      </c>
      <c r="V1" s="4" t="s">
        <v>120</v>
      </c>
      <c r="W1" s="4" t="s">
        <v>121</v>
      </c>
      <c r="X1" s="4" t="s">
        <v>122</v>
      </c>
      <c r="Y1" s="4" t="s">
        <v>146</v>
      </c>
      <c r="Z1" s="4" t="s">
        <v>147</v>
      </c>
      <c r="AA1" s="4" t="s">
        <v>148</v>
      </c>
      <c r="AB1" s="4" t="s">
        <v>149</v>
      </c>
      <c r="AC1" s="4" t="s">
        <v>150</v>
      </c>
      <c r="AD1" s="4" t="s">
        <v>151</v>
      </c>
    </row>
    <row r="2" spans="1:30" s="13" customFormat="1" x14ac:dyDescent="0.2">
      <c r="A2" t="s">
        <v>133</v>
      </c>
      <c r="B2" s="14">
        <v>36.571428571428569</v>
      </c>
      <c r="C2" s="15">
        <v>43368</v>
      </c>
      <c r="D2" s="16">
        <v>2913</v>
      </c>
      <c r="E2" s="17">
        <v>32552</v>
      </c>
      <c r="F2" s="14">
        <f>(C2-E2)/365</f>
        <v>29.632876712328766</v>
      </c>
      <c r="G2" s="14">
        <v>64</v>
      </c>
      <c r="H2" s="14">
        <v>1.69</v>
      </c>
      <c r="I2" s="14">
        <v>41</v>
      </c>
      <c r="J2" s="16">
        <v>3830</v>
      </c>
      <c r="K2" s="16">
        <v>10</v>
      </c>
      <c r="L2" s="13">
        <v>1</v>
      </c>
      <c r="M2">
        <f t="shared" ref="M2:M10" si="0">-1.39 + 0.189*B2</f>
        <v>5.5220000000000002</v>
      </c>
      <c r="N2" s="7">
        <f t="shared" ref="N2:N10" si="1">(-0.1655 + 0.121125*B2)/(0.0028*B2 + 0.798)</f>
        <v>4.7359110236720188</v>
      </c>
      <c r="O2">
        <v>3.4</v>
      </c>
      <c r="P2">
        <v>5.4</v>
      </c>
      <c r="Q2" s="2">
        <f t="shared" ref="Q2:R10" si="2">O2/M2</f>
        <v>0.61571894241216951</v>
      </c>
      <c r="R2" s="2">
        <f t="shared" si="2"/>
        <v>1.140224124357192</v>
      </c>
      <c r="S2" s="2">
        <f>2.8/4.35</f>
        <v>0.64367816091954022</v>
      </c>
      <c r="T2" s="7">
        <f>1/S2</f>
        <v>1.5535714285714286</v>
      </c>
      <c r="U2" s="7">
        <f t="shared" ref="U2:U10" si="3">1.224*LN(B2)-2.822</f>
        <v>1.5835031695992807</v>
      </c>
      <c r="V2" s="7">
        <f t="shared" ref="V2:V10" si="4">1.396*LN(B2)-3.359</f>
        <v>1.6655771444122518</v>
      </c>
      <c r="W2" s="7">
        <f>(LN(O2)-U2)/0.164</f>
        <v>-2.1934618169339331</v>
      </c>
      <c r="X2" s="7">
        <f>(LN(P2)-V2)/0.176</f>
        <v>0.11830573385214231</v>
      </c>
      <c r="Y2">
        <v>4.6420000000000003</v>
      </c>
      <c r="Z2">
        <v>3.2309999999999999</v>
      </c>
      <c r="AA2"/>
      <c r="AB2"/>
      <c r="AC2" s="14">
        <f>POWER(2.8,3/2)/POWER(4.35,3/2)</f>
        <v>0.51642012869887588</v>
      </c>
      <c r="AD2" s="14">
        <f>1/AC2</f>
        <v>1.9364078672136715</v>
      </c>
    </row>
    <row r="3" spans="1:30" s="13" customFormat="1" x14ac:dyDescent="0.2">
      <c r="A3" t="s">
        <v>134</v>
      </c>
      <c r="B3" s="14">
        <v>30.571428571428573</v>
      </c>
      <c r="C3" s="15">
        <v>42755</v>
      </c>
      <c r="D3" s="16">
        <v>1503</v>
      </c>
      <c r="E3" s="17">
        <v>29056</v>
      </c>
      <c r="F3" s="14">
        <f t="shared" ref="F3:F10" si="5">(C3-E3)/365</f>
        <v>37.531506849315072</v>
      </c>
      <c r="I3" s="14">
        <v>40</v>
      </c>
      <c r="J3" s="16">
        <v>2910</v>
      </c>
      <c r="K3" s="16">
        <v>10</v>
      </c>
      <c r="L3" s="13">
        <v>0</v>
      </c>
      <c r="M3">
        <f t="shared" si="0"/>
        <v>4.3880000000000008</v>
      </c>
      <c r="N3" s="7">
        <f t="shared" si="1"/>
        <v>4.003467955765375</v>
      </c>
      <c r="O3">
        <v>2.6</v>
      </c>
      <c r="P3">
        <v>4.5</v>
      </c>
      <c r="Q3" s="2">
        <f t="shared" si="2"/>
        <v>0.59252506836827701</v>
      </c>
      <c r="R3" s="2">
        <f t="shared" si="2"/>
        <v>1.1240254823370253</v>
      </c>
      <c r="S3" s="2">
        <f xml:space="preserve"> 2.63/3.84</f>
        <v>0.68489583333333337</v>
      </c>
      <c r="T3" s="7">
        <f t="shared" ref="T3:T10" si="6">1/S3</f>
        <v>1.4600760456273763</v>
      </c>
      <c r="U3" s="7">
        <f t="shared" si="3"/>
        <v>1.3641606199430427</v>
      </c>
      <c r="V3" s="7">
        <f t="shared" si="4"/>
        <v>1.4154119488892869</v>
      </c>
      <c r="W3" s="7">
        <f>(LN(O3)-U3)/0.164</f>
        <v>-2.4917632616805268</v>
      </c>
      <c r="X3" s="7">
        <f>(LN(P3)-V3)/0.176</f>
        <v>0.50378095390333677</v>
      </c>
      <c r="Y3">
        <v>3.1190000000000002</v>
      </c>
      <c r="Z3">
        <v>2.5609999999999999</v>
      </c>
      <c r="AA3">
        <v>1.8640000000000001</v>
      </c>
      <c r="AB3">
        <v>1.3959999999999999</v>
      </c>
      <c r="AC3" s="14">
        <f>POWER(2.63,3/2)/POWER(3.84,3/2)</f>
        <v>0.56680906351658378</v>
      </c>
      <c r="AD3" s="14">
        <f t="shared" ref="AD3:AD10" si="7">1/AC3</f>
        <v>1.7642625433612917</v>
      </c>
    </row>
    <row r="4" spans="1:30" s="13" customFormat="1" x14ac:dyDescent="0.2">
      <c r="A4" t="s">
        <v>135</v>
      </c>
      <c r="B4" s="14">
        <v>28</v>
      </c>
      <c r="C4" s="15">
        <v>42405</v>
      </c>
      <c r="D4" s="16">
        <v>1224</v>
      </c>
      <c r="E4" s="15">
        <v>28856</v>
      </c>
      <c r="F4" s="14">
        <f t="shared" si="5"/>
        <v>37.12054794520548</v>
      </c>
      <c r="I4" s="14">
        <v>38</v>
      </c>
      <c r="J4" s="16">
        <v>4060</v>
      </c>
      <c r="K4" s="16">
        <v>10</v>
      </c>
      <c r="L4" s="13">
        <v>2</v>
      </c>
      <c r="M4">
        <f t="shared" si="0"/>
        <v>3.9020000000000001</v>
      </c>
      <c r="N4" s="7">
        <f t="shared" si="1"/>
        <v>3.6809675947056131</v>
      </c>
      <c r="O4">
        <v>3.1</v>
      </c>
      <c r="P4">
        <v>3.9</v>
      </c>
      <c r="Q4" s="2">
        <f t="shared" si="2"/>
        <v>0.79446437724243979</v>
      </c>
      <c r="R4" s="2">
        <f t="shared" si="2"/>
        <v>1.0595040297582148</v>
      </c>
      <c r="S4" s="2">
        <f xml:space="preserve"> 1.79/2.84</f>
        <v>0.63028169014084512</v>
      </c>
      <c r="T4" s="7">
        <f t="shared" si="6"/>
        <v>1.5865921787709496</v>
      </c>
      <c r="U4" s="7">
        <f t="shared" si="3"/>
        <v>1.2566183204544492</v>
      </c>
      <c r="V4" s="7">
        <f t="shared" si="4"/>
        <v>1.292757496204584</v>
      </c>
      <c r="W4" s="7">
        <f>(LN(O4)-U4)/0.164</f>
        <v>-0.76351346928871111</v>
      </c>
      <c r="X4" s="7">
        <f>(LN(P4)-V4)/0.176</f>
        <v>0.38760827801713976</v>
      </c>
      <c r="Y4">
        <v>3.3540000000000001</v>
      </c>
      <c r="Z4">
        <v>2.48</v>
      </c>
      <c r="AA4"/>
      <c r="AB4">
        <v>2.8260000000000001</v>
      </c>
      <c r="AC4" s="14">
        <f xml:space="preserve"> POWER(1.79,3/2)/POWER(2.84,3/2)</f>
        <v>0.50038241220420621</v>
      </c>
      <c r="AD4" s="14">
        <f t="shared" si="7"/>
        <v>1.9984715202018326</v>
      </c>
    </row>
    <row r="5" spans="1:30" s="13" customFormat="1" x14ac:dyDescent="0.2">
      <c r="A5" t="s">
        <v>136</v>
      </c>
      <c r="B5" s="14">
        <v>36.714285714285715</v>
      </c>
      <c r="C5" s="15">
        <v>43284</v>
      </c>
      <c r="D5" s="16">
        <v>2891</v>
      </c>
      <c r="E5" s="15">
        <v>28013</v>
      </c>
      <c r="F5" s="14">
        <f t="shared" si="5"/>
        <v>41.838356164383562</v>
      </c>
      <c r="G5" s="14">
        <v>63</v>
      </c>
      <c r="H5" s="14">
        <v>1.75</v>
      </c>
      <c r="I5" s="14">
        <v>38.571428571428569</v>
      </c>
      <c r="J5" s="16">
        <v>3480</v>
      </c>
      <c r="K5" s="16">
        <v>10</v>
      </c>
      <c r="L5" s="16">
        <v>0</v>
      </c>
      <c r="M5">
        <f t="shared" si="0"/>
        <v>5.5490000000000004</v>
      </c>
      <c r="N5" s="7">
        <f t="shared" si="1"/>
        <v>4.753017159350418</v>
      </c>
      <c r="O5">
        <v>4.7</v>
      </c>
      <c r="P5">
        <v>5</v>
      </c>
      <c r="Q5" s="2">
        <f t="shared" si="2"/>
        <v>0.84699945936204724</v>
      </c>
      <c r="R5" s="2">
        <f t="shared" si="2"/>
        <v>1.051963380810377</v>
      </c>
      <c r="S5" s="2">
        <f xml:space="preserve"> 3.54/4.78</f>
        <v>0.7405857740585774</v>
      </c>
      <c r="T5" s="7">
        <f t="shared" si="6"/>
        <v>1.3502824858757063</v>
      </c>
      <c r="U5" s="7">
        <f t="shared" si="3"/>
        <v>1.5882751054680453</v>
      </c>
      <c r="V5" s="7">
        <f t="shared" si="4"/>
        <v>1.6710196464325096</v>
      </c>
      <c r="W5" s="7">
        <f>(LN(O5)-U5)/0.164</f>
        <v>-0.24824754117092873</v>
      </c>
      <c r="X5" s="7">
        <f>(LN(P5)-V5)/0.176</f>
        <v>-0.34989621590005271</v>
      </c>
      <c r="Y5"/>
      <c r="Z5"/>
      <c r="AA5"/>
      <c r="AB5"/>
      <c r="AC5" s="14">
        <f xml:space="preserve"> POWER(3.54,3/2)/POWER(4.78,3/2)</f>
        <v>0.63732807216989762</v>
      </c>
      <c r="AD5" s="14">
        <f t="shared" si="7"/>
        <v>1.5690506093593537</v>
      </c>
    </row>
    <row r="6" spans="1:30" s="13" customFormat="1" x14ac:dyDescent="0.2">
      <c r="A6" t="s">
        <v>137</v>
      </c>
      <c r="B6" s="14">
        <v>27.285714285714285</v>
      </c>
      <c r="C6" s="15">
        <v>43112</v>
      </c>
      <c r="D6" s="16">
        <v>953</v>
      </c>
      <c r="E6" s="17">
        <v>29095</v>
      </c>
      <c r="F6" s="14">
        <f t="shared" si="5"/>
        <v>38.402739726027399</v>
      </c>
      <c r="G6" s="14">
        <v>55</v>
      </c>
      <c r="H6" s="14">
        <v>1.65</v>
      </c>
      <c r="I6" s="14">
        <v>33</v>
      </c>
      <c r="J6" s="16">
        <v>1700</v>
      </c>
      <c r="K6" s="16">
        <v>8</v>
      </c>
      <c r="L6" s="16">
        <v>0</v>
      </c>
      <c r="M6">
        <f t="shared" si="0"/>
        <v>3.7670000000000003</v>
      </c>
      <c r="N6" s="7">
        <f t="shared" si="1"/>
        <v>3.5904416089400066</v>
      </c>
      <c r="O6">
        <v>2.4</v>
      </c>
      <c r="P6">
        <v>3.8</v>
      </c>
      <c r="Q6" s="2">
        <f t="shared" si="2"/>
        <v>0.63711176002123693</v>
      </c>
      <c r="R6" s="2">
        <f t="shared" si="2"/>
        <v>1.058365631274494</v>
      </c>
      <c r="S6" s="2">
        <f>1.43/2.15</f>
        <v>0.66511627906976745</v>
      </c>
      <c r="T6" s="7">
        <f t="shared" si="6"/>
        <v>1.5034965034965035</v>
      </c>
      <c r="U6" s="7">
        <f t="shared" si="3"/>
        <v>1.2249886534853713</v>
      </c>
      <c r="V6" s="7">
        <f t="shared" si="4"/>
        <v>1.2566831374718772</v>
      </c>
      <c r="W6" s="7">
        <f>(LN(O6)-U6)/0.164</f>
        <v>-2.1312190008016554</v>
      </c>
      <c r="X6" s="7">
        <f>(LN(P6)-V6)/0.176</f>
        <v>0.44498823443444757</v>
      </c>
      <c r="Y6"/>
      <c r="Z6"/>
      <c r="AA6">
        <v>0.98099999999999998</v>
      </c>
      <c r="AB6">
        <v>1.897</v>
      </c>
      <c r="AC6" s="14">
        <f xml:space="preserve"> POWER(1.43,3/2)/POWER(2.15,3/2)</f>
        <v>0.54243332909261388</v>
      </c>
      <c r="AD6" s="14">
        <f t="shared" si="7"/>
        <v>1.843544536012945</v>
      </c>
    </row>
    <row r="7" spans="1:30" s="13" customFormat="1" x14ac:dyDescent="0.2">
      <c r="A7" t="s">
        <v>138</v>
      </c>
      <c r="B7" s="14">
        <v>32.571428571428569</v>
      </c>
      <c r="C7" s="15">
        <v>43116</v>
      </c>
      <c r="D7" s="16">
        <v>2133</v>
      </c>
      <c r="E7" s="15">
        <v>28039</v>
      </c>
      <c r="F7" s="14">
        <f t="shared" si="5"/>
        <v>41.30684931506849</v>
      </c>
      <c r="G7" s="14">
        <v>65</v>
      </c>
      <c r="H7" s="14">
        <v>1.6</v>
      </c>
      <c r="I7" s="14">
        <v>40</v>
      </c>
      <c r="J7" s="16">
        <v>3080</v>
      </c>
      <c r="K7" s="16">
        <v>10</v>
      </c>
      <c r="L7" s="16">
        <v>2</v>
      </c>
      <c r="M7">
        <f t="shared" si="0"/>
        <v>4.766</v>
      </c>
      <c r="N7" s="7">
        <f t="shared" si="1"/>
        <v>4.2506908296381978</v>
      </c>
      <c r="O7">
        <v>3.5</v>
      </c>
      <c r="P7">
        <v>4.4000000000000004</v>
      </c>
      <c r="Q7" s="2">
        <f t="shared" si="2"/>
        <v>0.7343684431389006</v>
      </c>
      <c r="R7" s="2">
        <f t="shared" si="2"/>
        <v>1.0351258598533526</v>
      </c>
      <c r="S7" s="2">
        <f>2.02/3.31</f>
        <v>0.61027190332326287</v>
      </c>
      <c r="T7" s="7">
        <f t="shared" si="6"/>
        <v>1.6386138613861385</v>
      </c>
      <c r="U7" s="7">
        <f t="shared" si="3"/>
        <v>1.4417250273965321</v>
      </c>
      <c r="V7" s="7">
        <f t="shared" si="4"/>
        <v>1.5038759299391815</v>
      </c>
      <c r="W7" s="7">
        <f>(LN(O7)-U7)/0.164</f>
        <v>-1.1522076762266098</v>
      </c>
      <c r="X7" s="7">
        <f>(LN(P7)-V7)/0.176</f>
        <v>-0.12654198303957925</v>
      </c>
      <c r="Y7"/>
      <c r="Z7"/>
      <c r="AA7"/>
      <c r="AB7"/>
      <c r="AC7" s="14">
        <f xml:space="preserve"> POWER(2.02,3/2)/POWER(3.31,3/2)</f>
        <v>0.47674381065133298</v>
      </c>
      <c r="AD7" s="14">
        <f t="shared" si="7"/>
        <v>2.0975626272605159</v>
      </c>
    </row>
    <row r="8" spans="1:30" s="13" customFormat="1" x14ac:dyDescent="0.2">
      <c r="A8" t="s">
        <v>139</v>
      </c>
      <c r="B8" s="14">
        <v>39</v>
      </c>
      <c r="C8" s="15">
        <v>42614</v>
      </c>
      <c r="D8" s="16">
        <v>3047</v>
      </c>
      <c r="E8" s="15">
        <v>34933</v>
      </c>
      <c r="F8" s="14">
        <f t="shared" si="5"/>
        <v>21.043835616438358</v>
      </c>
      <c r="I8" s="14">
        <v>40</v>
      </c>
      <c r="J8" s="16">
        <v>3140</v>
      </c>
      <c r="K8" s="16">
        <v>9</v>
      </c>
      <c r="L8" s="13">
        <v>0</v>
      </c>
      <c r="M8">
        <f t="shared" si="0"/>
        <v>5.9810000000000008</v>
      </c>
      <c r="N8" s="7">
        <f t="shared" si="1"/>
        <v>5.0246638007054676</v>
      </c>
      <c r="O8">
        <v>2.2999999999999998</v>
      </c>
      <c r="P8">
        <v>5.6</v>
      </c>
      <c r="Q8" s="2">
        <f t="shared" si="2"/>
        <v>0.38455107841498071</v>
      </c>
      <c r="R8" s="2">
        <f t="shared" si="2"/>
        <v>1.1145024268516739</v>
      </c>
      <c r="S8" s="2">
        <f>1.94/4.44</f>
        <v>0.43693693693693686</v>
      </c>
      <c r="T8" s="7">
        <f t="shared" si="6"/>
        <v>2.2886597938144333</v>
      </c>
      <c r="U8" s="7">
        <f t="shared" si="3"/>
        <v>1.6621994548626873</v>
      </c>
      <c r="V8" s="7">
        <f t="shared" si="4"/>
        <v>1.755332057996986</v>
      </c>
      <c r="W8" s="7">
        <f>(LN(O8)-U8)/0.164</f>
        <v>-5.0566483654120935</v>
      </c>
      <c r="X8" s="7">
        <f>(LN(P8)-V8)/0.176</f>
        <v>-0.18503102418115042</v>
      </c>
      <c r="Y8">
        <v>4.21</v>
      </c>
      <c r="Z8">
        <v>3.0350000000000001</v>
      </c>
      <c r="AA8">
        <v>0.85299999999999998</v>
      </c>
      <c r="AB8">
        <v>1.4510000000000001</v>
      </c>
      <c r="AC8" s="14">
        <f xml:space="preserve"> POWER(1.94,3/2)/POWER(4.44,3/2)</f>
        <v>0.28882058261706389</v>
      </c>
      <c r="AD8" s="14">
        <f t="shared" si="7"/>
        <v>3.4623571178300043</v>
      </c>
    </row>
    <row r="9" spans="1:30" s="13" customFormat="1" x14ac:dyDescent="0.2">
      <c r="A9" t="s">
        <v>140</v>
      </c>
      <c r="B9" s="14">
        <v>30</v>
      </c>
      <c r="C9" s="15">
        <v>42033</v>
      </c>
      <c r="D9" s="16">
        <v>1608</v>
      </c>
      <c r="E9" s="15">
        <v>30727</v>
      </c>
      <c r="F9" s="14">
        <f t="shared" si="5"/>
        <v>30.975342465753425</v>
      </c>
      <c r="I9" s="14">
        <v>40.714285714285715</v>
      </c>
      <c r="J9" s="16">
        <v>2970</v>
      </c>
      <c r="K9" s="16">
        <v>10</v>
      </c>
      <c r="L9" s="13">
        <v>0</v>
      </c>
      <c r="M9">
        <f t="shared" si="0"/>
        <v>4.28</v>
      </c>
      <c r="N9" s="7">
        <f t="shared" si="1"/>
        <v>3.9322562358276643</v>
      </c>
      <c r="O9">
        <v>3</v>
      </c>
      <c r="P9">
        <v>4.2</v>
      </c>
      <c r="Q9" s="2">
        <f t="shared" si="2"/>
        <v>0.7009345794392523</v>
      </c>
      <c r="R9" s="2">
        <f t="shared" si="2"/>
        <v>1.0680890939234484</v>
      </c>
      <c r="S9" s="2">
        <f>1.96/2.32</f>
        <v>0.84482758620689657</v>
      </c>
      <c r="T9" s="7">
        <f t="shared" si="6"/>
        <v>1.1836734693877551</v>
      </c>
      <c r="U9" s="7">
        <f t="shared" si="3"/>
        <v>1.3410655951544781</v>
      </c>
      <c r="V9" s="7">
        <f t="shared" si="4"/>
        <v>1.3890715448003688</v>
      </c>
      <c r="W9" s="7">
        <f>(LN(O9)-U9)/0.164</f>
        <v>-1.4783738200388312</v>
      </c>
      <c r="X9" s="7">
        <f>(LN(P9)-V9)/0.176</f>
        <v>0.26143738914178394</v>
      </c>
      <c r="Y9">
        <v>4.1260000000000003</v>
      </c>
      <c r="Z9">
        <v>2.8679999999999999</v>
      </c>
      <c r="AA9">
        <v>1.0720000000000001</v>
      </c>
      <c r="AB9">
        <v>1.9550000000000001</v>
      </c>
      <c r="AC9" s="14">
        <f xml:space="preserve"> POWER(1.96,3/2)/POWER(2.32,3/2)</f>
        <v>0.7765190770842213</v>
      </c>
      <c r="AD9" s="14">
        <f t="shared" si="7"/>
        <v>1.287798367755413</v>
      </c>
    </row>
    <row r="10" spans="1:30" s="13" customFormat="1" x14ac:dyDescent="0.2">
      <c r="A10" t="s">
        <v>141</v>
      </c>
      <c r="B10" s="14">
        <v>28.142857142857142</v>
      </c>
      <c r="C10" s="15">
        <v>41991</v>
      </c>
      <c r="D10" s="16">
        <v>1248</v>
      </c>
      <c r="E10" s="15">
        <v>31794</v>
      </c>
      <c r="F10" s="14">
        <f t="shared" si="5"/>
        <v>27.936986301369863</v>
      </c>
      <c r="I10" s="14">
        <v>39.714285714285715</v>
      </c>
      <c r="J10" s="19">
        <v>3520</v>
      </c>
      <c r="K10" s="13">
        <v>10</v>
      </c>
      <c r="L10" s="13">
        <v>0</v>
      </c>
      <c r="M10">
        <f t="shared" si="0"/>
        <v>3.9290000000000003</v>
      </c>
      <c r="N10" s="7">
        <f t="shared" si="1"/>
        <v>3.6990232338373303</v>
      </c>
      <c r="O10">
        <v>2</v>
      </c>
      <c r="P10">
        <v>4.0999999999999996</v>
      </c>
      <c r="Q10" s="2">
        <f t="shared" si="2"/>
        <v>0.50903537795876808</v>
      </c>
      <c r="R10" s="2">
        <f t="shared" si="2"/>
        <v>1.1084007157604956</v>
      </c>
      <c r="S10" s="2">
        <f>0.95/2.01</f>
        <v>0.47263681592039802</v>
      </c>
      <c r="T10" s="7">
        <f t="shared" si="6"/>
        <v>2.1157894736842104</v>
      </c>
      <c r="U10" s="7">
        <f t="shared" si="3"/>
        <v>1.2628473415315939</v>
      </c>
      <c r="V10" s="7">
        <f t="shared" si="4"/>
        <v>1.2998618372370139</v>
      </c>
      <c r="W10" s="7">
        <f>(LN(O10)-U10)/0.164</f>
        <v>-3.473781469339321</v>
      </c>
      <c r="X10" s="7">
        <f>(LN(P10)-V10)/0.176</f>
        <v>0.63139282087072834</v>
      </c>
      <c r="Y10">
        <v>3.6280000000000001</v>
      </c>
      <c r="Z10">
        <v>2.8460000000000001</v>
      </c>
      <c r="AA10"/>
      <c r="AB10"/>
      <c r="AC10" s="14">
        <f xml:space="preserve"> POWER(0.95,3/2)/POWER(2.01,3/2)</f>
        <v>0.3249311306864211</v>
      </c>
      <c r="AD10" s="14">
        <f t="shared" si="7"/>
        <v>3.0775752322884156</v>
      </c>
    </row>
    <row r="11" spans="1:30" x14ac:dyDescent="0.2">
      <c r="W11" s="7"/>
      <c r="X11" s="7"/>
    </row>
    <row r="12" spans="1:30" x14ac:dyDescent="0.2">
      <c r="A12" t="s">
        <v>115</v>
      </c>
      <c r="B12" s="2">
        <f>AVERAGE(B10,B9,B8,B7,B6,B5,B4,B3,B2)</f>
        <v>32.095238095238102</v>
      </c>
      <c r="C12" s="2"/>
      <c r="D12" s="2">
        <f>AVERAGE(D10,D9,D8,D7,D6,D5,D4,D3,D2)</f>
        <v>1946.6666666666667</v>
      </c>
      <c r="E12" s="2"/>
      <c r="F12" s="2"/>
      <c r="G12" s="2">
        <f>AVERAGE(G10,G9,G8,G7,G6,G5,G4,G3,G2)</f>
        <v>61.75</v>
      </c>
      <c r="H12" s="2">
        <f>AVERAGE(H10,H9,H8,H7,H6,H5,H4,H3,H2)</f>
        <v>1.6724999999999999</v>
      </c>
      <c r="I12" s="2">
        <f>MEDIAN(I2:I10)</f>
        <v>40</v>
      </c>
      <c r="J12" s="2">
        <f>AVERAGE(J10,J9,J8,J7,J6,J5,J4,J3,J2)</f>
        <v>3187.7777777777778</v>
      </c>
      <c r="M12" s="2">
        <f t="shared" ref="M12:T12" si="8">AVERAGE(M10,M9,M8,M7,M6,M5,M4,M3,M2)</f>
        <v>4.6759999999999993</v>
      </c>
      <c r="N12" s="2">
        <f t="shared" si="8"/>
        <v>4.1856043824935654</v>
      </c>
      <c r="O12" s="2">
        <f t="shared" si="8"/>
        <v>3.0000000000000004</v>
      </c>
      <c r="P12" s="2">
        <f t="shared" si="8"/>
        <v>4.5444444444444443</v>
      </c>
      <c r="Q12" s="2">
        <f t="shared" si="8"/>
        <v>0.64618989848423036</v>
      </c>
      <c r="R12" s="2">
        <f t="shared" si="8"/>
        <v>1.0844667494362525</v>
      </c>
      <c r="S12" s="2">
        <f t="shared" si="8"/>
        <v>0.63658121998995087</v>
      </c>
      <c r="T12" s="2">
        <f t="shared" si="8"/>
        <v>1.6311950267349447</v>
      </c>
      <c r="W12" s="2">
        <f>AVERAGE(W2:W10)</f>
        <v>-2.1099129356547346</v>
      </c>
      <c r="X12" s="2">
        <f>AVERAGE(X2:X10)</f>
        <v>0.18733824301097737</v>
      </c>
      <c r="Y12" s="2">
        <f t="shared" ref="Y12:AB12" si="9">AVERAGE(Y2:Y10)</f>
        <v>3.8465000000000007</v>
      </c>
      <c r="Z12" s="2">
        <f t="shared" si="9"/>
        <v>2.8368333333333333</v>
      </c>
      <c r="AA12" s="2">
        <f t="shared" si="9"/>
        <v>1.1925000000000001</v>
      </c>
      <c r="AB12" s="2">
        <f t="shared" si="9"/>
        <v>1.905</v>
      </c>
      <c r="AC12" s="2">
        <f>AVERAGE(AC2:AC10)</f>
        <v>0.51448751185791297</v>
      </c>
      <c r="AD12" s="2">
        <f>AVERAGE(AD2:AD10)</f>
        <v>2.1152256023648266</v>
      </c>
    </row>
    <row r="13" spans="1:30" x14ac:dyDescent="0.2">
      <c r="A13" t="s">
        <v>116</v>
      </c>
      <c r="B13" s="2">
        <f>STDEV(B10,B9,B8,B7,B6,B5,B4,B3,B2)</f>
        <v>4.3518703462079493</v>
      </c>
      <c r="C13" s="2"/>
      <c r="D13" s="2">
        <f>STDEV(D10,D9,D8,D7,D6,D5,D4,D3,D2)</f>
        <v>820.08459929448748</v>
      </c>
      <c r="E13" s="2"/>
      <c r="F13" s="2"/>
      <c r="G13" s="2">
        <f>STDEV(G10,G9,G8,G7,G6,G5,G4,G3,G2)</f>
        <v>4.5734742446707477</v>
      </c>
      <c r="H13" s="2">
        <f>STDEV(H10,H9,H8,H7,H6,H5,H4,H3,H2)</f>
        <v>6.3442887702247569E-2</v>
      </c>
      <c r="I13" s="2"/>
      <c r="J13" s="2">
        <f>STDEV(J10,J9,J8,J7,J6,J5,J4,J3,J2)</f>
        <v>681.99666014170771</v>
      </c>
      <c r="M13" s="2">
        <f t="shared" ref="M13:T13" si="10">STDEV(M10,M9,M8,M7,M6,M5,M4,M3,M2)</f>
        <v>0.8225034954333057</v>
      </c>
      <c r="N13" s="2">
        <f t="shared" si="10"/>
        <v>0.5333911324907904</v>
      </c>
      <c r="O13" s="2">
        <f t="shared" si="10"/>
        <v>0.8154753215150029</v>
      </c>
      <c r="P13" s="2">
        <f t="shared" si="10"/>
        <v>0.64828834462589013</v>
      </c>
      <c r="Q13" s="2">
        <f t="shared" si="10"/>
        <v>0.14328262152225268</v>
      </c>
      <c r="R13" s="2">
        <f t="shared" si="10"/>
        <v>3.7437248444193376E-2</v>
      </c>
      <c r="S13" s="2">
        <f t="shared" si="10"/>
        <v>0.12492492042253006</v>
      </c>
      <c r="T13" s="2">
        <f t="shared" si="10"/>
        <v>0.35354235823764896</v>
      </c>
      <c r="W13" s="2">
        <f>STDEV(W2:W10)</f>
        <v>1.4701726806808169</v>
      </c>
      <c r="X13" s="2">
        <f>STDEV(X2:X10)</f>
        <v>0.34275880084821458</v>
      </c>
      <c r="Y13" s="2">
        <f t="shared" ref="Y13:AB13" si="11">STDEV(Y2:Y10)</f>
        <v>0.5766502406138353</v>
      </c>
      <c r="Z13" s="2">
        <f t="shared" si="11"/>
        <v>0.28252675389539073</v>
      </c>
      <c r="AA13" s="2">
        <f t="shared" si="11"/>
        <v>0.45659062627259406</v>
      </c>
      <c r="AB13" s="2">
        <f t="shared" si="11"/>
        <v>0.57358565184286148</v>
      </c>
      <c r="AC13" s="2">
        <f>STDEV(AC2:AC10)</f>
        <v>0.14821998782312124</v>
      </c>
      <c r="AD13" s="2">
        <f>STDEV(AD2:AD10)</f>
        <v>0.70415978576656846</v>
      </c>
    </row>
    <row r="14" spans="1:30" x14ac:dyDescent="0.2">
      <c r="I14" s="11">
        <f>QUARTILE(I2:I10,1)</f>
        <v>38.571428571428569</v>
      </c>
      <c r="Y14" s="3"/>
    </row>
    <row r="15" spans="1:30" x14ac:dyDescent="0.2">
      <c r="I15" s="11">
        <f>QUARTILE(I2:I10,3)</f>
        <v>40</v>
      </c>
      <c r="Y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Healthy</vt:lpstr>
      <vt:lpstr>Healthy_Pooja</vt:lpstr>
      <vt:lpstr>CoA_all_ist_data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Maria Inmaculada Villanueva Baxarias</cp:lastModifiedBy>
  <dcterms:created xsi:type="dcterms:W3CDTF">2011-08-01T14:22:18Z</dcterms:created>
  <dcterms:modified xsi:type="dcterms:W3CDTF">2025-02-05T14:33:10Z</dcterms:modified>
</cp:coreProperties>
</file>