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60" yWindow="45" windowWidth="20730" windowHeight="9975" activeTab="1"/>
  </bookViews>
  <sheets>
    <sheet name="1Лабка" sheetId="1" r:id="rId1"/>
    <sheet name="2Лабка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Q25" i="2" l="1"/>
  <c r="R25" i="2"/>
  <c r="C52" i="2"/>
  <c r="B5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F5" i="2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4" i="2"/>
  <c r="B2" i="2"/>
  <c r="H17" i="2"/>
  <c r="I17" i="2"/>
  <c r="J17" i="2"/>
  <c r="K17" i="2"/>
  <c r="L17" i="2"/>
  <c r="M17" i="2"/>
  <c r="N17" i="2"/>
  <c r="O17" i="2"/>
  <c r="P17" i="2"/>
  <c r="Q17" i="2"/>
  <c r="R17" i="2"/>
  <c r="S17" i="2"/>
  <c r="R32" i="2" l="1"/>
  <c r="P32" i="2"/>
  <c r="P31" i="2"/>
  <c r="R27" i="2"/>
  <c r="I8" i="2"/>
  <c r="J8" i="2" s="1"/>
  <c r="K8" i="2" s="1"/>
  <c r="L8" i="2" s="1"/>
  <c r="M8" i="2" s="1"/>
  <c r="N8" i="2" s="1"/>
  <c r="O8" i="2" s="1"/>
  <c r="P8" i="2" s="1"/>
  <c r="Q8" i="2" s="1"/>
  <c r="R8" i="2" s="1"/>
  <c r="S8" i="2" s="1"/>
  <c r="P20" i="2"/>
  <c r="P23" i="2" s="1"/>
  <c r="H4" i="2" l="1"/>
  <c r="I4" i="2" s="1"/>
  <c r="G4" i="2"/>
  <c r="K7" i="1"/>
  <c r="K6" i="1"/>
  <c r="J7" i="1"/>
  <c r="I2" i="1"/>
  <c r="J18" i="2" l="1"/>
  <c r="N18" i="2"/>
  <c r="S18" i="2"/>
  <c r="K9" i="2"/>
  <c r="O9" i="2"/>
  <c r="S9" i="2"/>
  <c r="K18" i="2"/>
  <c r="O18" i="2"/>
  <c r="H18" i="2"/>
  <c r="L9" i="2"/>
  <c r="P9" i="2"/>
  <c r="H9" i="2"/>
  <c r="R9" i="2"/>
  <c r="Q18" i="2"/>
  <c r="L18" i="2"/>
  <c r="P18" i="2"/>
  <c r="I9" i="2"/>
  <c r="M9" i="2"/>
  <c r="Q9" i="2"/>
  <c r="I18" i="2"/>
  <c r="M18" i="2"/>
  <c r="R18" i="2"/>
  <c r="J9" i="2"/>
  <c r="N9" i="2"/>
  <c r="J10" i="2"/>
  <c r="N10" i="2"/>
  <c r="K10" i="2"/>
  <c r="I10" i="2"/>
  <c r="I12" i="2" s="1"/>
  <c r="L10" i="2"/>
  <c r="P10" i="2"/>
  <c r="M7" i="2"/>
  <c r="Q7" i="2"/>
  <c r="H7" i="2"/>
  <c r="K7" i="2"/>
  <c r="S7" i="2"/>
  <c r="L7" i="2"/>
  <c r="I7" i="2"/>
  <c r="J7" i="2"/>
  <c r="N7" i="2"/>
  <c r="R7" i="2"/>
  <c r="O7" i="2"/>
  <c r="P7" i="2"/>
  <c r="O10" i="2"/>
  <c r="H10" i="2"/>
  <c r="H12" i="2" s="1"/>
  <c r="M10" i="2"/>
  <c r="H11" i="2"/>
  <c r="H13" i="2" s="1"/>
  <c r="P11" i="2"/>
  <c r="P13" i="2" s="1"/>
  <c r="G52" i="1"/>
  <c r="E52" i="1"/>
  <c r="F52" i="1"/>
  <c r="L19" i="1"/>
  <c r="J18" i="1"/>
  <c r="G2" i="1"/>
  <c r="L12" i="2" l="1"/>
  <c r="K11" i="2"/>
  <c r="K13" i="2" s="1"/>
  <c r="T18" i="2"/>
  <c r="K12" i="2"/>
  <c r="J11" i="2"/>
  <c r="J13" i="2" s="1"/>
  <c r="O12" i="2"/>
  <c r="N11" i="2"/>
  <c r="N13" i="2" s="1"/>
  <c r="T17" i="2"/>
  <c r="H14" i="2"/>
  <c r="H15" i="2" s="1"/>
  <c r="P12" i="2"/>
  <c r="P14" i="2" s="1"/>
  <c r="P15" i="2" s="1"/>
  <c r="O11" i="2"/>
  <c r="O13" i="2" s="1"/>
  <c r="N12" i="2"/>
  <c r="M11" i="2"/>
  <c r="M13" i="2" s="1"/>
  <c r="L11" i="2"/>
  <c r="L13" i="2" s="1"/>
  <c r="L14" i="2" s="1"/>
  <c r="L15" i="2" s="1"/>
  <c r="M12" i="2"/>
  <c r="J12" i="2"/>
  <c r="I11" i="2"/>
  <c r="I13" i="2" s="1"/>
  <c r="I14" i="2" s="1"/>
  <c r="I15" i="2" s="1"/>
  <c r="N8" i="1"/>
  <c r="G18" i="1"/>
  <c r="G29" i="1"/>
  <c r="G33" i="1"/>
  <c r="G37" i="1"/>
  <c r="G45" i="1"/>
  <c r="F3" i="1"/>
  <c r="F7" i="1"/>
  <c r="F11" i="1"/>
  <c r="F15" i="1"/>
  <c r="F19" i="1"/>
  <c r="F23" i="1"/>
  <c r="F27" i="1"/>
  <c r="F31" i="1"/>
  <c r="F35" i="1"/>
  <c r="F39" i="1"/>
  <c r="F43" i="1"/>
  <c r="F47" i="1"/>
  <c r="F51" i="1"/>
  <c r="E3" i="1"/>
  <c r="E7" i="1"/>
  <c r="E11" i="1"/>
  <c r="E15" i="1"/>
  <c r="E19" i="1"/>
  <c r="E23" i="1"/>
  <c r="E27" i="1"/>
  <c r="E31" i="1"/>
  <c r="E35" i="1"/>
  <c r="E39" i="1"/>
  <c r="E43" i="1"/>
  <c r="E47" i="1"/>
  <c r="E51" i="1"/>
  <c r="J6" i="1"/>
  <c r="K15" i="1"/>
  <c r="L15" i="1"/>
  <c r="M15" i="1"/>
  <c r="N15" i="1"/>
  <c r="O15" i="1"/>
  <c r="P15" i="1"/>
  <c r="Q15" i="1"/>
  <c r="R15" i="1"/>
  <c r="S15" i="1"/>
  <c r="T15" i="1"/>
  <c r="U15" i="1"/>
  <c r="J15" i="1"/>
  <c r="J16" i="1" s="1"/>
  <c r="K16" i="1" s="1"/>
  <c r="K14" i="2" l="1"/>
  <c r="K15" i="2" s="1"/>
  <c r="K21" i="2" s="1"/>
  <c r="M14" i="2"/>
  <c r="M15" i="2" s="1"/>
  <c r="M21" i="2" s="1"/>
  <c r="P21" i="2"/>
  <c r="P16" i="2"/>
  <c r="O14" i="2"/>
  <c r="O15" i="2" s="1"/>
  <c r="N14" i="2"/>
  <c r="N15" i="2" s="1"/>
  <c r="L21" i="2"/>
  <c r="L16" i="2"/>
  <c r="I21" i="2"/>
  <c r="I16" i="2"/>
  <c r="H21" i="2"/>
  <c r="H16" i="2"/>
  <c r="J14" i="2"/>
  <c r="J15" i="2" s="1"/>
  <c r="L16" i="1"/>
  <c r="M16" i="1" s="1"/>
  <c r="N16" i="1" s="1"/>
  <c r="O16" i="1" s="1"/>
  <c r="P16" i="1" s="1"/>
  <c r="Q16" i="1" s="1"/>
  <c r="R16" i="1" s="1"/>
  <c r="S16" i="1" s="1"/>
  <c r="T16" i="1" s="1"/>
  <c r="U16" i="1" s="1"/>
  <c r="G3" i="1"/>
  <c r="G7" i="1"/>
  <c r="G11" i="1"/>
  <c r="G15" i="1"/>
  <c r="G19" i="1"/>
  <c r="G23" i="1"/>
  <c r="G27" i="1"/>
  <c r="G31" i="1"/>
  <c r="G35" i="1"/>
  <c r="G39" i="1"/>
  <c r="G43" i="1"/>
  <c r="G47" i="1"/>
  <c r="G51" i="1"/>
  <c r="F5" i="1"/>
  <c r="F9" i="1"/>
  <c r="F13" i="1"/>
  <c r="F17" i="1"/>
  <c r="F21" i="1"/>
  <c r="F25" i="1"/>
  <c r="F29" i="1"/>
  <c r="F33" i="1"/>
  <c r="F37" i="1"/>
  <c r="F41" i="1"/>
  <c r="F45" i="1"/>
  <c r="F49" i="1"/>
  <c r="E2" i="1"/>
  <c r="E5" i="1"/>
  <c r="E9" i="1"/>
  <c r="E13" i="1"/>
  <c r="E17" i="1"/>
  <c r="E21" i="1"/>
  <c r="E25" i="1"/>
  <c r="E29" i="1"/>
  <c r="E33" i="1"/>
  <c r="E37" i="1"/>
  <c r="E41" i="1"/>
  <c r="E45" i="1"/>
  <c r="E49" i="1"/>
  <c r="G4" i="1"/>
  <c r="G8" i="1"/>
  <c r="G12" i="1"/>
  <c r="G16" i="1"/>
  <c r="G20" i="1"/>
  <c r="G24" i="1"/>
  <c r="G28" i="1"/>
  <c r="G32" i="1"/>
  <c r="G36" i="1"/>
  <c r="G40" i="1"/>
  <c r="G44" i="1"/>
  <c r="G48" i="1"/>
  <c r="F6" i="1"/>
  <c r="F10" i="1"/>
  <c r="F14" i="1"/>
  <c r="F18" i="1"/>
  <c r="F22" i="1"/>
  <c r="F26" i="1"/>
  <c r="F30" i="1"/>
  <c r="F34" i="1"/>
  <c r="F38" i="1"/>
  <c r="F42" i="1"/>
  <c r="F46" i="1"/>
  <c r="F50" i="1"/>
  <c r="E6" i="1"/>
  <c r="E10" i="1"/>
  <c r="E14" i="1"/>
  <c r="E18" i="1"/>
  <c r="E22" i="1"/>
  <c r="E26" i="1"/>
  <c r="E30" i="1"/>
  <c r="E34" i="1"/>
  <c r="E38" i="1"/>
  <c r="E42" i="1"/>
  <c r="E46" i="1"/>
  <c r="E50" i="1"/>
  <c r="G5" i="1"/>
  <c r="G9" i="1"/>
  <c r="G13" i="1"/>
  <c r="G17" i="1"/>
  <c r="G21" i="1"/>
  <c r="E44" i="1"/>
  <c r="E36" i="1"/>
  <c r="E28" i="1"/>
  <c r="E20" i="1"/>
  <c r="E12" i="1"/>
  <c r="E4" i="1"/>
  <c r="F48" i="1"/>
  <c r="F40" i="1"/>
  <c r="F32" i="1"/>
  <c r="F24" i="1"/>
  <c r="F16" i="1"/>
  <c r="F8" i="1"/>
  <c r="G50" i="1"/>
  <c r="G42" i="1"/>
  <c r="G34" i="1"/>
  <c r="G26" i="1"/>
  <c r="G14" i="1"/>
  <c r="G49" i="1"/>
  <c r="G41" i="1"/>
  <c r="G25" i="1"/>
  <c r="G10" i="1"/>
  <c r="E48" i="1"/>
  <c r="E40" i="1"/>
  <c r="E32" i="1"/>
  <c r="E24" i="1"/>
  <c r="E16" i="1"/>
  <c r="E8" i="1"/>
  <c r="F2" i="1"/>
  <c r="F44" i="1"/>
  <c r="F36" i="1"/>
  <c r="F28" i="1"/>
  <c r="F20" i="1"/>
  <c r="F12" i="1"/>
  <c r="F4" i="1"/>
  <c r="G46" i="1"/>
  <c r="G38" i="1"/>
  <c r="G30" i="1"/>
  <c r="G22" i="1"/>
  <c r="G6" i="1"/>
  <c r="K16" i="2" l="1"/>
  <c r="M16" i="2"/>
  <c r="J21" i="2"/>
  <c r="J16" i="2"/>
  <c r="N21" i="2"/>
  <c r="Q21" i="2" s="1"/>
  <c r="P27" i="2" s="1"/>
  <c r="N16" i="2"/>
  <c r="O21" i="2"/>
  <c r="O16" i="2"/>
  <c r="J8" i="1"/>
  <c r="R20" i="2" l="1"/>
  <c r="Q16" i="2"/>
  <c r="J9" i="1"/>
  <c r="J11" i="1"/>
  <c r="J10" i="1"/>
  <c r="P9" i="1"/>
  <c r="N9" i="1"/>
</calcChain>
</file>

<file path=xl/sharedStrings.xml><?xml version="1.0" encoding="utf-8"?>
<sst xmlns="http://schemas.openxmlformats.org/spreadsheetml/2006/main" count="80" uniqueCount="63">
  <si>
    <t>Дискретный вариационный ряд</t>
  </si>
  <si>
    <r>
      <t>Варианты,</t>
    </r>
    <r>
      <rPr>
        <i/>
        <sz val="11"/>
        <color rgb="FF000000"/>
        <rFont val="Times New Roman"/>
        <family val="1"/>
        <charset val="204"/>
      </rPr>
      <t>x</t>
    </r>
    <r>
      <rPr>
        <i/>
        <vertAlign val="subscript"/>
        <sz val="11"/>
        <color rgb="FF000000"/>
        <rFont val="Times New Roman"/>
        <family val="1"/>
        <charset val="204"/>
      </rPr>
      <t>i</t>
    </r>
  </si>
  <si>
    <r>
      <t>Частоты,</t>
    </r>
    <r>
      <rPr>
        <i/>
        <sz val="11"/>
        <color rgb="FF000000"/>
        <rFont val="Times New Roman"/>
        <family val="1"/>
        <charset val="204"/>
      </rPr>
      <t>n</t>
    </r>
    <r>
      <rPr>
        <i/>
        <vertAlign val="subscript"/>
        <sz val="11"/>
        <color rgb="FF000000"/>
        <rFont val="Times New Roman"/>
        <family val="1"/>
        <charset val="204"/>
      </rPr>
      <t>i</t>
    </r>
  </si>
  <si>
    <r>
      <t>размахR</t>
    </r>
    <r>
      <rPr>
        <sz val="11"/>
        <color rgb="FF000000"/>
        <rFont val="Times New Roman"/>
        <family val="1"/>
        <charset val="204"/>
      </rPr>
      <t xml:space="preserve">варьирования признака </t>
    </r>
  </si>
  <si>
    <t>h</t>
  </si>
  <si>
    <t>Варианты-интервалы, ( xi-1 ;xi )</t>
  </si>
  <si>
    <t>относительные частоты,</t>
  </si>
  <si>
    <t>[4,2; 4,7]</t>
  </si>
  <si>
    <t>(4,7; 5,2]</t>
  </si>
  <si>
    <t>(5,2; 5,7]</t>
  </si>
  <si>
    <t>(5,7; 6,2]</t>
  </si>
  <si>
    <t>(6,2; 6,7]</t>
  </si>
  <si>
    <t>(6,7; 7,2]</t>
  </si>
  <si>
    <t>(7,2; 7,7]</t>
  </si>
  <si>
    <t>(7,7; 8,2]</t>
  </si>
  <si>
    <t>(8,2; 8,7]</t>
  </si>
  <si>
    <t>Накопленные относительные частоты</t>
  </si>
  <si>
    <r>
      <t>W</t>
    </r>
    <r>
      <rPr>
        <vertAlign val="subscript"/>
        <sz val="11"/>
        <color theme="1"/>
        <rFont val="Times New Roman"/>
        <family val="1"/>
        <charset val="204"/>
      </rPr>
      <t>i</t>
    </r>
    <r>
      <rPr>
        <sz val="11"/>
        <color theme="1"/>
        <rFont val="Times New Roman"/>
        <family val="1"/>
        <charset val="204"/>
      </rPr>
      <t>= W</t>
    </r>
    <r>
      <rPr>
        <vertAlign val="subscript"/>
        <sz val="11"/>
        <color theme="1"/>
        <rFont val="Times New Roman"/>
        <family val="1"/>
        <charset val="204"/>
      </rPr>
      <t>i-1</t>
    </r>
    <r>
      <rPr>
        <sz val="11"/>
        <color theme="1"/>
        <rFont val="Times New Roman"/>
        <family val="1"/>
        <charset val="204"/>
      </rPr>
      <t xml:space="preserve"> + w</t>
    </r>
    <r>
      <rPr>
        <vertAlign val="subscript"/>
        <sz val="11"/>
        <color theme="1"/>
        <rFont val="Times New Roman"/>
        <family val="1"/>
        <charset val="204"/>
      </rPr>
      <t>i</t>
    </r>
  </si>
  <si>
    <t>Моду</t>
  </si>
  <si>
    <t>Медиана</t>
  </si>
  <si>
    <t>выброчную дисперсию</t>
  </si>
  <si>
    <t xml:space="preserve">выборкивыборочное среднее квадратическое </t>
  </si>
  <si>
    <t>коэфицент варицый</t>
  </si>
  <si>
    <t>ассиметрия</t>
  </si>
  <si>
    <t>экцесс</t>
  </si>
  <si>
    <t>m</t>
  </si>
  <si>
    <t>k=9</t>
  </si>
  <si>
    <t>Доверительный интервал</t>
  </si>
  <si>
    <t>`</t>
  </si>
  <si>
    <t>X</t>
  </si>
  <si>
    <t>Выборочную среднию (ВСр)</t>
  </si>
  <si>
    <t>(X-ВСр)^2</t>
  </si>
  <si>
    <t>(X-ВСр)^3</t>
  </si>
  <si>
    <t>(X-ВСр)^4</t>
  </si>
  <si>
    <t>к=9</t>
  </si>
  <si>
    <t>выб сре</t>
  </si>
  <si>
    <t>диспер</t>
  </si>
  <si>
    <t>ср квд</t>
  </si>
  <si>
    <t>x1=(xi-xch)/s</t>
  </si>
  <si>
    <t>x2=(xi+1-xch)/s</t>
  </si>
  <si>
    <t>F(x1)</t>
  </si>
  <si>
    <t>F(x2)</t>
  </si>
  <si>
    <t>F(x2)-F(x1)</t>
  </si>
  <si>
    <t>Ожидаемая частота, </t>
  </si>
  <si>
    <r>
      <t>Слагаемые статистики Пирсона, K</t>
    </r>
    <r>
      <rPr>
        <sz val="8"/>
        <color rgb="FF333333"/>
        <rFont val="Arial"/>
        <family val="2"/>
        <charset val="204"/>
      </rPr>
      <t>i</t>
    </r>
  </si>
  <si>
    <t xml:space="preserve">5. Гипотеза Н0 согласуется с результатами наблюдений на уровне значимости 0,95 так как </t>
  </si>
  <si>
    <t>больше</t>
  </si>
  <si>
    <t>n=50</t>
  </si>
  <si>
    <t>Накопительные частотоы</t>
  </si>
  <si>
    <t>F(xor, s)</t>
  </si>
  <si>
    <t>D-n</t>
  </si>
  <si>
    <t>D+n</t>
  </si>
  <si>
    <t>Критерий Романовского</t>
  </si>
  <si>
    <t>Критерий Колмогорова-Смирнова</t>
  </si>
  <si>
    <t>Критерий Ястремского</t>
  </si>
  <si>
    <t>&lt;</t>
  </si>
  <si>
    <t>Sэкцесс</t>
  </si>
  <si>
    <t>Sассиметрия</t>
  </si>
  <si>
    <t>&gt;</t>
  </si>
  <si>
    <t>Вывод: гипотезу о соответствии данного распределения нормальному закону распределения принимаем.</t>
  </si>
  <si>
    <t>Оба условия выполняются.</t>
  </si>
  <si>
    <t>d+n</t>
  </si>
  <si>
    <t>d-n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</si>
</sst>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  <font>
      <i/>
      <sz val="11"/>
      <color rgb="FF000000"/>
      <name val="Times New Roman"/>
      <family val="1"/>
      <charset val="204"/>
    </font>
    <font>
      <i/>
      <vertAlign val="subscript"/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vertAlign val="subscript"/>
      <sz val="11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sz val="11"/>
      <color rgb="FF333333"/>
      <name val="Arial"/>
      <family val="2"/>
      <charset val="204"/>
    </font>
    <font>
      <sz val="8"/>
      <color rgb="FF333333"/>
      <name val="Arial"/>
      <family val="2"/>
      <charset val="204"/>
    </font>
    <font>
      <b/>
      <sz val="11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 applyAlignment="1">
      <alignment horizontal="left" vertical="center" indent="2"/>
    </xf>
    <xf numFmtId="0" fontId="1" fillId="0" borderId="0" xfId="0" applyFont="1" applyAlignment="1">
      <alignment horizontal="center"/>
    </xf>
    <xf numFmtId="0" fontId="0" fillId="0" borderId="0" xfId="0" applyAlignment="1">
      <alignment wrapText="1"/>
    </xf>
    <xf numFmtId="0" fontId="4" fillId="0" borderId="0" xfId="0" applyFont="1" applyAlignment="1">
      <alignment horizontal="center"/>
    </xf>
    <xf numFmtId="0" fontId="4" fillId="0" borderId="0" xfId="0" applyFont="1"/>
    <xf numFmtId="0" fontId="6" fillId="0" borderId="0" xfId="0" applyFont="1"/>
    <xf numFmtId="0" fontId="1" fillId="0" borderId="1" xfId="0" applyFont="1" applyBorder="1" applyAlignment="1">
      <alignment horizontal="left" vertical="top" wrapText="1" indent="2"/>
    </xf>
    <xf numFmtId="0" fontId="7" fillId="0" borderId="0" xfId="0" applyFont="1"/>
    <xf numFmtId="0" fontId="7" fillId="0" borderId="0" xfId="0" applyFont="1" applyAlignment="1">
      <alignment vertical="center" wrapText="1"/>
    </xf>
    <xf numFmtId="0" fontId="9" fillId="0" borderId="0" xfId="0" applyFo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полигона дискретного значения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'1Лабка'!$J$13:$U$13</c:f>
              <c:numCache>
                <c:formatCode>General</c:formatCode>
                <c:ptCount val="12"/>
                <c:pt idx="0">
                  <c:v>4.2</c:v>
                </c:pt>
                <c:pt idx="1">
                  <c:v>4.7</c:v>
                </c:pt>
                <c:pt idx="2">
                  <c:v>4.9000000000000004</c:v>
                </c:pt>
                <c:pt idx="3">
                  <c:v>5.2</c:v>
                </c:pt>
                <c:pt idx="4">
                  <c:v>5.5</c:v>
                </c:pt>
                <c:pt idx="5">
                  <c:v>5.7</c:v>
                </c:pt>
                <c:pt idx="6">
                  <c:v>6.2</c:v>
                </c:pt>
                <c:pt idx="7">
                  <c:v>6.7</c:v>
                </c:pt>
                <c:pt idx="8">
                  <c:v>7.2</c:v>
                </c:pt>
                <c:pt idx="9">
                  <c:v>7.7</c:v>
                </c:pt>
                <c:pt idx="10">
                  <c:v>8.1999999999999993</c:v>
                </c:pt>
                <c:pt idx="11">
                  <c:v>8.6999999999999993</c:v>
                </c:pt>
              </c:numCache>
            </c:numRef>
          </c:xVal>
          <c:yVal>
            <c:numRef>
              <c:f>'1Лабка'!$J$14:$U$14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7</c:v>
                </c:pt>
                <c:pt idx="6">
                  <c:v>10</c:v>
                </c:pt>
                <c:pt idx="7">
                  <c:v>7</c:v>
                </c:pt>
                <c:pt idx="8">
                  <c:v>7</c:v>
                </c:pt>
                <c:pt idx="9">
                  <c:v>5</c:v>
                </c:pt>
                <c:pt idx="10">
                  <c:v>5</c:v>
                </c:pt>
                <c:pt idx="11">
                  <c:v>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046912"/>
        <c:axId val="161048448"/>
      </c:scatterChart>
      <c:valAx>
        <c:axId val="161046912"/>
        <c:scaling>
          <c:orientation val="minMax"/>
          <c:min val="4"/>
        </c:scaling>
        <c:delete val="0"/>
        <c:axPos val="b"/>
        <c:numFmt formatCode="General" sourceLinked="1"/>
        <c:majorTickMark val="out"/>
        <c:minorTickMark val="none"/>
        <c:tickLblPos val="nextTo"/>
        <c:crossAx val="161048448"/>
        <c:crosses val="autoZero"/>
        <c:crossBetween val="midCat"/>
        <c:majorUnit val="1"/>
      </c:valAx>
      <c:valAx>
        <c:axId val="161048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10469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полигон относительны</a:t>
            </a:r>
            <a:r>
              <a:rPr lang="en-US"/>
              <a:t>x</a:t>
            </a:r>
            <a:r>
              <a:rPr lang="ru-RU"/>
              <a:t> частот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'1Лабка'!$J$13:$U$13</c:f>
              <c:numCache>
                <c:formatCode>General</c:formatCode>
                <c:ptCount val="12"/>
                <c:pt idx="0">
                  <c:v>4.2</c:v>
                </c:pt>
                <c:pt idx="1">
                  <c:v>4.7</c:v>
                </c:pt>
                <c:pt idx="2">
                  <c:v>4.9000000000000004</c:v>
                </c:pt>
                <c:pt idx="3">
                  <c:v>5.2</c:v>
                </c:pt>
                <c:pt idx="4">
                  <c:v>5.5</c:v>
                </c:pt>
                <c:pt idx="5">
                  <c:v>5.7</c:v>
                </c:pt>
                <c:pt idx="6">
                  <c:v>6.2</c:v>
                </c:pt>
                <c:pt idx="7">
                  <c:v>6.7</c:v>
                </c:pt>
                <c:pt idx="8">
                  <c:v>7.2</c:v>
                </c:pt>
                <c:pt idx="9">
                  <c:v>7.7</c:v>
                </c:pt>
                <c:pt idx="10">
                  <c:v>8.1999999999999993</c:v>
                </c:pt>
                <c:pt idx="11">
                  <c:v>8.6999999999999993</c:v>
                </c:pt>
              </c:numCache>
            </c:numRef>
          </c:xVal>
          <c:yVal>
            <c:numRef>
              <c:f>'1Лабка'!$J$15:$U$15</c:f>
              <c:numCache>
                <c:formatCode>General</c:formatCode>
                <c:ptCount val="12"/>
                <c:pt idx="0">
                  <c:v>0.02</c:v>
                </c:pt>
                <c:pt idx="1">
                  <c:v>0.04</c:v>
                </c:pt>
                <c:pt idx="2">
                  <c:v>0.02</c:v>
                </c:pt>
                <c:pt idx="3">
                  <c:v>0.04</c:v>
                </c:pt>
                <c:pt idx="4">
                  <c:v>0.02</c:v>
                </c:pt>
                <c:pt idx="5">
                  <c:v>0.14000000000000001</c:v>
                </c:pt>
                <c:pt idx="6">
                  <c:v>0.2</c:v>
                </c:pt>
                <c:pt idx="7">
                  <c:v>0.14000000000000001</c:v>
                </c:pt>
                <c:pt idx="8">
                  <c:v>0.14000000000000001</c:v>
                </c:pt>
                <c:pt idx="9">
                  <c:v>0.1</c:v>
                </c:pt>
                <c:pt idx="10">
                  <c:v>0.1</c:v>
                </c:pt>
                <c:pt idx="11">
                  <c:v>0.04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085312"/>
        <c:axId val="161086848"/>
      </c:scatterChart>
      <c:valAx>
        <c:axId val="161085312"/>
        <c:scaling>
          <c:orientation val="minMax"/>
          <c:min val="4"/>
        </c:scaling>
        <c:delete val="0"/>
        <c:axPos val="b"/>
        <c:numFmt formatCode="General" sourceLinked="1"/>
        <c:majorTickMark val="out"/>
        <c:minorTickMark val="none"/>
        <c:tickLblPos val="nextTo"/>
        <c:crossAx val="161086848"/>
        <c:crosses val="autoZero"/>
        <c:crossBetween val="midCat"/>
        <c:majorUnit val="1"/>
      </c:valAx>
      <c:valAx>
        <c:axId val="161086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10853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Гистограмма</a:t>
            </a:r>
            <a:r>
              <a:rPr lang="ru-RU" baseline="0"/>
              <a:t> интервальных значений</a:t>
            </a:r>
            <a:endParaRPr lang="ru-RU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'1Лабка'!$O$21:$W$21</c:f>
              <c:strCache>
                <c:ptCount val="9"/>
                <c:pt idx="0">
                  <c:v>[4,2; 4,7]</c:v>
                </c:pt>
                <c:pt idx="1">
                  <c:v>(4,7; 5,2]</c:v>
                </c:pt>
                <c:pt idx="2">
                  <c:v>(5,2; 5,7]</c:v>
                </c:pt>
                <c:pt idx="3">
                  <c:v>(5,7; 6,2]</c:v>
                </c:pt>
                <c:pt idx="4">
                  <c:v>(6,2; 6,7]</c:v>
                </c:pt>
                <c:pt idx="5">
                  <c:v>(6,7; 7,2]</c:v>
                </c:pt>
                <c:pt idx="6">
                  <c:v>(7,2; 7,7]</c:v>
                </c:pt>
                <c:pt idx="7">
                  <c:v>(7,7; 8,2]</c:v>
                </c:pt>
                <c:pt idx="8">
                  <c:v>(8,2; 8,7]</c:v>
                </c:pt>
              </c:strCache>
            </c:strRef>
          </c:cat>
          <c:val>
            <c:numRef>
              <c:f>'1Лабка'!$O$22:$W$22</c:f>
              <c:numCache>
                <c:formatCode>General</c:formatCode>
                <c:ptCount val="9"/>
                <c:pt idx="0">
                  <c:v>3</c:v>
                </c:pt>
                <c:pt idx="1">
                  <c:v>3</c:v>
                </c:pt>
                <c:pt idx="2">
                  <c:v>8</c:v>
                </c:pt>
                <c:pt idx="3">
                  <c:v>10</c:v>
                </c:pt>
                <c:pt idx="4">
                  <c:v>7</c:v>
                </c:pt>
                <c:pt idx="5">
                  <c:v>7</c:v>
                </c:pt>
                <c:pt idx="6">
                  <c:v>5</c:v>
                </c:pt>
                <c:pt idx="7">
                  <c:v>5</c:v>
                </c:pt>
                <c:pt idx="8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440000"/>
        <c:axId val="195462272"/>
      </c:barChart>
      <c:catAx>
        <c:axId val="195440000"/>
        <c:scaling>
          <c:orientation val="minMax"/>
        </c:scaling>
        <c:delete val="0"/>
        <c:axPos val="b"/>
        <c:majorTickMark val="out"/>
        <c:minorTickMark val="none"/>
        <c:tickLblPos val="nextTo"/>
        <c:crossAx val="195462272"/>
        <c:crosses val="autoZero"/>
        <c:auto val="1"/>
        <c:lblAlgn val="ctr"/>
        <c:lblOffset val="100"/>
        <c:noMultiLvlLbl val="0"/>
      </c:catAx>
      <c:valAx>
        <c:axId val="195462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5440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график кумулят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'1Лабка'!$J$13:$U$13</c:f>
              <c:numCache>
                <c:formatCode>General</c:formatCode>
                <c:ptCount val="12"/>
                <c:pt idx="0">
                  <c:v>4.2</c:v>
                </c:pt>
                <c:pt idx="1">
                  <c:v>4.7</c:v>
                </c:pt>
                <c:pt idx="2">
                  <c:v>4.9000000000000004</c:v>
                </c:pt>
                <c:pt idx="3">
                  <c:v>5.2</c:v>
                </c:pt>
                <c:pt idx="4">
                  <c:v>5.5</c:v>
                </c:pt>
                <c:pt idx="5">
                  <c:v>5.7</c:v>
                </c:pt>
                <c:pt idx="6">
                  <c:v>6.2</c:v>
                </c:pt>
                <c:pt idx="7">
                  <c:v>6.7</c:v>
                </c:pt>
                <c:pt idx="8">
                  <c:v>7.2</c:v>
                </c:pt>
                <c:pt idx="9">
                  <c:v>7.7</c:v>
                </c:pt>
                <c:pt idx="10">
                  <c:v>8.1999999999999993</c:v>
                </c:pt>
                <c:pt idx="11">
                  <c:v>8.6999999999999993</c:v>
                </c:pt>
              </c:numCache>
            </c:numRef>
          </c:xVal>
          <c:yVal>
            <c:numRef>
              <c:f>'1Лабка'!$J$16:$U$16</c:f>
              <c:numCache>
                <c:formatCode>General</c:formatCode>
                <c:ptCount val="12"/>
                <c:pt idx="0">
                  <c:v>0.02</c:v>
                </c:pt>
                <c:pt idx="1">
                  <c:v>0.06</c:v>
                </c:pt>
                <c:pt idx="2">
                  <c:v>0.08</c:v>
                </c:pt>
                <c:pt idx="3">
                  <c:v>0.12</c:v>
                </c:pt>
                <c:pt idx="4">
                  <c:v>0.13999999999999999</c:v>
                </c:pt>
                <c:pt idx="5">
                  <c:v>0.28000000000000003</c:v>
                </c:pt>
                <c:pt idx="6">
                  <c:v>0.48000000000000004</c:v>
                </c:pt>
                <c:pt idx="7">
                  <c:v>0.62000000000000011</c:v>
                </c:pt>
                <c:pt idx="8">
                  <c:v>0.76000000000000012</c:v>
                </c:pt>
                <c:pt idx="9">
                  <c:v>0.8600000000000001</c:v>
                </c:pt>
                <c:pt idx="10">
                  <c:v>0.96000000000000008</c:v>
                </c:pt>
                <c:pt idx="11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482752"/>
        <c:axId val="195484288"/>
      </c:scatterChart>
      <c:valAx>
        <c:axId val="195482752"/>
        <c:scaling>
          <c:orientation val="minMax"/>
          <c:min val="4"/>
        </c:scaling>
        <c:delete val="0"/>
        <c:axPos val="b"/>
        <c:numFmt formatCode="General" sourceLinked="1"/>
        <c:majorTickMark val="out"/>
        <c:minorTickMark val="none"/>
        <c:tickLblPos val="nextTo"/>
        <c:crossAx val="195484288"/>
        <c:crosses val="autoZero"/>
        <c:crossBetween val="midCat"/>
        <c:majorUnit val="1"/>
      </c:valAx>
      <c:valAx>
        <c:axId val="195484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548275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 sz="1800" b="1" i="0" u="none" strike="noStrike" baseline="0">
                <a:effectLst/>
              </a:rPr>
              <a:t>нормальная кривая распределения</a:t>
            </a:r>
            <a:endParaRPr lang="ru-RU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'2Лабка'!$H$5:$S$5</c:f>
              <c:numCache>
                <c:formatCode>General</c:formatCode>
                <c:ptCount val="12"/>
                <c:pt idx="0">
                  <c:v>4.2</c:v>
                </c:pt>
                <c:pt idx="1">
                  <c:v>4.7</c:v>
                </c:pt>
                <c:pt idx="2">
                  <c:v>4.9000000000000004</c:v>
                </c:pt>
                <c:pt idx="3">
                  <c:v>5.2</c:v>
                </c:pt>
                <c:pt idx="4">
                  <c:v>5.5</c:v>
                </c:pt>
                <c:pt idx="5">
                  <c:v>5.7</c:v>
                </c:pt>
                <c:pt idx="6">
                  <c:v>6.2</c:v>
                </c:pt>
                <c:pt idx="7">
                  <c:v>6.7</c:v>
                </c:pt>
                <c:pt idx="8">
                  <c:v>7.2</c:v>
                </c:pt>
                <c:pt idx="9">
                  <c:v>7.7</c:v>
                </c:pt>
                <c:pt idx="10">
                  <c:v>8.1999999999999993</c:v>
                </c:pt>
                <c:pt idx="11">
                  <c:v>8.6999999999999993</c:v>
                </c:pt>
              </c:numCache>
            </c:numRef>
          </c:xVal>
          <c:yVal>
            <c:numRef>
              <c:f>'2Лабка'!$H$7:$S$7</c:f>
              <c:numCache>
                <c:formatCode>General</c:formatCode>
                <c:ptCount val="12"/>
                <c:pt idx="0">
                  <c:v>0.20163595796553532</c:v>
                </c:pt>
                <c:pt idx="1">
                  <c:v>0.49804620069363248</c:v>
                </c:pt>
                <c:pt idx="2">
                  <c:v>0.67436870221532019</c:v>
                </c:pt>
                <c:pt idx="3">
                  <c:v>0.99785656891674757</c:v>
                </c:pt>
                <c:pt idx="4">
                  <c:v>1.3693475769060657</c:v>
                </c:pt>
                <c:pt idx="5">
                  <c:v>1.6216736139932857</c:v>
                </c:pt>
                <c:pt idx="6">
                  <c:v>2.1377436290876579</c:v>
                </c:pt>
                <c:pt idx="7">
                  <c:v>2.2858337031869711</c:v>
                </c:pt>
                <c:pt idx="8">
                  <c:v>1.9825789166264349</c:v>
                </c:pt>
                <c:pt idx="9">
                  <c:v>1.3948039726890464</c:v>
                </c:pt>
                <c:pt idx="10">
                  <c:v>0.79596268528837189</c:v>
                </c:pt>
                <c:pt idx="11">
                  <c:v>0.36844195829500009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552000"/>
        <c:axId val="195553536"/>
      </c:scatterChart>
      <c:valAx>
        <c:axId val="195552000"/>
        <c:scaling>
          <c:orientation val="minMax"/>
          <c:max val="9"/>
          <c:min val="4"/>
        </c:scaling>
        <c:delete val="0"/>
        <c:axPos val="b"/>
        <c:numFmt formatCode="General" sourceLinked="1"/>
        <c:majorTickMark val="out"/>
        <c:minorTickMark val="none"/>
        <c:tickLblPos val="nextTo"/>
        <c:crossAx val="195553536"/>
        <c:crosses val="autoZero"/>
        <c:crossBetween val="midCat"/>
        <c:majorUnit val="1"/>
      </c:valAx>
      <c:valAx>
        <c:axId val="195553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55520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485775</xdr:colOff>
      <xdr:row>23</xdr:row>
      <xdr:rowOff>0</xdr:rowOff>
    </xdr:from>
    <xdr:to>
      <xdr:col>11</xdr:col>
      <xdr:colOff>381000</xdr:colOff>
      <xdr:row>37</xdr:row>
      <xdr:rowOff>76200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523875</xdr:colOff>
      <xdr:row>23</xdr:row>
      <xdr:rowOff>57150</xdr:rowOff>
    </xdr:from>
    <xdr:to>
      <xdr:col>20</xdr:col>
      <xdr:colOff>219075</xdr:colOff>
      <xdr:row>37</xdr:row>
      <xdr:rowOff>133350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800100</xdr:colOff>
      <xdr:row>39</xdr:row>
      <xdr:rowOff>9525</xdr:rowOff>
    </xdr:from>
    <xdr:to>
      <xdr:col>13</xdr:col>
      <xdr:colOff>85725</xdr:colOff>
      <xdr:row>56</xdr:row>
      <xdr:rowOff>142875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361950</xdr:colOff>
      <xdr:row>39</xdr:row>
      <xdr:rowOff>0</xdr:rowOff>
    </xdr:from>
    <xdr:to>
      <xdr:col>21</xdr:col>
      <xdr:colOff>57150</xdr:colOff>
      <xdr:row>57</xdr:row>
      <xdr:rowOff>114300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25</xdr:row>
      <xdr:rowOff>38100</xdr:rowOff>
    </xdr:from>
    <xdr:to>
      <xdr:col>12</xdr:col>
      <xdr:colOff>542925</xdr:colOff>
      <xdr:row>39</xdr:row>
      <xdr:rowOff>114300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W52"/>
  <sheetViews>
    <sheetView topLeftCell="G4" workbookViewId="0">
      <selection activeCell="J10" sqref="J10:J11"/>
    </sheetView>
  </sheetViews>
  <sheetFormatPr defaultRowHeight="15" x14ac:dyDescent="0.25"/>
  <cols>
    <col min="9" max="9" width="42.7109375" customWidth="1"/>
  </cols>
  <sheetData>
    <row r="1" spans="4:21" x14ac:dyDescent="0.25">
      <c r="D1" t="s">
        <v>29</v>
      </c>
      <c r="E1" t="s">
        <v>31</v>
      </c>
      <c r="F1" t="s">
        <v>32</v>
      </c>
      <c r="G1" t="s">
        <v>33</v>
      </c>
    </row>
    <row r="2" spans="4:21" x14ac:dyDescent="0.25">
      <c r="D2">
        <v>4.2</v>
      </c>
      <c r="E2">
        <f>(D2-$J$6)^2</f>
        <v>5.8080999999999703</v>
      </c>
      <c r="F2">
        <f>(D2-$J$6)^3</f>
        <v>-13.997520999999892</v>
      </c>
      <c r="G2">
        <f>(D2-$J$6)^4</f>
        <v>33.734025609999655</v>
      </c>
      <c r="I2">
        <f>KURT(D2:D51)</f>
        <v>-0.58244988284049315</v>
      </c>
    </row>
    <row r="3" spans="4:21" x14ac:dyDescent="0.25">
      <c r="D3">
        <v>4.7</v>
      </c>
      <c r="E3">
        <f t="shared" ref="E3:E51" si="0">(D3-$J$6)^2</f>
        <v>3.6480999999999768</v>
      </c>
      <c r="F3">
        <f t="shared" ref="F3:F51" si="1">(D3-$J$6)^3</f>
        <v>-6.967870999999934</v>
      </c>
      <c r="G3">
        <f t="shared" ref="G3:G51" si="2">(D3-$J$6)^4</f>
        <v>13.308633609999831</v>
      </c>
    </row>
    <row r="4" spans="4:21" x14ac:dyDescent="0.25">
      <c r="D4">
        <v>4.7</v>
      </c>
      <c r="E4">
        <f t="shared" si="0"/>
        <v>3.6480999999999768</v>
      </c>
      <c r="F4">
        <f t="shared" si="1"/>
        <v>-6.967870999999934</v>
      </c>
      <c r="G4">
        <f t="shared" si="2"/>
        <v>13.308633609999831</v>
      </c>
      <c r="I4" t="s">
        <v>18</v>
      </c>
      <c r="J4">
        <v>6.2</v>
      </c>
    </row>
    <row r="5" spans="4:21" x14ac:dyDescent="0.25">
      <c r="D5">
        <v>4.9000000000000004</v>
      </c>
      <c r="E5">
        <f t="shared" si="0"/>
        <v>2.9240999999999788</v>
      </c>
      <c r="F5">
        <f t="shared" si="1"/>
        <v>-5.0002109999999451</v>
      </c>
      <c r="G5">
        <f t="shared" si="2"/>
        <v>8.5503608099998765</v>
      </c>
      <c r="I5" t="s">
        <v>19</v>
      </c>
      <c r="J5">
        <v>6.7</v>
      </c>
    </row>
    <row r="6" spans="4:21" x14ac:dyDescent="0.25">
      <c r="D6">
        <v>5.2</v>
      </c>
      <c r="E6">
        <f t="shared" si="0"/>
        <v>1.9880999999999829</v>
      </c>
      <c r="F6">
        <f t="shared" si="1"/>
        <v>-2.8032209999999638</v>
      </c>
      <c r="G6">
        <f t="shared" si="2"/>
        <v>3.952541609999932</v>
      </c>
      <c r="I6" t="s">
        <v>30</v>
      </c>
      <c r="J6">
        <f>SUM(D2:D51)/50</f>
        <v>6.6099999999999941</v>
      </c>
      <c r="K6">
        <f>AVERAGE(D2:D51)</f>
        <v>6.6099999999999941</v>
      </c>
    </row>
    <row r="7" spans="4:21" x14ac:dyDescent="0.25">
      <c r="D7">
        <v>5.2</v>
      </c>
      <c r="E7">
        <f t="shared" si="0"/>
        <v>1.9880999999999829</v>
      </c>
      <c r="F7">
        <f t="shared" si="1"/>
        <v>-2.8032209999999638</v>
      </c>
      <c r="G7">
        <f t="shared" si="2"/>
        <v>3.952541609999932</v>
      </c>
      <c r="I7" t="s">
        <v>20</v>
      </c>
      <c r="J7">
        <f>SUM(E2:E51)/49</f>
        <v>1.1943877551020403</v>
      </c>
      <c r="K7">
        <f>_xlfn.VAR.S(D2:D51)</f>
        <v>1.1943877551021076</v>
      </c>
    </row>
    <row r="8" spans="4:21" x14ac:dyDescent="0.25">
      <c r="D8">
        <v>5.5</v>
      </c>
      <c r="E8">
        <f t="shared" si="0"/>
        <v>1.2320999999999869</v>
      </c>
      <c r="F8">
        <f t="shared" si="1"/>
        <v>-1.3676309999999781</v>
      </c>
      <c r="G8">
        <f t="shared" si="2"/>
        <v>1.5180704099999676</v>
      </c>
      <c r="I8" s="1" t="s">
        <v>21</v>
      </c>
      <c r="J8">
        <f>SQRT(J7)</f>
        <v>1.0928804852782579</v>
      </c>
      <c r="N8">
        <f>TINV(1-0.95,50-1)</f>
        <v>2.0095752371292388</v>
      </c>
      <c r="O8" t="s">
        <v>27</v>
      </c>
    </row>
    <row r="9" spans="4:21" x14ac:dyDescent="0.25">
      <c r="D9">
        <v>5.7</v>
      </c>
      <c r="E9">
        <f t="shared" si="0"/>
        <v>0.82809999999998896</v>
      </c>
      <c r="F9">
        <f t="shared" si="1"/>
        <v>-0.75357099999998489</v>
      </c>
      <c r="G9">
        <f t="shared" si="2"/>
        <v>0.68574960999998169</v>
      </c>
      <c r="I9" t="s">
        <v>22</v>
      </c>
      <c r="J9">
        <f>J8/J6</f>
        <v>0.16533744104058379</v>
      </c>
      <c r="N9">
        <f>J6-(N8*(J8/SQRT(50)))</f>
        <v>6.2994068026512657</v>
      </c>
      <c r="O9" t="s">
        <v>25</v>
      </c>
      <c r="P9">
        <f>J6+(N8*(J8/SQRT(50)))</f>
        <v>6.9205931973487225</v>
      </c>
    </row>
    <row r="10" spans="4:21" x14ac:dyDescent="0.25">
      <c r="D10">
        <v>5.7</v>
      </c>
      <c r="E10">
        <f t="shared" si="0"/>
        <v>0.82809999999998896</v>
      </c>
      <c r="F10">
        <f t="shared" si="1"/>
        <v>-0.75357099999998489</v>
      </c>
      <c r="G10">
        <f t="shared" si="2"/>
        <v>0.68574960999998169</v>
      </c>
      <c r="I10" t="s">
        <v>23</v>
      </c>
      <c r="J10">
        <f>(SUM(F2:F51)/50)/(J8^3)</f>
        <v>6.1777809563174253E-3</v>
      </c>
    </row>
    <row r="11" spans="4:21" x14ac:dyDescent="0.25">
      <c r="D11">
        <v>5.7</v>
      </c>
      <c r="E11">
        <f t="shared" si="0"/>
        <v>0.82809999999998896</v>
      </c>
      <c r="F11">
        <f t="shared" si="1"/>
        <v>-0.75357099999998489</v>
      </c>
      <c r="G11">
        <f t="shared" si="2"/>
        <v>0.68574960999998169</v>
      </c>
      <c r="I11" t="s">
        <v>24</v>
      </c>
      <c r="J11">
        <f>((SUM(G2:G51)/50)/(J8^4))-3</f>
        <v>-0.73677913606838885</v>
      </c>
      <c r="O11" t="s">
        <v>28</v>
      </c>
    </row>
    <row r="12" spans="4:21" x14ac:dyDescent="0.25">
      <c r="D12">
        <v>5.7</v>
      </c>
      <c r="E12">
        <f t="shared" si="0"/>
        <v>0.82809999999998896</v>
      </c>
      <c r="F12">
        <f t="shared" si="1"/>
        <v>-0.75357099999998489</v>
      </c>
      <c r="G12">
        <f t="shared" si="2"/>
        <v>0.68574960999998169</v>
      </c>
      <c r="I12" s="8"/>
      <c r="M12" s="8" t="s">
        <v>0</v>
      </c>
    </row>
    <row r="13" spans="4:21" ht="16.5" x14ac:dyDescent="0.3">
      <c r="D13">
        <v>5.7</v>
      </c>
      <c r="E13">
        <f t="shared" si="0"/>
        <v>0.82809999999998896</v>
      </c>
      <c r="F13">
        <f t="shared" si="1"/>
        <v>-0.75357099999998489</v>
      </c>
      <c r="G13">
        <f t="shared" si="2"/>
        <v>0.68574960999998169</v>
      </c>
      <c r="I13" s="1" t="s">
        <v>1</v>
      </c>
      <c r="J13">
        <v>4.2</v>
      </c>
      <c r="K13">
        <v>4.7</v>
      </c>
      <c r="L13">
        <v>4.9000000000000004</v>
      </c>
      <c r="M13">
        <v>5.2</v>
      </c>
      <c r="N13">
        <v>5.5</v>
      </c>
      <c r="O13">
        <v>5.7</v>
      </c>
      <c r="P13">
        <v>6.2</v>
      </c>
      <c r="Q13">
        <v>6.7</v>
      </c>
      <c r="R13">
        <v>7.2</v>
      </c>
      <c r="S13">
        <v>7.7</v>
      </c>
      <c r="T13">
        <v>8.1999999999999993</v>
      </c>
      <c r="U13">
        <v>8.6999999999999993</v>
      </c>
    </row>
    <row r="14" spans="4:21" ht="16.5" x14ac:dyDescent="0.3">
      <c r="D14">
        <v>5.7</v>
      </c>
      <c r="E14">
        <f t="shared" si="0"/>
        <v>0.82809999999998896</v>
      </c>
      <c r="F14">
        <f t="shared" si="1"/>
        <v>-0.75357099999998489</v>
      </c>
      <c r="G14">
        <f t="shared" si="2"/>
        <v>0.68574960999998169</v>
      </c>
      <c r="I14" s="1" t="s">
        <v>2</v>
      </c>
      <c r="J14">
        <v>1</v>
      </c>
      <c r="K14">
        <v>2</v>
      </c>
      <c r="L14">
        <v>1</v>
      </c>
      <c r="M14">
        <v>2</v>
      </c>
      <c r="N14">
        <v>1</v>
      </c>
      <c r="O14">
        <v>7</v>
      </c>
      <c r="P14">
        <v>10</v>
      </c>
      <c r="Q14">
        <v>7</v>
      </c>
      <c r="R14">
        <v>7</v>
      </c>
      <c r="S14">
        <v>5</v>
      </c>
      <c r="T14">
        <v>5</v>
      </c>
      <c r="U14">
        <v>2</v>
      </c>
    </row>
    <row r="15" spans="4:21" x14ac:dyDescent="0.25">
      <c r="D15">
        <v>5.7</v>
      </c>
      <c r="E15">
        <f t="shared" si="0"/>
        <v>0.82809999999998896</v>
      </c>
      <c r="F15">
        <f t="shared" si="1"/>
        <v>-0.75357099999998489</v>
      </c>
      <c r="G15">
        <f t="shared" si="2"/>
        <v>0.68574960999998169</v>
      </c>
      <c r="I15" s="4" t="s">
        <v>6</v>
      </c>
      <c r="J15">
        <f>J14/50</f>
        <v>0.02</v>
      </c>
      <c r="K15">
        <f t="shared" ref="K15:U15" si="3">K14/50</f>
        <v>0.04</v>
      </c>
      <c r="L15">
        <f t="shared" si="3"/>
        <v>0.02</v>
      </c>
      <c r="M15">
        <f t="shared" si="3"/>
        <v>0.04</v>
      </c>
      <c r="N15">
        <f t="shared" si="3"/>
        <v>0.02</v>
      </c>
      <c r="O15">
        <f t="shared" si="3"/>
        <v>0.14000000000000001</v>
      </c>
      <c r="P15">
        <f t="shared" si="3"/>
        <v>0.2</v>
      </c>
      <c r="Q15">
        <f t="shared" si="3"/>
        <v>0.14000000000000001</v>
      </c>
      <c r="R15">
        <f t="shared" si="3"/>
        <v>0.14000000000000001</v>
      </c>
      <c r="S15">
        <f t="shared" si="3"/>
        <v>0.1</v>
      </c>
      <c r="T15">
        <f t="shared" si="3"/>
        <v>0.1</v>
      </c>
      <c r="U15">
        <f t="shared" si="3"/>
        <v>0.04</v>
      </c>
    </row>
    <row r="16" spans="4:21" x14ac:dyDescent="0.25">
      <c r="D16">
        <v>6.2</v>
      </c>
      <c r="E16">
        <f t="shared" si="0"/>
        <v>0.16809999999999503</v>
      </c>
      <c r="F16">
        <f t="shared" si="1"/>
        <v>-6.8920999999996943E-2</v>
      </c>
      <c r="G16">
        <f t="shared" si="2"/>
        <v>2.825760999999833E-2</v>
      </c>
      <c r="I16" s="6" t="s">
        <v>16</v>
      </c>
      <c r="J16">
        <f>J15</f>
        <v>0.02</v>
      </c>
      <c r="K16">
        <f>K15+J16</f>
        <v>0.06</v>
      </c>
      <c r="L16">
        <f t="shared" ref="L16:U16" si="4">L15+K16</f>
        <v>0.08</v>
      </c>
      <c r="M16">
        <f t="shared" si="4"/>
        <v>0.12</v>
      </c>
      <c r="N16">
        <f t="shared" si="4"/>
        <v>0.13999999999999999</v>
      </c>
      <c r="O16">
        <f t="shared" si="4"/>
        <v>0.28000000000000003</v>
      </c>
      <c r="P16">
        <f t="shared" si="4"/>
        <v>0.48000000000000004</v>
      </c>
      <c r="Q16">
        <f t="shared" si="4"/>
        <v>0.62000000000000011</v>
      </c>
      <c r="R16">
        <f t="shared" si="4"/>
        <v>0.76000000000000012</v>
      </c>
      <c r="S16">
        <f t="shared" si="4"/>
        <v>0.8600000000000001</v>
      </c>
      <c r="T16">
        <f t="shared" si="4"/>
        <v>0.96000000000000008</v>
      </c>
      <c r="U16">
        <f t="shared" si="4"/>
        <v>1</v>
      </c>
    </row>
    <row r="17" spans="4:23" ht="16.5" x14ac:dyDescent="0.3">
      <c r="D17">
        <v>6.2</v>
      </c>
      <c r="E17">
        <f t="shared" si="0"/>
        <v>0.16809999999999503</v>
      </c>
      <c r="F17">
        <f t="shared" si="1"/>
        <v>-6.8920999999996943E-2</v>
      </c>
      <c r="G17">
        <f t="shared" si="2"/>
        <v>2.825760999999833E-2</v>
      </c>
      <c r="I17" s="7" t="s">
        <v>17</v>
      </c>
    </row>
    <row r="18" spans="4:23" x14ac:dyDescent="0.25">
      <c r="D18">
        <v>6.2</v>
      </c>
      <c r="E18">
        <f t="shared" si="0"/>
        <v>0.16809999999999503</v>
      </c>
      <c r="F18">
        <f t="shared" si="1"/>
        <v>-6.8920999999996943E-2</v>
      </c>
      <c r="G18">
        <f t="shared" si="2"/>
        <v>2.825760999999833E-2</v>
      </c>
      <c r="I18" s="2" t="s">
        <v>3</v>
      </c>
      <c r="J18">
        <f>U13-J13</f>
        <v>4.4999999999999991</v>
      </c>
    </row>
    <row r="19" spans="4:23" x14ac:dyDescent="0.25">
      <c r="D19">
        <v>6.2</v>
      </c>
      <c r="E19">
        <f t="shared" si="0"/>
        <v>0.16809999999999503</v>
      </c>
      <c r="F19">
        <f t="shared" si="1"/>
        <v>-6.8920999999996943E-2</v>
      </c>
      <c r="G19">
        <f t="shared" si="2"/>
        <v>2.825760999999833E-2</v>
      </c>
      <c r="K19" t="s">
        <v>4</v>
      </c>
      <c r="L19">
        <f>J18/9</f>
        <v>0.49999999999999989</v>
      </c>
      <c r="N19" t="s">
        <v>26</v>
      </c>
    </row>
    <row r="20" spans="4:23" ht="15.75" thickBot="1" x14ac:dyDescent="0.3">
      <c r="D20">
        <v>6.2</v>
      </c>
      <c r="E20">
        <f t="shared" si="0"/>
        <v>0.16809999999999503</v>
      </c>
      <c r="F20">
        <f t="shared" si="1"/>
        <v>-6.8920999999996943E-2</v>
      </c>
      <c r="G20">
        <f t="shared" si="2"/>
        <v>2.825760999999833E-2</v>
      </c>
    </row>
    <row r="21" spans="4:23" x14ac:dyDescent="0.25">
      <c r="D21">
        <v>6.2</v>
      </c>
      <c r="E21">
        <f t="shared" si="0"/>
        <v>0.16809999999999503</v>
      </c>
      <c r="F21">
        <f t="shared" si="1"/>
        <v>-6.8920999999996943E-2</v>
      </c>
      <c r="G21">
        <f t="shared" si="2"/>
        <v>2.825760999999833E-2</v>
      </c>
      <c r="K21" s="3" t="s">
        <v>5</v>
      </c>
      <c r="L21" s="5"/>
      <c r="O21" t="s">
        <v>7</v>
      </c>
      <c r="P21" t="s">
        <v>8</v>
      </c>
      <c r="Q21" t="s">
        <v>9</v>
      </c>
      <c r="R21" t="s">
        <v>10</v>
      </c>
      <c r="S21" t="s">
        <v>11</v>
      </c>
      <c r="T21" t="s">
        <v>12</v>
      </c>
      <c r="U21" t="s">
        <v>13</v>
      </c>
      <c r="V21" t="s">
        <v>14</v>
      </c>
      <c r="W21" t="s">
        <v>15</v>
      </c>
    </row>
    <row r="22" spans="4:23" ht="16.5" x14ac:dyDescent="0.3">
      <c r="D22">
        <v>6.2</v>
      </c>
      <c r="E22">
        <f t="shared" si="0"/>
        <v>0.16809999999999503</v>
      </c>
      <c r="F22">
        <f t="shared" si="1"/>
        <v>-6.8920999999996943E-2</v>
      </c>
      <c r="G22">
        <f t="shared" si="2"/>
        <v>2.825760999999833E-2</v>
      </c>
      <c r="K22" s="1" t="s">
        <v>2</v>
      </c>
      <c r="O22">
        <v>3</v>
      </c>
      <c r="P22">
        <v>3</v>
      </c>
      <c r="Q22">
        <v>8</v>
      </c>
      <c r="R22">
        <v>10</v>
      </c>
      <c r="S22">
        <v>7</v>
      </c>
      <c r="T22">
        <v>7</v>
      </c>
      <c r="U22">
        <v>5</v>
      </c>
      <c r="V22">
        <v>5</v>
      </c>
      <c r="W22">
        <v>2</v>
      </c>
    </row>
    <row r="23" spans="4:23" x14ac:dyDescent="0.25">
      <c r="D23">
        <v>6.2</v>
      </c>
      <c r="E23">
        <f t="shared" si="0"/>
        <v>0.16809999999999503</v>
      </c>
      <c r="F23">
        <f t="shared" si="1"/>
        <v>-6.8920999999996943E-2</v>
      </c>
      <c r="G23">
        <f t="shared" si="2"/>
        <v>2.825760999999833E-2</v>
      </c>
    </row>
    <row r="24" spans="4:23" x14ac:dyDescent="0.25">
      <c r="D24">
        <v>6.2</v>
      </c>
      <c r="E24">
        <f t="shared" si="0"/>
        <v>0.16809999999999503</v>
      </c>
      <c r="F24">
        <f t="shared" si="1"/>
        <v>-6.8920999999996943E-2</v>
      </c>
      <c r="G24">
        <f t="shared" si="2"/>
        <v>2.825760999999833E-2</v>
      </c>
    </row>
    <row r="25" spans="4:23" x14ac:dyDescent="0.25">
      <c r="D25">
        <v>6.2</v>
      </c>
      <c r="E25">
        <f t="shared" si="0"/>
        <v>0.16809999999999503</v>
      </c>
      <c r="F25">
        <f t="shared" si="1"/>
        <v>-6.8920999999996943E-2</v>
      </c>
      <c r="G25">
        <f t="shared" si="2"/>
        <v>2.825760999999833E-2</v>
      </c>
    </row>
    <row r="26" spans="4:23" x14ac:dyDescent="0.25">
      <c r="D26">
        <v>6.7</v>
      </c>
      <c r="E26">
        <f t="shared" si="0"/>
        <v>8.1000000000010942E-3</v>
      </c>
      <c r="F26">
        <f t="shared" si="1"/>
        <v>7.2900000000014772E-4</v>
      </c>
      <c r="G26">
        <f t="shared" si="2"/>
        <v>6.561000000001773E-5</v>
      </c>
    </row>
    <row r="27" spans="4:23" x14ac:dyDescent="0.25">
      <c r="D27">
        <v>6.7</v>
      </c>
      <c r="E27">
        <f t="shared" si="0"/>
        <v>8.1000000000010942E-3</v>
      </c>
      <c r="F27">
        <f t="shared" si="1"/>
        <v>7.2900000000014772E-4</v>
      </c>
      <c r="G27">
        <f t="shared" si="2"/>
        <v>6.561000000001773E-5</v>
      </c>
    </row>
    <row r="28" spans="4:23" x14ac:dyDescent="0.25">
      <c r="D28">
        <v>6.7</v>
      </c>
      <c r="E28">
        <f t="shared" si="0"/>
        <v>8.1000000000010942E-3</v>
      </c>
      <c r="F28">
        <f t="shared" si="1"/>
        <v>7.2900000000014772E-4</v>
      </c>
      <c r="G28">
        <f t="shared" si="2"/>
        <v>6.561000000001773E-5</v>
      </c>
    </row>
    <row r="29" spans="4:23" x14ac:dyDescent="0.25">
      <c r="D29">
        <v>6.7</v>
      </c>
      <c r="E29">
        <f t="shared" si="0"/>
        <v>8.1000000000010942E-3</v>
      </c>
      <c r="F29">
        <f t="shared" si="1"/>
        <v>7.2900000000014772E-4</v>
      </c>
      <c r="G29">
        <f t="shared" si="2"/>
        <v>6.561000000001773E-5</v>
      </c>
    </row>
    <row r="30" spans="4:23" x14ac:dyDescent="0.25">
      <c r="D30">
        <v>6.7</v>
      </c>
      <c r="E30">
        <f t="shared" si="0"/>
        <v>8.1000000000010942E-3</v>
      </c>
      <c r="F30">
        <f t="shared" si="1"/>
        <v>7.2900000000014772E-4</v>
      </c>
      <c r="G30">
        <f t="shared" si="2"/>
        <v>6.561000000001773E-5</v>
      </c>
    </row>
    <row r="31" spans="4:23" x14ac:dyDescent="0.25">
      <c r="D31">
        <v>6.7</v>
      </c>
      <c r="E31">
        <f t="shared" si="0"/>
        <v>8.1000000000010942E-3</v>
      </c>
      <c r="F31">
        <f t="shared" si="1"/>
        <v>7.2900000000014772E-4</v>
      </c>
      <c r="G31">
        <f t="shared" si="2"/>
        <v>6.561000000001773E-5</v>
      </c>
    </row>
    <row r="32" spans="4:23" x14ac:dyDescent="0.25">
      <c r="D32">
        <v>6.7</v>
      </c>
      <c r="E32">
        <f t="shared" si="0"/>
        <v>8.1000000000010942E-3</v>
      </c>
      <c r="F32">
        <f t="shared" si="1"/>
        <v>7.2900000000014772E-4</v>
      </c>
      <c r="G32">
        <f t="shared" si="2"/>
        <v>6.561000000001773E-5</v>
      </c>
    </row>
    <row r="33" spans="4:13" x14ac:dyDescent="0.25">
      <c r="D33">
        <v>7.2</v>
      </c>
      <c r="E33">
        <f t="shared" si="0"/>
        <v>0.34810000000000718</v>
      </c>
      <c r="F33">
        <f t="shared" si="1"/>
        <v>0.20537900000000636</v>
      </c>
      <c r="G33">
        <f t="shared" si="2"/>
        <v>0.121173610000005</v>
      </c>
    </row>
    <row r="34" spans="4:13" x14ac:dyDescent="0.25">
      <c r="D34">
        <v>7.2</v>
      </c>
      <c r="E34">
        <f t="shared" si="0"/>
        <v>0.34810000000000718</v>
      </c>
      <c r="F34">
        <f t="shared" si="1"/>
        <v>0.20537900000000636</v>
      </c>
      <c r="G34">
        <f t="shared" si="2"/>
        <v>0.121173610000005</v>
      </c>
    </row>
    <row r="35" spans="4:13" x14ac:dyDescent="0.25">
      <c r="D35">
        <v>7.2</v>
      </c>
      <c r="E35">
        <f t="shared" si="0"/>
        <v>0.34810000000000718</v>
      </c>
      <c r="F35">
        <f t="shared" si="1"/>
        <v>0.20537900000000636</v>
      </c>
      <c r="G35">
        <f t="shared" si="2"/>
        <v>0.121173610000005</v>
      </c>
    </row>
    <row r="36" spans="4:13" x14ac:dyDescent="0.25">
      <c r="D36">
        <v>7.2</v>
      </c>
      <c r="E36">
        <f t="shared" si="0"/>
        <v>0.34810000000000718</v>
      </c>
      <c r="F36">
        <f t="shared" si="1"/>
        <v>0.20537900000000636</v>
      </c>
      <c r="G36">
        <f t="shared" si="2"/>
        <v>0.121173610000005</v>
      </c>
    </row>
    <row r="37" spans="4:13" x14ac:dyDescent="0.25">
      <c r="D37">
        <v>7.2</v>
      </c>
      <c r="E37">
        <f t="shared" si="0"/>
        <v>0.34810000000000718</v>
      </c>
      <c r="F37">
        <f t="shared" si="1"/>
        <v>0.20537900000000636</v>
      </c>
      <c r="G37">
        <f t="shared" si="2"/>
        <v>0.121173610000005</v>
      </c>
    </row>
    <row r="38" spans="4:13" x14ac:dyDescent="0.25">
      <c r="D38">
        <v>7.2</v>
      </c>
      <c r="E38">
        <f t="shared" si="0"/>
        <v>0.34810000000000718</v>
      </c>
      <c r="F38">
        <f t="shared" si="1"/>
        <v>0.20537900000000636</v>
      </c>
      <c r="G38">
        <f t="shared" si="2"/>
        <v>0.121173610000005</v>
      </c>
      <c r="M38" s="2"/>
    </row>
    <row r="39" spans="4:13" x14ac:dyDescent="0.25">
      <c r="D39">
        <v>7.2</v>
      </c>
      <c r="E39">
        <f t="shared" si="0"/>
        <v>0.34810000000000718</v>
      </c>
      <c r="F39">
        <f t="shared" si="1"/>
        <v>0.20537900000000636</v>
      </c>
      <c r="G39">
        <f t="shared" si="2"/>
        <v>0.121173610000005</v>
      </c>
    </row>
    <row r="40" spans="4:13" x14ac:dyDescent="0.25">
      <c r="D40">
        <v>7.7</v>
      </c>
      <c r="E40">
        <f t="shared" si="0"/>
        <v>1.1881000000000133</v>
      </c>
      <c r="F40">
        <f t="shared" si="1"/>
        <v>1.2950290000000217</v>
      </c>
      <c r="G40">
        <f t="shared" si="2"/>
        <v>1.4115816100000316</v>
      </c>
    </row>
    <row r="41" spans="4:13" x14ac:dyDescent="0.25">
      <c r="D41">
        <v>7.7</v>
      </c>
      <c r="E41">
        <f t="shared" si="0"/>
        <v>1.1881000000000133</v>
      </c>
      <c r="F41">
        <f t="shared" si="1"/>
        <v>1.2950290000000217</v>
      </c>
      <c r="G41">
        <f t="shared" si="2"/>
        <v>1.4115816100000316</v>
      </c>
    </row>
    <row r="42" spans="4:13" x14ac:dyDescent="0.25">
      <c r="D42">
        <v>7.7</v>
      </c>
      <c r="E42">
        <f t="shared" si="0"/>
        <v>1.1881000000000133</v>
      </c>
      <c r="F42">
        <f t="shared" si="1"/>
        <v>1.2950290000000217</v>
      </c>
      <c r="G42">
        <f t="shared" si="2"/>
        <v>1.4115816100000316</v>
      </c>
    </row>
    <row r="43" spans="4:13" x14ac:dyDescent="0.25">
      <c r="D43">
        <v>7.7</v>
      </c>
      <c r="E43">
        <f t="shared" si="0"/>
        <v>1.1881000000000133</v>
      </c>
      <c r="F43">
        <f t="shared" si="1"/>
        <v>1.2950290000000217</v>
      </c>
      <c r="G43">
        <f t="shared" si="2"/>
        <v>1.4115816100000316</v>
      </c>
    </row>
    <row r="44" spans="4:13" x14ac:dyDescent="0.25">
      <c r="D44">
        <v>7.7</v>
      </c>
      <c r="E44">
        <f t="shared" si="0"/>
        <v>1.1881000000000133</v>
      </c>
      <c r="F44">
        <f t="shared" si="1"/>
        <v>1.2950290000000217</v>
      </c>
      <c r="G44">
        <f t="shared" si="2"/>
        <v>1.4115816100000316</v>
      </c>
    </row>
    <row r="45" spans="4:13" x14ac:dyDescent="0.25">
      <c r="D45">
        <v>8.1999999999999993</v>
      </c>
      <c r="E45">
        <f t="shared" si="0"/>
        <v>2.5281000000000167</v>
      </c>
      <c r="F45">
        <f t="shared" si="1"/>
        <v>4.01967900000004</v>
      </c>
      <c r="G45">
        <f t="shared" si="2"/>
        <v>6.3912896100000847</v>
      </c>
    </row>
    <row r="46" spans="4:13" x14ac:dyDescent="0.25">
      <c r="D46">
        <v>8.1999999999999993</v>
      </c>
      <c r="E46">
        <f t="shared" si="0"/>
        <v>2.5281000000000167</v>
      </c>
      <c r="F46">
        <f t="shared" si="1"/>
        <v>4.01967900000004</v>
      </c>
      <c r="G46">
        <f t="shared" si="2"/>
        <v>6.3912896100000847</v>
      </c>
    </row>
    <row r="47" spans="4:13" x14ac:dyDescent="0.25">
      <c r="D47">
        <v>8.1999999999999993</v>
      </c>
      <c r="E47">
        <f t="shared" si="0"/>
        <v>2.5281000000000167</v>
      </c>
      <c r="F47">
        <f t="shared" si="1"/>
        <v>4.01967900000004</v>
      </c>
      <c r="G47">
        <f t="shared" si="2"/>
        <v>6.3912896100000847</v>
      </c>
    </row>
    <row r="48" spans="4:13" x14ac:dyDescent="0.25">
      <c r="D48">
        <v>8.1999999999999993</v>
      </c>
      <c r="E48">
        <f t="shared" si="0"/>
        <v>2.5281000000000167</v>
      </c>
      <c r="F48">
        <f t="shared" si="1"/>
        <v>4.01967900000004</v>
      </c>
      <c r="G48">
        <f t="shared" si="2"/>
        <v>6.3912896100000847</v>
      </c>
    </row>
    <row r="49" spans="4:7" x14ac:dyDescent="0.25">
      <c r="D49">
        <v>8.1999999999999993</v>
      </c>
      <c r="E49">
        <f t="shared" si="0"/>
        <v>2.5281000000000167</v>
      </c>
      <c r="F49">
        <f t="shared" si="1"/>
        <v>4.01967900000004</v>
      </c>
      <c r="G49">
        <f t="shared" si="2"/>
        <v>6.3912896100000847</v>
      </c>
    </row>
    <row r="50" spans="4:7" x14ac:dyDescent="0.25">
      <c r="D50">
        <v>8.6999999999999993</v>
      </c>
      <c r="E50">
        <f t="shared" si="0"/>
        <v>4.3681000000000214</v>
      </c>
      <c r="F50">
        <f t="shared" si="1"/>
        <v>9.1293290000000678</v>
      </c>
      <c r="G50">
        <f t="shared" si="2"/>
        <v>19.080297610000187</v>
      </c>
    </row>
    <row r="51" spans="4:7" x14ac:dyDescent="0.25">
      <c r="D51">
        <v>8.6999999999999993</v>
      </c>
      <c r="E51">
        <f t="shared" si="0"/>
        <v>4.3681000000000214</v>
      </c>
      <c r="F51">
        <f t="shared" si="1"/>
        <v>9.1293290000000678</v>
      </c>
      <c r="G51">
        <f t="shared" si="2"/>
        <v>19.080297610000187</v>
      </c>
    </row>
    <row r="52" spans="4:7" x14ac:dyDescent="0.25">
      <c r="E52">
        <f>SUM(E2:E51)</f>
        <v>58.52499999999997</v>
      </c>
      <c r="F52">
        <f>SUM(F2:F51)</f>
        <v>0.40320000000101075</v>
      </c>
      <c r="G52">
        <f>SUM(G2:G51)</f>
        <v>161.43125649999979</v>
      </c>
    </row>
  </sheetData>
  <sortState ref="D2:D51">
    <sortCondition ref="D2"/>
  </sortState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52"/>
  <sheetViews>
    <sheetView tabSelected="1" topLeftCell="J20" workbookViewId="0">
      <selection activeCell="Q25" sqref="Q25"/>
    </sheetView>
  </sheetViews>
  <sheetFormatPr defaultRowHeight="15" x14ac:dyDescent="0.25"/>
  <cols>
    <col min="7" max="7" width="19.7109375" customWidth="1"/>
    <col min="16" max="16" width="11.42578125" customWidth="1"/>
  </cols>
  <sheetData>
    <row r="1" spans="2:19" ht="45" x14ac:dyDescent="0.25">
      <c r="B1" t="s">
        <v>62</v>
      </c>
      <c r="C1" t="s">
        <v>61</v>
      </c>
      <c r="D1" t="s">
        <v>29</v>
      </c>
      <c r="G1" s="9" t="s">
        <v>5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2:19" ht="16.5" x14ac:dyDescent="0.3">
      <c r="B2">
        <f>(1-EXP((-1*D2)/$G$4)-((F2-1)/50))</f>
        <v>0.47027692432668022</v>
      </c>
      <c r="C2">
        <f>((F2/50)-1+EXP((-1*D2)/$G$4))</f>
        <v>-0.45027692432668021</v>
      </c>
      <c r="D2">
        <v>4.2</v>
      </c>
      <c r="F2">
        <v>1</v>
      </c>
      <c r="G2" s="1" t="s">
        <v>2</v>
      </c>
      <c r="H2">
        <v>3</v>
      </c>
      <c r="I2">
        <v>3</v>
      </c>
      <c r="J2">
        <v>8</v>
      </c>
      <c r="K2">
        <v>10</v>
      </c>
      <c r="L2">
        <v>7</v>
      </c>
      <c r="M2">
        <v>7</v>
      </c>
      <c r="N2">
        <v>5</v>
      </c>
      <c r="O2">
        <v>5</v>
      </c>
      <c r="P2">
        <v>2</v>
      </c>
    </row>
    <row r="3" spans="2:19" x14ac:dyDescent="0.25">
      <c r="B3">
        <f t="shared" ref="B3:B51" si="0">(1-EXP((-1*D3)/$G$4)-((F3-1)/50))</f>
        <v>0.48886874883100029</v>
      </c>
      <c r="C3">
        <f t="shared" ref="C3:C51" si="1">((F3/50)-1+EXP((-1*D3)/$G$4))</f>
        <v>-0.46886874883100027</v>
      </c>
      <c r="D3">
        <v>4.7</v>
      </c>
      <c r="F3">
        <v>2</v>
      </c>
      <c r="G3" t="s">
        <v>35</v>
      </c>
      <c r="H3" t="s">
        <v>36</v>
      </c>
      <c r="I3" t="s">
        <v>37</v>
      </c>
    </row>
    <row r="4" spans="2:19" x14ac:dyDescent="0.25">
      <c r="B4">
        <f t="shared" si="0"/>
        <v>0.46886874883100033</v>
      </c>
      <c r="C4">
        <f t="shared" si="1"/>
        <v>-0.44886874883100025</v>
      </c>
      <c r="D4">
        <v>4.7</v>
      </c>
      <c r="F4">
        <f>F3+1</f>
        <v>3</v>
      </c>
      <c r="G4" s="8">
        <f>AVERAGE(D2:D51)</f>
        <v>6.6099999999999941</v>
      </c>
      <c r="H4" s="8">
        <f>_xlfn.VAR.S(D2:D51)</f>
        <v>1.1943877551021076</v>
      </c>
      <c r="I4" s="8">
        <f>SQRT(H4)</f>
        <v>1.0928804852782885</v>
      </c>
      <c r="K4" s="8" t="s">
        <v>0</v>
      </c>
    </row>
    <row r="5" spans="2:19" ht="16.5" x14ac:dyDescent="0.3">
      <c r="B5">
        <f t="shared" si="0"/>
        <v>0.46350643419020537</v>
      </c>
      <c r="C5">
        <f t="shared" si="1"/>
        <v>-0.44350643419020541</v>
      </c>
      <c r="D5">
        <v>4.9000000000000004</v>
      </c>
      <c r="E5" t="s">
        <v>34</v>
      </c>
      <c r="F5">
        <f t="shared" ref="F5:F51" si="2">F4+1</f>
        <v>4</v>
      </c>
      <c r="G5" s="1" t="s">
        <v>1</v>
      </c>
      <c r="H5">
        <v>4.2</v>
      </c>
      <c r="I5">
        <v>4.7</v>
      </c>
      <c r="J5">
        <v>4.9000000000000004</v>
      </c>
      <c r="K5">
        <v>5.2</v>
      </c>
      <c r="L5">
        <v>5.5</v>
      </c>
      <c r="M5">
        <v>5.7</v>
      </c>
      <c r="N5">
        <v>6.2</v>
      </c>
      <c r="O5">
        <v>6.7</v>
      </c>
      <c r="P5">
        <v>7.2</v>
      </c>
      <c r="Q5">
        <v>7.7</v>
      </c>
      <c r="R5">
        <v>8.1999999999999993</v>
      </c>
      <c r="S5">
        <v>8.6999999999999993</v>
      </c>
    </row>
    <row r="6" spans="2:19" ht="16.5" x14ac:dyDescent="0.3">
      <c r="B6">
        <f t="shared" si="0"/>
        <v>0.46464904975447735</v>
      </c>
      <c r="C6">
        <f t="shared" si="1"/>
        <v>-0.44464904975447733</v>
      </c>
      <c r="D6">
        <v>5.2</v>
      </c>
      <c r="F6">
        <f t="shared" si="2"/>
        <v>5</v>
      </c>
      <c r="G6" s="1" t="s">
        <v>2</v>
      </c>
      <c r="H6">
        <v>1</v>
      </c>
      <c r="I6">
        <v>2</v>
      </c>
      <c r="J6">
        <v>1</v>
      </c>
      <c r="K6">
        <v>2</v>
      </c>
      <c r="L6">
        <v>1</v>
      </c>
      <c r="M6">
        <v>7</v>
      </c>
      <c r="N6">
        <v>10</v>
      </c>
      <c r="O6">
        <v>7</v>
      </c>
      <c r="P6">
        <v>7</v>
      </c>
      <c r="Q6">
        <v>5</v>
      </c>
      <c r="R6">
        <v>5</v>
      </c>
      <c r="S6">
        <v>2</v>
      </c>
    </row>
    <row r="7" spans="2:19" x14ac:dyDescent="0.25">
      <c r="B7">
        <f t="shared" si="0"/>
        <v>0.44464904975447739</v>
      </c>
      <c r="C7">
        <f t="shared" si="1"/>
        <v>-0.42464904975447731</v>
      </c>
      <c r="D7">
        <v>5.2</v>
      </c>
      <c r="E7" t="s">
        <v>47</v>
      </c>
      <c r="F7">
        <f t="shared" si="2"/>
        <v>6</v>
      </c>
      <c r="H7">
        <f>(1/$I$4*SQRTPI(2))*(EXP(1)^(((H5-$G$4)^2)/(-2*$H$4)))</f>
        <v>0.20163595796553532</v>
      </c>
      <c r="I7">
        <f>(1/$I$4*SQRTPI(2))*(EXP(1)^(((I5-$G$4)^2)/(-2*$H$4)))</f>
        <v>0.49804620069363248</v>
      </c>
      <c r="J7">
        <f t="shared" ref="J7:S7" si="3">(1/$I$4*SQRTPI(2))*(EXP(1)^(((J5-$G$4)^2)/(-2*$H$4)))</f>
        <v>0.67436870221532019</v>
      </c>
      <c r="K7">
        <f t="shared" si="3"/>
        <v>0.99785656891674757</v>
      </c>
      <c r="L7">
        <f t="shared" si="3"/>
        <v>1.3693475769060657</v>
      </c>
      <c r="M7">
        <f t="shared" si="3"/>
        <v>1.6216736139932857</v>
      </c>
      <c r="N7">
        <f t="shared" si="3"/>
        <v>2.1377436290876579</v>
      </c>
      <c r="O7">
        <f t="shared" si="3"/>
        <v>2.2858337031869711</v>
      </c>
      <c r="P7">
        <f t="shared" si="3"/>
        <v>1.9825789166264349</v>
      </c>
      <c r="Q7">
        <f t="shared" si="3"/>
        <v>1.3948039726890464</v>
      </c>
      <c r="R7">
        <f t="shared" si="3"/>
        <v>0.79596268528837189</v>
      </c>
      <c r="S7">
        <f t="shared" si="3"/>
        <v>0.36844195829500009</v>
      </c>
    </row>
    <row r="8" spans="2:19" x14ac:dyDescent="0.25">
      <c r="B8">
        <f t="shared" si="0"/>
        <v>0.44485354101870989</v>
      </c>
      <c r="C8">
        <f t="shared" si="1"/>
        <v>-0.42485354101870981</v>
      </c>
      <c r="D8">
        <v>5.5</v>
      </c>
      <c r="F8">
        <f t="shared" si="2"/>
        <v>7</v>
      </c>
      <c r="G8" t="s">
        <v>48</v>
      </c>
      <c r="H8">
        <v>1</v>
      </c>
      <c r="I8">
        <f>H8+I6</f>
        <v>3</v>
      </c>
      <c r="J8">
        <f t="shared" ref="J8:S8" si="4">I8+J6</f>
        <v>4</v>
      </c>
      <c r="K8">
        <f t="shared" si="4"/>
        <v>6</v>
      </c>
      <c r="L8">
        <f t="shared" si="4"/>
        <v>7</v>
      </c>
      <c r="M8">
        <f t="shared" si="4"/>
        <v>14</v>
      </c>
      <c r="N8">
        <f t="shared" si="4"/>
        <v>24</v>
      </c>
      <c r="O8">
        <f t="shared" si="4"/>
        <v>31</v>
      </c>
      <c r="P8">
        <f t="shared" si="4"/>
        <v>38</v>
      </c>
      <c r="Q8">
        <f t="shared" si="4"/>
        <v>43</v>
      </c>
      <c r="R8">
        <f t="shared" si="4"/>
        <v>48</v>
      </c>
      <c r="S8">
        <f t="shared" si="4"/>
        <v>50</v>
      </c>
    </row>
    <row r="9" spans="2:19" x14ac:dyDescent="0.25">
      <c r="B9">
        <f t="shared" si="0"/>
        <v>0.43782265454300595</v>
      </c>
      <c r="C9">
        <f t="shared" si="1"/>
        <v>-0.41782265454300593</v>
      </c>
      <c r="D9">
        <v>5.7</v>
      </c>
      <c r="F9">
        <f t="shared" si="2"/>
        <v>8</v>
      </c>
      <c r="G9" t="s">
        <v>49</v>
      </c>
      <c r="H9">
        <f>_xlfn.NORM.DIST(H5,$G$4,$I$4,1)</f>
        <v>1.3720674893773134E-2</v>
      </c>
      <c r="I9">
        <f t="shared" ref="I9:S9" si="5">_xlfn.NORM.DIST(I5,$G$4,$I$4,1)</f>
        <v>4.0260152328319761E-2</v>
      </c>
      <c r="J9">
        <f t="shared" si="5"/>
        <v>5.8829864282480319E-2</v>
      </c>
      <c r="K9">
        <f t="shared" si="5"/>
        <v>9.8496076497563659E-2</v>
      </c>
      <c r="L9">
        <f t="shared" si="5"/>
        <v>0.15489457002195586</v>
      </c>
      <c r="M9">
        <f t="shared" si="5"/>
        <v>0.20251770380585513</v>
      </c>
      <c r="N9">
        <f t="shared" si="5"/>
        <v>0.35377245403956847</v>
      </c>
      <c r="O9">
        <f t="shared" si="5"/>
        <v>0.53281627246806906</v>
      </c>
      <c r="P9">
        <f t="shared" si="5"/>
        <v>0.70535243160252925</v>
      </c>
      <c r="Q9">
        <f t="shared" si="5"/>
        <v>0.84070614775505814</v>
      </c>
      <c r="R9">
        <f t="shared" si="5"/>
        <v>0.92714749541449382</v>
      </c>
      <c r="S9">
        <f t="shared" si="5"/>
        <v>0.97208610115327199</v>
      </c>
    </row>
    <row r="10" spans="2:19" x14ac:dyDescent="0.25">
      <c r="B10">
        <f t="shared" si="0"/>
        <v>0.41782265454300593</v>
      </c>
      <c r="C10">
        <f t="shared" si="1"/>
        <v>-0.39782265454300603</v>
      </c>
      <c r="D10">
        <v>5.7</v>
      </c>
      <c r="F10">
        <f t="shared" si="2"/>
        <v>9</v>
      </c>
      <c r="G10" t="s">
        <v>38</v>
      </c>
      <c r="H10">
        <f>(H5-$G$4)/$I$4</f>
        <v>-2.2051816575225214</v>
      </c>
      <c r="I10">
        <f t="shared" ref="I10" si="6">(I5-$G$4)/$I$4</f>
        <v>-1.7476750895717899</v>
      </c>
      <c r="J10">
        <f>(K5-$G$4)/$I$4</f>
        <v>-1.2901685216210579</v>
      </c>
      <c r="K10">
        <f t="shared" ref="K10:P10" si="7">(M5-$G$4)/$I$4</f>
        <v>-0.83266195367032625</v>
      </c>
      <c r="L10">
        <f t="shared" si="7"/>
        <v>-0.3751553857195945</v>
      </c>
      <c r="M10">
        <f t="shared" si="7"/>
        <v>8.2351182231137271E-2</v>
      </c>
      <c r="N10">
        <f t="shared" si="7"/>
        <v>0.53985775018186899</v>
      </c>
      <c r="O10">
        <f t="shared" si="7"/>
        <v>0.99736431813260074</v>
      </c>
      <c r="P10">
        <f t="shared" si="7"/>
        <v>1.4548708860833317</v>
      </c>
    </row>
    <row r="11" spans="2:19" x14ac:dyDescent="0.25">
      <c r="B11">
        <f t="shared" si="0"/>
        <v>0.39782265454300597</v>
      </c>
      <c r="C11">
        <f t="shared" si="1"/>
        <v>-0.37782265454300601</v>
      </c>
      <c r="D11">
        <v>5.7</v>
      </c>
      <c r="F11">
        <f t="shared" si="2"/>
        <v>10</v>
      </c>
      <c r="G11" t="s">
        <v>39</v>
      </c>
      <c r="H11">
        <f>(I5-$G$4)/$I$4</f>
        <v>-1.7476750895717899</v>
      </c>
      <c r="I11">
        <f>J10</f>
        <v>-1.2901685216210579</v>
      </c>
      <c r="J11">
        <f t="shared" ref="J11:O11" si="8">K10</f>
        <v>-0.83266195367032625</v>
      </c>
      <c r="K11">
        <f t="shared" si="8"/>
        <v>-0.3751553857195945</v>
      </c>
      <c r="L11">
        <f t="shared" si="8"/>
        <v>8.2351182231137271E-2</v>
      </c>
      <c r="M11">
        <f t="shared" si="8"/>
        <v>0.53985775018186899</v>
      </c>
      <c r="N11">
        <f t="shared" si="8"/>
        <v>0.99736431813260074</v>
      </c>
      <c r="O11">
        <f t="shared" si="8"/>
        <v>1.4548708860833317</v>
      </c>
      <c r="P11">
        <f>(S5-$G$4)/I4</f>
        <v>1.9123774540340635</v>
      </c>
    </row>
    <row r="12" spans="2:19" x14ac:dyDescent="0.25">
      <c r="B12">
        <f t="shared" si="0"/>
        <v>0.37782265454300595</v>
      </c>
      <c r="C12">
        <f t="shared" si="1"/>
        <v>-0.35782265454300599</v>
      </c>
      <c r="D12">
        <v>5.7</v>
      </c>
      <c r="F12">
        <f t="shared" si="2"/>
        <v>11</v>
      </c>
      <c r="G12" t="s">
        <v>40</v>
      </c>
      <c r="H12">
        <f>NORMSDIST(H10)-0.5</f>
        <v>-0.48627932510622685</v>
      </c>
      <c r="I12">
        <f t="shared" ref="I12:P12" si="9">NORMSDIST(I10)-0.5</f>
        <v>-0.45973984767168025</v>
      </c>
      <c r="J12">
        <f t="shared" si="9"/>
        <v>-0.40150392350243636</v>
      </c>
      <c r="K12">
        <f t="shared" si="9"/>
        <v>-0.2974822961941449</v>
      </c>
      <c r="L12">
        <f t="shared" si="9"/>
        <v>-0.14622754596043153</v>
      </c>
      <c r="M12">
        <f t="shared" si="9"/>
        <v>3.2816272468069063E-2</v>
      </c>
      <c r="N12">
        <f t="shared" si="9"/>
        <v>0.20535243160252925</v>
      </c>
      <c r="O12">
        <f t="shared" si="9"/>
        <v>0.34070614775505814</v>
      </c>
      <c r="P12">
        <f t="shared" si="9"/>
        <v>0.42714749541449382</v>
      </c>
    </row>
    <row r="13" spans="2:19" x14ac:dyDescent="0.25">
      <c r="B13">
        <f t="shared" si="0"/>
        <v>0.35782265454300599</v>
      </c>
      <c r="C13">
        <f t="shared" si="1"/>
        <v>-0.33782265454300597</v>
      </c>
      <c r="D13">
        <v>5.7</v>
      </c>
      <c r="F13">
        <f t="shared" si="2"/>
        <v>12</v>
      </c>
      <c r="G13" t="s">
        <v>41</v>
      </c>
      <c r="H13">
        <f>NORMSDIST(H11)-0.5</f>
        <v>-0.45973984767168025</v>
      </c>
      <c r="I13">
        <f t="shared" ref="I13:P13" si="10">NORMSDIST(I11)-0.5</f>
        <v>-0.40150392350243636</v>
      </c>
      <c r="J13">
        <f t="shared" si="10"/>
        <v>-0.2974822961941449</v>
      </c>
      <c r="K13">
        <f t="shared" si="10"/>
        <v>-0.14622754596043153</v>
      </c>
      <c r="L13">
        <f t="shared" si="10"/>
        <v>3.2816272468069063E-2</v>
      </c>
      <c r="M13">
        <f t="shared" si="10"/>
        <v>0.20535243160252925</v>
      </c>
      <c r="N13">
        <f t="shared" si="10"/>
        <v>0.34070614775505814</v>
      </c>
      <c r="O13">
        <f t="shared" si="10"/>
        <v>0.42714749541449382</v>
      </c>
      <c r="P13">
        <f t="shared" si="10"/>
        <v>0.47208610115327199</v>
      </c>
    </row>
    <row r="14" spans="2:19" x14ac:dyDescent="0.25">
      <c r="B14">
        <f t="shared" si="0"/>
        <v>0.33782265454300597</v>
      </c>
      <c r="C14">
        <f t="shared" si="1"/>
        <v>-0.31782265454300596</v>
      </c>
      <c r="D14">
        <v>5.7</v>
      </c>
      <c r="F14">
        <f t="shared" si="2"/>
        <v>13</v>
      </c>
      <c r="G14" t="s">
        <v>42</v>
      </c>
      <c r="H14">
        <f>H13-H12</f>
        <v>2.6539477434546599E-2</v>
      </c>
      <c r="I14">
        <f t="shared" ref="I14:P14" si="11">I13-I12</f>
        <v>5.8235924169243891E-2</v>
      </c>
      <c r="J14">
        <f t="shared" si="11"/>
        <v>0.10402162730829145</v>
      </c>
      <c r="K14">
        <f t="shared" si="11"/>
        <v>0.15125475023371338</v>
      </c>
      <c r="L14">
        <f t="shared" si="11"/>
        <v>0.17904381842850059</v>
      </c>
      <c r="M14">
        <f t="shared" si="11"/>
        <v>0.17253615913446019</v>
      </c>
      <c r="N14">
        <f t="shared" si="11"/>
        <v>0.13535371615252889</v>
      </c>
      <c r="O14">
        <f t="shared" si="11"/>
        <v>8.6441347659435674E-2</v>
      </c>
      <c r="P14">
        <f t="shared" si="11"/>
        <v>4.493860573877817E-2</v>
      </c>
    </row>
    <row r="15" spans="2:19" x14ac:dyDescent="0.25">
      <c r="B15">
        <f t="shared" si="0"/>
        <v>0.31782265454300596</v>
      </c>
      <c r="C15">
        <f t="shared" si="1"/>
        <v>-0.29782265454300594</v>
      </c>
      <c r="D15">
        <v>5.7</v>
      </c>
      <c r="F15">
        <f t="shared" si="2"/>
        <v>14</v>
      </c>
      <c r="G15" s="10" t="s">
        <v>43</v>
      </c>
      <c r="H15">
        <f>50*H14</f>
        <v>1.3269738717273301</v>
      </c>
      <c r="I15">
        <f t="shared" ref="I15:P15" si="12">50*I14</f>
        <v>2.9117962084621944</v>
      </c>
      <c r="J15">
        <f t="shared" si="12"/>
        <v>5.2010813654145727</v>
      </c>
      <c r="K15">
        <f t="shared" si="12"/>
        <v>7.5627375116856683</v>
      </c>
      <c r="L15">
        <f t="shared" si="12"/>
        <v>8.9521909214250286</v>
      </c>
      <c r="M15">
        <f t="shared" si="12"/>
        <v>8.6268079567230096</v>
      </c>
      <c r="N15">
        <f t="shared" si="12"/>
        <v>6.7676858076264441</v>
      </c>
      <c r="O15">
        <f t="shared" si="12"/>
        <v>4.3220673829717837</v>
      </c>
      <c r="P15">
        <f t="shared" si="12"/>
        <v>2.2469302869389085</v>
      </c>
    </row>
    <row r="16" spans="2:19" ht="57" customHeight="1" x14ac:dyDescent="0.25">
      <c r="B16">
        <f t="shared" si="0"/>
        <v>0.32857946838364682</v>
      </c>
      <c r="C16">
        <f t="shared" si="1"/>
        <v>-0.3085794683836468</v>
      </c>
      <c r="D16">
        <v>6.2</v>
      </c>
      <c r="F16">
        <f t="shared" si="2"/>
        <v>15</v>
      </c>
      <c r="G16" s="11" t="s">
        <v>44</v>
      </c>
      <c r="H16">
        <f>(H2-H15)^2/H15</f>
        <v>2.1093229380918732</v>
      </c>
      <c r="I16">
        <f t="shared" ref="I16:P16" si="13">(I2-I15)^2/I15</f>
        <v>2.6718589779857766E-3</v>
      </c>
      <c r="J16">
        <f t="shared" si="13"/>
        <v>1.5062147604770488</v>
      </c>
      <c r="K16">
        <f t="shared" si="13"/>
        <v>0.7854627279824945</v>
      </c>
      <c r="L16">
        <f t="shared" si="13"/>
        <v>0.42571136240776813</v>
      </c>
      <c r="M16">
        <f t="shared" si="13"/>
        <v>0.30677675234381802</v>
      </c>
      <c r="N16">
        <f t="shared" si="13"/>
        <v>0.46171072406504793</v>
      </c>
      <c r="O16">
        <f t="shared" si="13"/>
        <v>0.10633629522793735</v>
      </c>
      <c r="P16">
        <f t="shared" si="13"/>
        <v>2.7136830618274325E-2</v>
      </c>
      <c r="Q16">
        <f>SUM(H16:P16)</f>
        <v>5.7313442501922474</v>
      </c>
    </row>
    <row r="17" spans="2:20" x14ac:dyDescent="0.25">
      <c r="B17">
        <f t="shared" si="0"/>
        <v>0.30857946838364686</v>
      </c>
      <c r="C17">
        <f t="shared" si="1"/>
        <v>-0.28857946838364679</v>
      </c>
      <c r="D17">
        <v>6.2</v>
      </c>
      <c r="F17">
        <f t="shared" si="2"/>
        <v>16</v>
      </c>
      <c r="G17" t="s">
        <v>50</v>
      </c>
      <c r="H17">
        <f>(1-EXP((-1*H5)/$G$4)-((H19-1)/50))</f>
        <v>0.47027692432668022</v>
      </c>
      <c r="I17">
        <f t="shared" ref="I17:S17" si="14">(1-EXP((-1*I5)/$G$4)-((I19-1)/50))</f>
        <v>0.48886874883100029</v>
      </c>
      <c r="J17">
        <f t="shared" si="14"/>
        <v>0.48350643419020539</v>
      </c>
      <c r="K17">
        <f t="shared" si="14"/>
        <v>0.56464904975447738</v>
      </c>
      <c r="L17">
        <f t="shared" si="14"/>
        <v>0.48485354101870987</v>
      </c>
      <c r="M17">
        <f t="shared" si="14"/>
        <v>0.47782265454300599</v>
      </c>
      <c r="N17">
        <f t="shared" si="14"/>
        <v>0.48857946838364685</v>
      </c>
      <c r="O17">
        <f t="shared" si="14"/>
        <v>0.49709556133339328</v>
      </c>
      <c r="P17">
        <f t="shared" si="14"/>
        <v>0.50353417624753283</v>
      </c>
      <c r="Q17">
        <f t="shared" si="14"/>
        <v>0.50804666327757575</v>
      </c>
      <c r="R17">
        <f t="shared" si="14"/>
        <v>0.51077334628836679</v>
      </c>
      <c r="S17">
        <f t="shared" si="14"/>
        <v>0.51184432615425912</v>
      </c>
      <c r="T17">
        <f>SUM(H17:S17)</f>
        <v>5.9898508943488551</v>
      </c>
    </row>
    <row r="18" spans="2:20" x14ac:dyDescent="0.25">
      <c r="B18">
        <f t="shared" si="0"/>
        <v>0.28857946838364684</v>
      </c>
      <c r="C18">
        <f t="shared" si="1"/>
        <v>-0.26857946838364677</v>
      </c>
      <c r="D18">
        <v>6.2</v>
      </c>
      <c r="F18">
        <f t="shared" si="2"/>
        <v>17</v>
      </c>
      <c r="G18" t="s">
        <v>51</v>
      </c>
      <c r="H18">
        <f>((H19/50)-1+EXP(-1*H5/$G$4))</f>
        <v>-0.45027692432668021</v>
      </c>
      <c r="I18">
        <f t="shared" ref="I18:S18" si="15">((I19/50)-1+EXP(-1*I5/$G$4))</f>
        <v>-0.46886874883100027</v>
      </c>
      <c r="J18">
        <f t="shared" si="15"/>
        <v>-0.46350643419020532</v>
      </c>
      <c r="K18">
        <f t="shared" si="15"/>
        <v>-0.54464904975447737</v>
      </c>
      <c r="L18">
        <f t="shared" si="15"/>
        <v>-0.46485354101870985</v>
      </c>
      <c r="M18">
        <f t="shared" si="15"/>
        <v>-0.45782265454300597</v>
      </c>
      <c r="N18">
        <f t="shared" si="15"/>
        <v>-0.46857946838364684</v>
      </c>
      <c r="O18">
        <f t="shared" si="15"/>
        <v>-0.47709556133339326</v>
      </c>
      <c r="P18">
        <f t="shared" si="15"/>
        <v>-0.48353417624753287</v>
      </c>
      <c r="Q18">
        <f>((Q19/50)-1+EXP(-1*Q5/$G$4))</f>
        <v>-0.48804666327757573</v>
      </c>
      <c r="R18">
        <f t="shared" si="15"/>
        <v>-0.49077334628836677</v>
      </c>
      <c r="S18">
        <f t="shared" si="15"/>
        <v>-0.4918443261542591</v>
      </c>
      <c r="T18">
        <f>SUM(H18:S18)</f>
        <v>-5.7498508943488531</v>
      </c>
    </row>
    <row r="19" spans="2:20" x14ac:dyDescent="0.25">
      <c r="B19">
        <f t="shared" si="0"/>
        <v>0.26857946838364682</v>
      </c>
      <c r="C19">
        <f t="shared" si="1"/>
        <v>-0.24857946838364686</v>
      </c>
      <c r="D19">
        <v>6.2</v>
      </c>
      <c r="F19">
        <f t="shared" si="2"/>
        <v>18</v>
      </c>
      <c r="H19">
        <v>1</v>
      </c>
      <c r="I19">
        <v>2</v>
      </c>
      <c r="J19">
        <v>3</v>
      </c>
      <c r="L19">
        <v>5</v>
      </c>
      <c r="M19">
        <v>6</v>
      </c>
      <c r="N19">
        <v>7</v>
      </c>
      <c r="O19">
        <v>8</v>
      </c>
      <c r="P19">
        <v>9</v>
      </c>
      <c r="Q19">
        <v>10</v>
      </c>
      <c r="R19">
        <v>11</v>
      </c>
      <c r="S19">
        <v>12</v>
      </c>
    </row>
    <row r="20" spans="2:20" x14ac:dyDescent="0.25">
      <c r="B20">
        <f t="shared" si="0"/>
        <v>0.24857946838364686</v>
      </c>
      <c r="C20">
        <f t="shared" si="1"/>
        <v>-0.22857946838364684</v>
      </c>
      <c r="D20">
        <v>6.2</v>
      </c>
      <c r="F20">
        <f t="shared" si="2"/>
        <v>19</v>
      </c>
      <c r="G20" t="s">
        <v>45</v>
      </c>
      <c r="P20">
        <f>_xlfn.CHISQ.INV(0.95,49)</f>
        <v>66.33864886296881</v>
      </c>
      <c r="Q20" t="s">
        <v>46</v>
      </c>
      <c r="R20">
        <f>SUM(H16:P16)</f>
        <v>5.7313442501922474</v>
      </c>
    </row>
    <row r="21" spans="2:20" x14ac:dyDescent="0.25">
      <c r="B21">
        <f t="shared" si="0"/>
        <v>0.22857946838364684</v>
      </c>
      <c r="C21">
        <f t="shared" si="1"/>
        <v>-0.20857946838364683</v>
      </c>
      <c r="D21">
        <v>6.2</v>
      </c>
      <c r="F21">
        <f t="shared" si="2"/>
        <v>20</v>
      </c>
      <c r="H21">
        <f>(H2-50*H15)/(50*H15*(1-H15))</f>
        <v>2.9200631063077207</v>
      </c>
      <c r="I21">
        <f t="shared" ref="I21:P21" si="16">(I2-50*I15)/(50*I15*(1-I15))</f>
        <v>0.51229004325607341</v>
      </c>
      <c r="J21">
        <f t="shared" si="16"/>
        <v>0.23071135315102309</v>
      </c>
      <c r="K21">
        <f t="shared" si="16"/>
        <v>0.14834580048857454</v>
      </c>
      <c r="L21">
        <f t="shared" si="16"/>
        <v>0.12378492668184377</v>
      </c>
      <c r="M21">
        <f t="shared" si="16"/>
        <v>0.1289886310641408</v>
      </c>
      <c r="N21">
        <f t="shared" si="16"/>
        <v>0.17081788661780303</v>
      </c>
      <c r="O21">
        <f t="shared" si="16"/>
        <v>0.29405271228337165</v>
      </c>
      <c r="P21">
        <f t="shared" si="16"/>
        <v>0.78769274020475177</v>
      </c>
      <c r="Q21">
        <f>SUM(H21:P21)</f>
        <v>5.3167472000553024</v>
      </c>
    </row>
    <row r="22" spans="2:20" x14ac:dyDescent="0.25">
      <c r="B22">
        <f t="shared" si="0"/>
        <v>0.20857946838364683</v>
      </c>
      <c r="C22">
        <f t="shared" si="1"/>
        <v>-0.18857946838364692</v>
      </c>
      <c r="D22">
        <v>6.2</v>
      </c>
      <c r="F22">
        <f t="shared" si="2"/>
        <v>21</v>
      </c>
    </row>
    <row r="23" spans="2:20" x14ac:dyDescent="0.25">
      <c r="B23">
        <f t="shared" si="0"/>
        <v>0.18857946838364686</v>
      </c>
      <c r="C23">
        <f t="shared" si="1"/>
        <v>-0.1685794683836469</v>
      </c>
      <c r="D23">
        <v>6.2</v>
      </c>
      <c r="F23">
        <f t="shared" si="2"/>
        <v>22</v>
      </c>
      <c r="M23" s="12" t="s">
        <v>52</v>
      </c>
      <c r="P23">
        <f>(P20-49)/SQRT(49*2)</f>
        <v>1.751468026802524</v>
      </c>
    </row>
    <row r="24" spans="2:20" x14ac:dyDescent="0.25">
      <c r="B24">
        <f t="shared" si="0"/>
        <v>0.16857946838364685</v>
      </c>
      <c r="C24">
        <f t="shared" si="1"/>
        <v>-0.14857946838364688</v>
      </c>
      <c r="D24">
        <v>6.2</v>
      </c>
      <c r="F24">
        <f t="shared" si="2"/>
        <v>23</v>
      </c>
    </row>
    <row r="25" spans="2:20" x14ac:dyDescent="0.25">
      <c r="B25">
        <f t="shared" si="0"/>
        <v>0.14857946838364683</v>
      </c>
      <c r="C25">
        <f t="shared" si="1"/>
        <v>-0.12857946838364687</v>
      </c>
      <c r="D25">
        <v>6.2</v>
      </c>
      <c r="F25">
        <f t="shared" si="2"/>
        <v>24</v>
      </c>
      <c r="M25" s="12" t="s">
        <v>53</v>
      </c>
      <c r="Q25">
        <f>(R25)*(SQRT(50)-0.01+(0.85/SQRT(50)))</f>
        <v>3.5107013958569833</v>
      </c>
      <c r="R25">
        <f>B52</f>
        <v>0.48886874883100029</v>
      </c>
    </row>
    <row r="26" spans="2:20" x14ac:dyDescent="0.25">
      <c r="B26">
        <f t="shared" si="0"/>
        <v>0.15709556133339331</v>
      </c>
      <c r="C26">
        <f t="shared" si="1"/>
        <v>-0.13709556133339329</v>
      </c>
      <c r="D26">
        <v>6.7</v>
      </c>
      <c r="F26">
        <f t="shared" si="2"/>
        <v>25</v>
      </c>
    </row>
    <row r="27" spans="2:20" x14ac:dyDescent="0.25">
      <c r="B27">
        <f t="shared" si="0"/>
        <v>0.13709556133339329</v>
      </c>
      <c r="C27">
        <f t="shared" si="1"/>
        <v>-0.11709556133339327</v>
      </c>
      <c r="D27">
        <v>6.7</v>
      </c>
      <c r="F27">
        <f t="shared" si="2"/>
        <v>26</v>
      </c>
      <c r="M27" s="7" t="s">
        <v>54</v>
      </c>
      <c r="P27">
        <f>(Q21-9)*(-1)</f>
        <v>3.6832527999446976</v>
      </c>
      <c r="Q27" t="s">
        <v>55</v>
      </c>
      <c r="R27">
        <f>3*SQRT(2*9+4*0.6)</f>
        <v>13.549907748763456</v>
      </c>
    </row>
    <row r="28" spans="2:20" x14ac:dyDescent="0.25">
      <c r="B28">
        <f t="shared" si="0"/>
        <v>0.11709556133339327</v>
      </c>
      <c r="C28">
        <f t="shared" si="1"/>
        <v>-9.7095561333393254E-2</v>
      </c>
      <c r="D28">
        <v>6.7</v>
      </c>
      <c r="F28">
        <f t="shared" si="2"/>
        <v>27</v>
      </c>
    </row>
    <row r="29" spans="2:20" x14ac:dyDescent="0.25">
      <c r="B29">
        <f t="shared" si="0"/>
        <v>9.7095561333393254E-2</v>
      </c>
      <c r="C29">
        <f t="shared" si="1"/>
        <v>-7.7095561333393237E-2</v>
      </c>
      <c r="D29">
        <v>6.7</v>
      </c>
      <c r="F29">
        <f t="shared" si="2"/>
        <v>28</v>
      </c>
    </row>
    <row r="30" spans="2:20" x14ac:dyDescent="0.25">
      <c r="B30">
        <f t="shared" si="0"/>
        <v>7.7095561333393237E-2</v>
      </c>
      <c r="C30">
        <f t="shared" si="1"/>
        <v>-5.709556133339333E-2</v>
      </c>
      <c r="D30">
        <v>6.7</v>
      </c>
      <c r="F30">
        <f t="shared" si="2"/>
        <v>29</v>
      </c>
    </row>
    <row r="31" spans="2:20" x14ac:dyDescent="0.25">
      <c r="B31">
        <f t="shared" si="0"/>
        <v>5.709556133339333E-2</v>
      </c>
      <c r="C31">
        <f t="shared" si="1"/>
        <v>-3.7095561333393312E-2</v>
      </c>
      <c r="D31">
        <v>6.7</v>
      </c>
      <c r="F31">
        <f t="shared" si="2"/>
        <v>30</v>
      </c>
      <c r="N31" t="s">
        <v>57</v>
      </c>
      <c r="P31">
        <f>SQRT((6*49)/((51)*(53)))</f>
        <v>0.32979999320208186</v>
      </c>
      <c r="Q31" t="s">
        <v>58</v>
      </c>
      <c r="R31">
        <v>6.1777809563174253E-3</v>
      </c>
    </row>
    <row r="32" spans="2:20" x14ac:dyDescent="0.25">
      <c r="B32">
        <f t="shared" si="0"/>
        <v>3.7095561333393312E-2</v>
      </c>
      <c r="C32">
        <f t="shared" si="1"/>
        <v>-1.7095561333393294E-2</v>
      </c>
      <c r="D32">
        <v>6.7</v>
      </c>
      <c r="F32">
        <f t="shared" si="2"/>
        <v>31</v>
      </c>
      <c r="N32" t="s">
        <v>56</v>
      </c>
      <c r="P32">
        <f>SQRT((24*50*48*47)/((49^2)*53*55))</f>
        <v>0.62193473257139431</v>
      </c>
      <c r="Q32" t="s">
        <v>58</v>
      </c>
      <c r="R32">
        <f>KURT(D2:D51)</f>
        <v>-0.58244988284049315</v>
      </c>
    </row>
    <row r="33" spans="2:16" x14ac:dyDescent="0.25">
      <c r="B33">
        <f t="shared" si="0"/>
        <v>4.3534176247532863E-2</v>
      </c>
      <c r="C33">
        <f t="shared" si="1"/>
        <v>-2.353417624753279E-2</v>
      </c>
      <c r="D33">
        <v>7.2</v>
      </c>
      <c r="F33">
        <f t="shared" si="2"/>
        <v>32</v>
      </c>
      <c r="P33" t="s">
        <v>60</v>
      </c>
    </row>
    <row r="34" spans="2:16" x14ac:dyDescent="0.25">
      <c r="B34">
        <f t="shared" si="0"/>
        <v>2.3534176247532845E-2</v>
      </c>
      <c r="C34">
        <f t="shared" si="1"/>
        <v>-3.534176247532772E-3</v>
      </c>
      <c r="D34">
        <v>7.2</v>
      </c>
      <c r="F34">
        <f t="shared" si="2"/>
        <v>33</v>
      </c>
      <c r="N34" t="s">
        <v>59</v>
      </c>
    </row>
    <row r="35" spans="2:16" x14ac:dyDescent="0.25">
      <c r="B35">
        <f t="shared" si="0"/>
        <v>3.5341762475328276E-3</v>
      </c>
      <c r="C35">
        <f t="shared" si="1"/>
        <v>1.6465823752467246E-2</v>
      </c>
      <c r="D35">
        <v>7.2</v>
      </c>
      <c r="F35">
        <f t="shared" si="2"/>
        <v>34</v>
      </c>
    </row>
    <row r="36" spans="2:16" x14ac:dyDescent="0.25">
      <c r="B36">
        <f t="shared" si="0"/>
        <v>-1.646582375246719E-2</v>
      </c>
      <c r="C36">
        <f t="shared" si="1"/>
        <v>3.6465823752467152E-2</v>
      </c>
      <c r="D36">
        <v>7.2</v>
      </c>
      <c r="F36">
        <f t="shared" si="2"/>
        <v>35</v>
      </c>
    </row>
    <row r="37" spans="2:16" x14ac:dyDescent="0.25">
      <c r="B37">
        <f t="shared" si="0"/>
        <v>-3.6465823752467097E-2</v>
      </c>
      <c r="C37">
        <f t="shared" si="1"/>
        <v>5.646582375246717E-2</v>
      </c>
      <c r="D37">
        <v>7.2</v>
      </c>
      <c r="F37">
        <f t="shared" si="2"/>
        <v>36</v>
      </c>
    </row>
    <row r="38" spans="2:16" x14ac:dyDescent="0.25">
      <c r="B38">
        <f t="shared" si="0"/>
        <v>-5.6465823752467115E-2</v>
      </c>
      <c r="C38">
        <f t="shared" si="1"/>
        <v>7.6465823752467188E-2</v>
      </c>
      <c r="D38">
        <v>7.2</v>
      </c>
      <c r="F38">
        <f t="shared" si="2"/>
        <v>37</v>
      </c>
    </row>
    <row r="39" spans="2:16" x14ac:dyDescent="0.25">
      <c r="B39">
        <f t="shared" si="0"/>
        <v>-7.6465823752467132E-2</v>
      </c>
      <c r="C39">
        <f t="shared" si="1"/>
        <v>9.6465823752467206E-2</v>
      </c>
      <c r="D39">
        <v>7.2</v>
      </c>
      <c r="F39">
        <f t="shared" si="2"/>
        <v>38</v>
      </c>
    </row>
    <row r="40" spans="2:16" x14ac:dyDescent="0.25">
      <c r="B40">
        <f t="shared" si="0"/>
        <v>-7.1953336722424321E-2</v>
      </c>
      <c r="C40">
        <f t="shared" si="1"/>
        <v>9.1953336722424339E-2</v>
      </c>
      <c r="D40">
        <v>7.7</v>
      </c>
      <c r="F40">
        <f t="shared" si="2"/>
        <v>39</v>
      </c>
    </row>
    <row r="41" spans="2:16" x14ac:dyDescent="0.25">
      <c r="B41">
        <f t="shared" si="0"/>
        <v>-9.1953336722424339E-2</v>
      </c>
      <c r="C41">
        <f t="shared" si="1"/>
        <v>0.11195333672242436</v>
      </c>
      <c r="D41">
        <v>7.7</v>
      </c>
      <c r="F41">
        <f t="shared" si="2"/>
        <v>40</v>
      </c>
    </row>
    <row r="42" spans="2:16" x14ac:dyDescent="0.25">
      <c r="B42">
        <f t="shared" si="0"/>
        <v>-0.11195333672242436</v>
      </c>
      <c r="C42">
        <f t="shared" si="1"/>
        <v>0.13195333672242426</v>
      </c>
      <c r="D42">
        <v>7.7</v>
      </c>
      <c r="F42">
        <f t="shared" si="2"/>
        <v>41</v>
      </c>
    </row>
    <row r="43" spans="2:16" x14ac:dyDescent="0.25">
      <c r="B43">
        <f t="shared" si="0"/>
        <v>-0.13195333672242426</v>
      </c>
      <c r="C43">
        <f t="shared" si="1"/>
        <v>0.15195333672242428</v>
      </c>
      <c r="D43">
        <v>7.7</v>
      </c>
      <c r="F43">
        <f t="shared" si="2"/>
        <v>42</v>
      </c>
    </row>
    <row r="44" spans="2:16" x14ac:dyDescent="0.25">
      <c r="B44">
        <f t="shared" si="0"/>
        <v>-0.15195333672242428</v>
      </c>
      <c r="C44">
        <f t="shared" si="1"/>
        <v>0.1719533367224243</v>
      </c>
      <c r="D44">
        <v>7.7</v>
      </c>
      <c r="F44">
        <f t="shared" si="2"/>
        <v>43</v>
      </c>
    </row>
    <row r="45" spans="2:16" x14ac:dyDescent="0.25">
      <c r="B45">
        <f t="shared" si="0"/>
        <v>-0.14922665371163324</v>
      </c>
      <c r="C45">
        <f t="shared" si="1"/>
        <v>0.16922665371163326</v>
      </c>
      <c r="D45">
        <v>8.1999999999999993</v>
      </c>
      <c r="F45">
        <f t="shared" si="2"/>
        <v>44</v>
      </c>
    </row>
    <row r="46" spans="2:16" x14ac:dyDescent="0.25">
      <c r="B46">
        <f t="shared" si="0"/>
        <v>-0.16922665371163326</v>
      </c>
      <c r="C46">
        <f t="shared" si="1"/>
        <v>0.18922665371163327</v>
      </c>
      <c r="D46">
        <v>8.1999999999999993</v>
      </c>
      <c r="F46">
        <f t="shared" si="2"/>
        <v>45</v>
      </c>
    </row>
    <row r="47" spans="2:16" x14ac:dyDescent="0.25">
      <c r="B47">
        <f t="shared" si="0"/>
        <v>-0.18922665371163327</v>
      </c>
      <c r="C47">
        <f t="shared" si="1"/>
        <v>0.20922665371163329</v>
      </c>
      <c r="D47">
        <v>8.1999999999999993</v>
      </c>
      <c r="F47">
        <f t="shared" si="2"/>
        <v>46</v>
      </c>
    </row>
    <row r="48" spans="2:16" x14ac:dyDescent="0.25">
      <c r="B48">
        <f t="shared" si="0"/>
        <v>-0.20922665371163329</v>
      </c>
      <c r="C48">
        <f t="shared" si="1"/>
        <v>0.2292266537116332</v>
      </c>
      <c r="D48">
        <v>8.1999999999999993</v>
      </c>
      <c r="F48">
        <f t="shared" si="2"/>
        <v>47</v>
      </c>
    </row>
    <row r="49" spans="2:6" x14ac:dyDescent="0.25">
      <c r="B49">
        <f t="shared" si="0"/>
        <v>-0.2292266537116332</v>
      </c>
      <c r="C49">
        <f t="shared" si="1"/>
        <v>0.24922665371163322</v>
      </c>
      <c r="D49">
        <v>8.1999999999999993</v>
      </c>
      <c r="F49">
        <f t="shared" si="2"/>
        <v>48</v>
      </c>
    </row>
    <row r="50" spans="2:6" x14ac:dyDescent="0.25">
      <c r="B50">
        <f t="shared" si="0"/>
        <v>-0.22815567384574087</v>
      </c>
      <c r="C50">
        <f t="shared" si="1"/>
        <v>0.24815567384574089</v>
      </c>
      <c r="D50">
        <v>8.6999999999999993</v>
      </c>
      <c r="F50">
        <f t="shared" si="2"/>
        <v>49</v>
      </c>
    </row>
    <row r="51" spans="2:6" x14ac:dyDescent="0.25">
      <c r="B51">
        <f t="shared" si="0"/>
        <v>-0.24815567384574089</v>
      </c>
      <c r="C51">
        <f t="shared" si="1"/>
        <v>0.26815567384574091</v>
      </c>
      <c r="D51">
        <v>8.6999999999999993</v>
      </c>
      <c r="F51">
        <f t="shared" si="2"/>
        <v>50</v>
      </c>
    </row>
    <row r="52" spans="2:6" x14ac:dyDescent="0.25">
      <c r="B52">
        <f>MAX(B2:B51)</f>
        <v>0.48886874883100029</v>
      </c>
      <c r="C52">
        <f>MAX(C2:C51)</f>
        <v>0.26815567384574091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1Лабка</vt:lpstr>
      <vt:lpstr>2Лабка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Инсаф</cp:lastModifiedBy>
  <dcterms:created xsi:type="dcterms:W3CDTF">2017-12-22T15:39:56Z</dcterms:created>
  <dcterms:modified xsi:type="dcterms:W3CDTF">2017-12-23T22:52:09Z</dcterms:modified>
</cp:coreProperties>
</file>