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bleseat/applied_statistics/assignment/"/>
    </mc:Choice>
  </mc:AlternateContent>
  <xr:revisionPtr revIDLastSave="0" documentId="13_ncr:1_{C4CA1154-4E93-0446-BDBF-C377FD6CC1B9}" xr6:coauthVersionLast="47" xr6:coauthVersionMax="47" xr10:uidLastSave="{00000000-0000-0000-0000-000000000000}"/>
  <bookViews>
    <workbookView xWindow="10940" yWindow="560" windowWidth="21860" windowHeight="19300" activeTab="1" xr2:uid="{7E1F2736-9B6E-4E16-B802-9AB7BD2D3EA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B48" i="4"/>
  <c r="D48" i="4" s="1"/>
  <c r="C48" i="4"/>
  <c r="B49" i="4"/>
  <c r="C49" i="4"/>
  <c r="D49" i="4"/>
  <c r="B50" i="4"/>
  <c r="D50" i="4" s="1"/>
  <c r="C50" i="4"/>
  <c r="B51" i="4"/>
  <c r="C51" i="4" s="1"/>
  <c r="B52" i="4"/>
  <c r="C52" i="4"/>
  <c r="D52" i="4"/>
  <c r="B53" i="4"/>
  <c r="C53" i="4" s="1"/>
  <c r="D53" i="4"/>
  <c r="B54" i="4"/>
  <c r="C54" i="4"/>
  <c r="D54" i="4"/>
  <c r="B55" i="4"/>
  <c r="C55" i="4" s="1"/>
  <c r="B56" i="4"/>
  <c r="C56" i="4"/>
  <c r="D56" i="4"/>
  <c r="C47" i="4"/>
  <c r="B47" i="4"/>
  <c r="B25" i="4"/>
  <c r="C25" i="4"/>
  <c r="D25" i="4"/>
  <c r="B26" i="4"/>
  <c r="C26" i="4"/>
  <c r="D26" i="4"/>
  <c r="B27" i="4"/>
  <c r="D27" i="4" s="1"/>
  <c r="C27" i="4"/>
  <c r="B28" i="4"/>
  <c r="C28" i="4"/>
  <c r="D28" i="4"/>
  <c r="B29" i="4"/>
  <c r="C29" i="4" s="1"/>
  <c r="D29" i="4"/>
  <c r="B30" i="4"/>
  <c r="C30" i="4"/>
  <c r="D30" i="4"/>
  <c r="B31" i="4"/>
  <c r="C31" i="4"/>
  <c r="D31" i="4"/>
  <c r="B32" i="4"/>
  <c r="C32" i="4" s="1"/>
  <c r="B33" i="4"/>
  <c r="C33" i="4"/>
  <c r="D33" i="4"/>
  <c r="D24" i="4"/>
  <c r="C18" i="4"/>
  <c r="C19" i="4"/>
  <c r="D51" i="4" l="1"/>
  <c r="D55" i="4"/>
  <c r="D32" i="4"/>
  <c r="C61" i="4" l="1"/>
  <c r="D47" i="4"/>
  <c r="D57" i="4" s="1"/>
  <c r="D61" i="4" s="1"/>
  <c r="C57" i="4"/>
  <c r="D60" i="4" s="1"/>
  <c r="C62" i="4"/>
  <c r="C38" i="4"/>
  <c r="C39" i="4" s="1"/>
  <c r="C15" i="4"/>
  <c r="C16" i="4"/>
  <c r="D16" i="4"/>
  <c r="D15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K11" i="4"/>
  <c r="G12" i="4"/>
  <c r="H12" i="4"/>
  <c r="I12" i="4"/>
  <c r="G13" i="4"/>
  <c r="H13" i="4"/>
  <c r="I13" i="4"/>
  <c r="I4" i="4"/>
  <c r="H4" i="4"/>
  <c r="G4" i="4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11" i="4"/>
  <c r="L11" i="4" s="1"/>
  <c r="E12" i="4"/>
  <c r="K12" i="4" s="1"/>
  <c r="E13" i="4"/>
  <c r="K13" i="4" s="1"/>
  <c r="E4" i="4"/>
  <c r="L4" i="4" s="1"/>
  <c r="E61" i="4" l="1"/>
  <c r="I15" i="4"/>
  <c r="H15" i="4"/>
  <c r="G15" i="4"/>
  <c r="L5" i="4"/>
  <c r="L8" i="4"/>
  <c r="E16" i="4"/>
  <c r="K4" i="4"/>
  <c r="K15" i="4" s="1"/>
  <c r="L7" i="4"/>
  <c r="E15" i="4"/>
  <c r="L10" i="4"/>
  <c r="L13" i="4"/>
  <c r="L6" i="4"/>
  <c r="L9" i="4"/>
  <c r="L12" i="4"/>
  <c r="D62" i="4" l="1"/>
  <c r="C64" i="4" s="1"/>
  <c r="C65" i="4" s="1"/>
  <c r="E60" i="4"/>
  <c r="F60" i="4" s="1"/>
  <c r="G60" i="4" s="1"/>
  <c r="L15" i="4"/>
  <c r="F19" i="4" s="1"/>
  <c r="F18" i="4" s="1"/>
  <c r="B24" i="4"/>
  <c r="C24" i="4" l="1"/>
  <c r="C34" i="4" s="1"/>
  <c r="D37" i="4" s="1"/>
  <c r="E37" i="4" l="1"/>
  <c r="D34" i="4"/>
  <c r="D38" i="4" s="1"/>
  <c r="E38" i="4" s="1"/>
  <c r="D39" i="4" l="1"/>
  <c r="C41" i="4" s="1"/>
  <c r="C42" i="4" s="1"/>
  <c r="F37" i="4"/>
  <c r="G37" i="4" s="1"/>
  <c r="I43" i="3"/>
  <c r="I41" i="3"/>
  <c r="H37" i="3"/>
  <c r="H35" i="3"/>
  <c r="I35" i="3"/>
  <c r="C47" i="3"/>
  <c r="I45" i="3"/>
  <c r="H45" i="3"/>
  <c r="G45" i="3"/>
  <c r="G44" i="3"/>
  <c r="G43" i="3"/>
  <c r="G42" i="3"/>
  <c r="G41" i="3"/>
  <c r="I39" i="3"/>
  <c r="H39" i="3"/>
  <c r="G39" i="3"/>
  <c r="G38" i="3"/>
  <c r="I37" i="3"/>
  <c r="G37" i="3"/>
  <c r="G35" i="3"/>
  <c r="E7" i="3"/>
  <c r="G7" i="3" s="1"/>
  <c r="F7" i="3"/>
  <c r="H7" i="3" s="1"/>
  <c r="E8" i="3"/>
  <c r="G8" i="3" s="1"/>
  <c r="F8" i="3"/>
  <c r="E9" i="3"/>
  <c r="G9" i="3" s="1"/>
  <c r="F9" i="3"/>
  <c r="E10" i="3"/>
  <c r="G10" i="3" s="1"/>
  <c r="F10" i="3"/>
  <c r="H10" i="3" s="1"/>
  <c r="E11" i="3"/>
  <c r="F11" i="3"/>
  <c r="H11" i="3" s="1"/>
  <c r="E12" i="3"/>
  <c r="G12" i="3" s="1"/>
  <c r="F12" i="3"/>
  <c r="H12" i="3" s="1"/>
  <c r="E13" i="3"/>
  <c r="G13" i="3" s="1"/>
  <c r="F13" i="3"/>
  <c r="E14" i="3"/>
  <c r="G14" i="3" s="1"/>
  <c r="F14" i="3"/>
  <c r="H14" i="3" s="1"/>
  <c r="E15" i="3"/>
  <c r="G15" i="3" s="1"/>
  <c r="F15" i="3"/>
  <c r="H15" i="3" s="1"/>
  <c r="E16" i="3"/>
  <c r="G16" i="3" s="1"/>
  <c r="F16" i="3"/>
  <c r="H16" i="3" s="1"/>
  <c r="F6" i="3"/>
  <c r="H6" i="3" s="1"/>
  <c r="E6" i="3"/>
  <c r="C18" i="3"/>
  <c r="G41" i="2"/>
  <c r="F41" i="2"/>
  <c r="E43" i="2"/>
  <c r="E41" i="2"/>
  <c r="C42" i="2"/>
  <c r="C41" i="2"/>
  <c r="E10" i="2"/>
  <c r="C17" i="2" s="1"/>
  <c r="C10" i="2"/>
  <c r="C15" i="2" s="1"/>
  <c r="D10" i="2"/>
  <c r="B10" i="2"/>
  <c r="B15" i="2" s="1"/>
  <c r="E5" i="2"/>
  <c r="E6" i="2"/>
  <c r="B26" i="2" s="1"/>
  <c r="E7" i="2"/>
  <c r="B27" i="2" s="1"/>
  <c r="E8" i="2"/>
  <c r="B28" i="2" s="1"/>
  <c r="E9" i="2"/>
  <c r="B29" i="2" s="1"/>
  <c r="B24" i="2"/>
  <c r="I8" i="3" l="1"/>
  <c r="H41" i="3"/>
  <c r="H43" i="3"/>
  <c r="E47" i="3"/>
  <c r="E48" i="3" s="1"/>
  <c r="F47" i="3"/>
  <c r="F48" i="3" s="1"/>
  <c r="H42" i="3"/>
  <c r="H44" i="3"/>
  <c r="I36" i="3"/>
  <c r="I38" i="3"/>
  <c r="I40" i="3"/>
  <c r="I42" i="3"/>
  <c r="I44" i="3"/>
  <c r="G40" i="3"/>
  <c r="H38" i="3"/>
  <c r="G36" i="3"/>
  <c r="G47" i="3" s="1"/>
  <c r="H36" i="3"/>
  <c r="H40" i="3"/>
  <c r="I15" i="3"/>
  <c r="I16" i="3"/>
  <c r="I14" i="3"/>
  <c r="I10" i="3"/>
  <c r="I11" i="3"/>
  <c r="G11" i="3"/>
  <c r="I6" i="3"/>
  <c r="I9" i="3"/>
  <c r="H9" i="3"/>
  <c r="I13" i="3"/>
  <c r="H8" i="3"/>
  <c r="F18" i="3"/>
  <c r="F19" i="3" s="1"/>
  <c r="H13" i="3"/>
  <c r="I7" i="3"/>
  <c r="I12" i="3"/>
  <c r="G6" i="3"/>
  <c r="G18" i="3" s="1"/>
  <c r="E18" i="3"/>
  <c r="E19" i="3" s="1"/>
  <c r="B25" i="2"/>
  <c r="D15" i="2"/>
  <c r="E15" i="2" s="1"/>
  <c r="D41" i="2" s="1"/>
  <c r="C43" i="2"/>
  <c r="C44" i="2" s="1"/>
  <c r="E29" i="2"/>
  <c r="D42" i="2" s="1"/>
  <c r="E42" i="2" s="1"/>
  <c r="F42" i="2" s="1"/>
  <c r="G42" i="2" s="1"/>
  <c r="C22" i="2"/>
  <c r="B22" i="2"/>
  <c r="D22" i="2"/>
  <c r="D21" i="2"/>
  <c r="C21" i="2"/>
  <c r="B21" i="2"/>
  <c r="D20" i="2"/>
  <c r="C20" i="2"/>
  <c r="B20" i="2"/>
  <c r="C19" i="2"/>
  <c r="D19" i="2"/>
  <c r="B19" i="2"/>
  <c r="D18" i="2"/>
  <c r="B17" i="2"/>
  <c r="C18" i="2"/>
  <c r="D17" i="2"/>
  <c r="B18" i="2"/>
  <c r="H18" i="3" l="1"/>
  <c r="I47" i="3"/>
  <c r="C50" i="3" s="1"/>
  <c r="C51" i="3" s="1"/>
  <c r="H47" i="3"/>
  <c r="I18" i="3"/>
  <c r="C21" i="3" s="1"/>
  <c r="C22" i="3" s="1"/>
  <c r="C24" i="3" s="1"/>
  <c r="C25" i="3" s="1"/>
  <c r="E22" i="2"/>
  <c r="D43" i="2" s="1"/>
  <c r="D44" i="2" s="1"/>
  <c r="K41" i="3" l="1"/>
  <c r="K42" i="3"/>
  <c r="K43" i="3"/>
  <c r="K44" i="3"/>
  <c r="K36" i="3"/>
  <c r="K37" i="3"/>
  <c r="K45" i="3"/>
  <c r="K38" i="3"/>
  <c r="K39" i="3"/>
  <c r="K35" i="3"/>
  <c r="K40" i="3"/>
  <c r="C53" i="3"/>
  <c r="C54" i="3" s="1"/>
  <c r="K12" i="3"/>
  <c r="K7" i="3"/>
  <c r="K8" i="3"/>
  <c r="K14" i="3"/>
  <c r="K15" i="3"/>
  <c r="K9" i="3"/>
  <c r="K16" i="3"/>
  <c r="K10" i="3"/>
  <c r="K11" i="3"/>
  <c r="K6" i="3"/>
  <c r="K13" i="3"/>
  <c r="F37" i="1"/>
  <c r="E37" i="1"/>
  <c r="F36" i="1"/>
  <c r="E36" i="1"/>
  <c r="F35" i="1"/>
  <c r="E35" i="1"/>
  <c r="B37" i="1"/>
  <c r="C28" i="1"/>
  <c r="E28" i="1" s="1"/>
  <c r="F27" i="1" s="1"/>
  <c r="G27" i="1" s="1"/>
  <c r="C27" i="1"/>
  <c r="C29" i="1"/>
  <c r="E27" i="1"/>
  <c r="D29" i="1"/>
  <c r="D28" i="1"/>
  <c r="D27" i="1"/>
  <c r="F22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C17" i="1"/>
  <c r="D17" i="1"/>
  <c r="E17" i="1"/>
  <c r="B17" i="1"/>
  <c r="F15" i="1"/>
  <c r="C15" i="1"/>
  <c r="D15" i="1"/>
  <c r="E15" i="1"/>
  <c r="B15" i="1"/>
  <c r="F13" i="1"/>
  <c r="E13" i="1"/>
  <c r="D13" i="1"/>
  <c r="C13" i="1"/>
  <c r="B13" i="1"/>
  <c r="E12" i="1"/>
  <c r="D12" i="1"/>
  <c r="C12" i="1"/>
  <c r="B12" i="1"/>
  <c r="B11" i="1"/>
  <c r="M35" i="3" l="1"/>
  <c r="L35" i="3"/>
  <c r="L39" i="3"/>
  <c r="M39" i="3"/>
  <c r="M40" i="3"/>
  <c r="L40" i="3"/>
  <c r="L38" i="3"/>
  <c r="M38" i="3"/>
  <c r="L45" i="3"/>
  <c r="M45" i="3"/>
  <c r="L37" i="3"/>
  <c r="M37" i="3"/>
  <c r="L36" i="3"/>
  <c r="M36" i="3"/>
  <c r="L44" i="3"/>
  <c r="M44" i="3"/>
  <c r="L43" i="3"/>
  <c r="M43" i="3"/>
  <c r="L42" i="3"/>
  <c r="M42" i="3"/>
  <c r="L41" i="3"/>
  <c r="M41" i="3"/>
  <c r="L13" i="3"/>
  <c r="M13" i="3"/>
  <c r="L6" i="3"/>
  <c r="M6" i="3"/>
  <c r="L10" i="3"/>
  <c r="M10" i="3"/>
  <c r="M11" i="3"/>
  <c r="L11" i="3"/>
  <c r="L16" i="3"/>
  <c r="M16" i="3"/>
  <c r="L15" i="3"/>
  <c r="M15" i="3"/>
  <c r="L14" i="3"/>
  <c r="M14" i="3"/>
  <c r="L9" i="3"/>
  <c r="M9" i="3"/>
  <c r="L8" i="3"/>
  <c r="M8" i="3"/>
  <c r="L7" i="3"/>
  <c r="M7" i="3"/>
  <c r="L12" i="3"/>
  <c r="M12" i="3"/>
  <c r="M47" i="3" l="1"/>
  <c r="M18" i="3"/>
  <c r="L18" i="3"/>
  <c r="M20" i="3" l="1"/>
  <c r="L47" i="3" l="1"/>
  <c r="M49" i="3"/>
</calcChain>
</file>

<file path=xl/sharedStrings.xml><?xml version="1.0" encoding="utf-8"?>
<sst xmlns="http://schemas.openxmlformats.org/spreadsheetml/2006/main" count="155" uniqueCount="93">
  <si>
    <t>sample data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</si>
  <si>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</si>
  <si>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</si>
  <si>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</si>
  <si>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alpha</t>
    <phoneticPr fontId="2" type="noConversion"/>
  </si>
  <si>
    <t>level 4</t>
    <phoneticPr fontId="2" type="noConversion"/>
  </si>
  <si>
    <t>overall mean</t>
    <phoneticPr fontId="2" type="noConversion"/>
  </si>
  <si>
    <t>mean</t>
    <phoneticPr fontId="2" type="noConversion"/>
  </si>
  <si>
    <t>sample size</t>
    <phoneticPr fontId="2" type="noConversion"/>
  </si>
  <si>
    <t>SSTr</t>
    <phoneticPr fontId="2" type="noConversion"/>
  </si>
  <si>
    <t>SSE</t>
    <phoneticPr fontId="2" type="noConversion"/>
  </si>
  <si>
    <t>(a)</t>
    <phoneticPr fontId="2" type="noConversion"/>
  </si>
  <si>
    <t>ANOVA table</t>
  </si>
  <si>
    <t>DF</t>
    <phoneticPr fontId="2" type="noConversion"/>
  </si>
  <si>
    <t>SS</t>
    <phoneticPr fontId="2" type="noConversion"/>
  </si>
  <si>
    <t>MS</t>
    <phoneticPr fontId="2" type="noConversion"/>
  </si>
  <si>
    <t>F</t>
    <phoneticPr fontId="2" type="noConversion"/>
  </si>
  <si>
    <t>p-value</t>
    <phoneticPr fontId="2" type="noConversion"/>
  </si>
  <si>
    <t>Treatment</t>
    <phoneticPr fontId="2" type="noConversion"/>
  </si>
  <si>
    <t>Error</t>
    <phoneticPr fontId="2" type="noConversion"/>
  </si>
  <si>
    <t>Total</t>
    <phoneticPr fontId="2" type="noConversion"/>
  </si>
  <si>
    <t>(b)</t>
    <phoneticPr fontId="2" type="noConversion"/>
  </si>
  <si>
    <t>mu1-mu2</t>
    <phoneticPr fontId="2" type="noConversion"/>
  </si>
  <si>
    <t>S</t>
    <phoneticPr fontId="2" type="noConversion"/>
  </si>
  <si>
    <t>mu1-mu3</t>
    <phoneticPr fontId="2" type="noConversion"/>
  </si>
  <si>
    <t>mu2-mu3</t>
    <phoneticPr fontId="2" type="noConversion"/>
  </si>
  <si>
    <t>pairwise comparison</t>
    <phoneticPr fontId="2" type="noConversion"/>
  </si>
  <si>
    <t xml:space="preserve"> </t>
    <phoneticPr fontId="2" type="noConversion"/>
  </si>
  <si>
    <t>q_0.05,4,19</t>
    <phoneticPr fontId="2" type="noConversion"/>
  </si>
  <si>
    <t xml:space="preserve"> --&gt; So mu1, mu2 and mu3 are indistinguishable.</t>
    <phoneticPr fontId="2" type="noConversion"/>
  </si>
  <si>
    <t>1번</t>
    <phoneticPr fontId="2" type="noConversion"/>
  </si>
  <si>
    <t>2번</t>
    <phoneticPr fontId="2" type="noConversion"/>
  </si>
  <si>
    <t>H0:</t>
    <phoneticPr fontId="2" type="noConversion"/>
  </si>
  <si>
    <t>alpha_1=alpha_2=alpha3=0</t>
    <phoneticPr fontId="2" type="noConversion"/>
  </si>
  <si>
    <t>null hyphesis implies that the 3 factor levels are indistinguishable</t>
    <phoneticPr fontId="2" type="noConversion"/>
  </si>
  <si>
    <t>and Rejection indicates that they are not equal</t>
    <phoneticPr fontId="2" type="noConversion"/>
  </si>
  <si>
    <t>avg</t>
    <phoneticPr fontId="2" type="noConversion"/>
  </si>
  <si>
    <t>k</t>
    <phoneticPr fontId="2" type="noConversion"/>
  </si>
  <si>
    <t>b</t>
    <phoneticPr fontId="2" type="noConversion"/>
  </si>
  <si>
    <t>SSBl</t>
    <phoneticPr fontId="2" type="noConversion"/>
  </si>
  <si>
    <t>Blocks</t>
    <phoneticPr fontId="2" type="noConversion"/>
  </si>
  <si>
    <t>Treatments</t>
    <phoneticPr fontId="2" type="noConversion"/>
  </si>
  <si>
    <t>ANOVA table for randomized block design</t>
    <phoneticPr fontId="2" type="noConversion"/>
  </si>
  <si>
    <t>&lt;- it is plausible that the blocks are indistinguishable from each other.</t>
    <phoneticPr fontId="2" type="noConversion"/>
  </si>
  <si>
    <t>&lt;- alpha = 0.05, so accept H0. they are equal.</t>
    <phoneticPr fontId="2" type="noConversion"/>
  </si>
  <si>
    <t>3번</t>
    <phoneticPr fontId="2" type="noConversion"/>
  </si>
  <si>
    <t>Weight</t>
    <phoneticPr fontId="2" type="noConversion"/>
  </si>
  <si>
    <t>Score</t>
    <phoneticPr fontId="2" type="noConversion"/>
  </si>
  <si>
    <t>Sample data (each row is paired data)</t>
    <phoneticPr fontId="2" type="noConversion"/>
  </si>
  <si>
    <t>x_i</t>
    <phoneticPr fontId="2" type="noConversion"/>
  </si>
  <si>
    <t>y_i</t>
    <phoneticPr fontId="2" type="noConversion"/>
  </si>
  <si>
    <t>x_i^2</t>
    <phoneticPr fontId="2" type="noConversion"/>
  </si>
  <si>
    <t>y_i^2</t>
    <phoneticPr fontId="2" type="noConversion"/>
  </si>
  <si>
    <t>x_i^y_i</t>
    <phoneticPr fontId="2" type="noConversion"/>
  </si>
  <si>
    <t>n</t>
    <phoneticPr fontId="2" type="noConversion"/>
  </si>
  <si>
    <t>sum</t>
    <phoneticPr fontId="2" type="noConversion"/>
  </si>
  <si>
    <t>beta_1</t>
    <phoneticPr fontId="2" type="noConversion"/>
  </si>
  <si>
    <t>beta_0</t>
    <phoneticPr fontId="2" type="noConversion"/>
  </si>
  <si>
    <t>sigma^2</t>
    <phoneticPr fontId="2" type="noConversion"/>
  </si>
  <si>
    <t>sigma</t>
    <phoneticPr fontId="2" type="noConversion"/>
  </si>
  <si>
    <t>yhat_i</t>
    <phoneticPr fontId="2" type="noConversion"/>
  </si>
  <si>
    <t>(yhat_i - ybar)^2</t>
    <phoneticPr fontId="2" type="noConversion"/>
  </si>
  <si>
    <t>(y_i - yhat_i)^2</t>
    <phoneticPr fontId="2" type="noConversion"/>
  </si>
  <si>
    <t>R-squared</t>
  </si>
  <si>
    <t>4번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</si>
  <si>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</si>
  <si>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</si>
  <si>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</si>
  <si>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average</t>
    <phoneticPr fontId="2" type="noConversion"/>
  </si>
  <si>
    <t>x_i*y_i</t>
    <phoneticPr fontId="2" type="noConversion"/>
  </si>
  <si>
    <t>(x^2)_i^2</t>
    <phoneticPr fontId="2" type="noConversion"/>
  </si>
  <si>
    <t>(x^2)_i*y_i</t>
    <phoneticPr fontId="2" type="noConversion"/>
  </si>
  <si>
    <t>beta_2</t>
    <phoneticPr fontId="2" type="noConversion"/>
  </si>
  <si>
    <t>beta_3</t>
    <phoneticPr fontId="2" type="noConversion"/>
  </si>
  <si>
    <t>y=beta_0+beta_1*x</t>
    <phoneticPr fontId="2" type="noConversion"/>
  </si>
  <si>
    <t>Source</t>
  </si>
  <si>
    <t>DF</t>
  </si>
  <si>
    <t>Sum of squares</t>
  </si>
  <si>
    <t>Mean squares</t>
  </si>
  <si>
    <t>F-statistic</t>
  </si>
  <si>
    <t>p-value</t>
  </si>
  <si>
    <t>Regression</t>
  </si>
  <si>
    <t>Error</t>
  </si>
  <si>
    <t>Total</t>
  </si>
  <si>
    <t>y=beta_2+beta_3*x</t>
    <phoneticPr fontId="2" type="noConversion"/>
  </si>
  <si>
    <t>r1</t>
    <phoneticPr fontId="2" type="noConversion"/>
  </si>
  <si>
    <t>r2</t>
    <phoneticPr fontId="2" type="noConversion"/>
  </si>
  <si>
    <t>R_1-squared</t>
    <phoneticPr fontId="2" type="noConversion"/>
  </si>
  <si>
    <t>R_2-squared</t>
    <phoneticPr fontId="2" type="noConversion"/>
  </si>
  <si>
    <t xml:space="preserve"> --&gt; R_1-squared &lt; R_2-sqruared, so second model describes y better</t>
    <phoneticPr fontId="2" type="noConversion"/>
  </si>
  <si>
    <t>Y=68.4602+(0.08054)*X</t>
    <phoneticPr fontId="2" type="noConversion"/>
  </si>
  <si>
    <t>Y=160.67+(0.11795)*X</t>
    <phoneticPr fontId="2" type="noConversion"/>
  </si>
  <si>
    <t>&lt;- alpha is 0.05, so accept H0. they are equal.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</si>
</sst>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E+00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1" fillId="0" borderId="0" xfId="1"/>
    <xf numFmtId="0" fontId="1" fillId="2" borderId="1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0" fontId="1" fillId="0" borderId="5" xfId="1" applyBorder="1"/>
    <xf numFmtId="0" fontId="1" fillId="2" borderId="6" xfId="1" applyFill="1" applyBorder="1" applyAlignment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>
      <alignment vertical="center"/>
    </xf>
    <xf numFmtId="177" fontId="4" fillId="3" borderId="11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2" xfId="0" applyNumberFormat="1" applyFont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14" xfId="0" applyFont="1" applyBorder="1">
      <alignment vertical="center"/>
    </xf>
    <xf numFmtId="176" fontId="3" fillId="0" borderId="15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0" fontId="4" fillId="0" borderId="0" xfId="0" applyFont="1">
      <alignment vertical="center"/>
    </xf>
    <xf numFmtId="0" fontId="3" fillId="2" borderId="0" xfId="0" applyFont="1" applyFill="1" applyBorder="1">
      <alignment vertical="center"/>
    </xf>
  </cellXfs>
  <cellStyles count="2">
    <cellStyle name="표준" xfId="0" builtinId="0"/>
    <cellStyle name="Normal 2" xfId="1" xr:uid="{BDCE06D5-BE60-48AF-8DF5-B3A1883E6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858-F71A-479F-8752-9F043C29A7FE}">
  <dimension ref="A1:H39"/>
  <sheetViews>
    <sheetView workbookViewId="0">
      <selection activeCell="F17" sqref="F17"/>
    </sheetView>
  </sheetViews>
  <sheetFormatPr baseColWidth="10" defaultColWidth="8.83203125" defaultRowHeight="17"/>
  <cols>
    <col min="1" max="1" width="11.83203125" customWidth="1"/>
  </cols>
  <sheetData>
    <row r="1" spans="1:8">
      <c r="A1" t="s">
        <v>30</v>
      </c>
    </row>
    <row r="2" spans="1:8">
      <c r="B2" t="s">
        <v>0</v>
      </c>
      <c r="G2" t="s">
        <v>4</v>
      </c>
      <c r="H2">
        <v>0.05</v>
      </c>
    </row>
    <row r="3" spans="1:8">
      <c r="B3" t="s">
        <v>1</v>
      </c>
      <c r="C3" t="s">
        <v>2</v>
      </c>
      <c r="D3" t="s">
        <v>3</v>
      </c>
      <c r="E3" t="s">
        <v>5</v>
      </c>
    </row>
    <row r="4" spans="1:8">
      <c r="B4">
        <v>21</v>
      </c>
      <c r="C4">
        <v>15</v>
      </c>
      <c r="D4">
        <v>18</v>
      </c>
      <c r="E4">
        <v>34</v>
      </c>
    </row>
    <row r="5" spans="1:8">
      <c r="B5">
        <v>18</v>
      </c>
      <c r="C5">
        <v>27</v>
      </c>
      <c r="D5">
        <v>23</v>
      </c>
      <c r="E5">
        <v>18</v>
      </c>
    </row>
    <row r="6" spans="1:8">
      <c r="B6">
        <v>12</v>
      </c>
      <c r="C6">
        <v>28</v>
      </c>
      <c r="D6">
        <v>18</v>
      </c>
      <c r="E6">
        <v>29</v>
      </c>
    </row>
    <row r="7" spans="1:8">
      <c r="B7">
        <v>18</v>
      </c>
      <c r="C7">
        <v>20</v>
      </c>
      <c r="D7">
        <v>13</v>
      </c>
      <c r="E7">
        <v>41</v>
      </c>
    </row>
    <row r="8" spans="1:8">
      <c r="B8">
        <v>24</v>
      </c>
      <c r="C8">
        <v>29</v>
      </c>
      <c r="D8">
        <v>20</v>
      </c>
      <c r="E8">
        <v>25</v>
      </c>
    </row>
    <row r="9" spans="1:8">
      <c r="B9">
        <v>13</v>
      </c>
      <c r="C9">
        <v>15</v>
      </c>
      <c r="D9">
        <v>20</v>
      </c>
    </row>
    <row r="11" spans="1:8">
      <c r="A11" t="s">
        <v>6</v>
      </c>
      <c r="B11">
        <f>AVERAGE(B4:E9)</f>
        <v>21.695652173913043</v>
      </c>
    </row>
    <row r="12" spans="1:8">
      <c r="A12" t="s">
        <v>7</v>
      </c>
      <c r="B12">
        <f>AVERAGE(B4:B9)</f>
        <v>17.666666666666668</v>
      </c>
      <c r="C12">
        <f>AVERAGE(C4:C9)</f>
        <v>22.333333333333332</v>
      </c>
      <c r="D12">
        <f>AVERAGE(D4:D9)</f>
        <v>18.666666666666668</v>
      </c>
      <c r="E12">
        <f>AVERAGE(E4:E8)</f>
        <v>29.4</v>
      </c>
    </row>
    <row r="13" spans="1:8">
      <c r="A13" t="s">
        <v>8</v>
      </c>
      <c r="B13">
        <f>COUNT(B4:B9)</f>
        <v>6</v>
      </c>
      <c r="C13">
        <f>COUNT(C4:C9)</f>
        <v>6</v>
      </c>
      <c r="D13">
        <f>COUNT(D4:D9)</f>
        <v>6</v>
      </c>
      <c r="E13">
        <f>COUNT(E4:E8)</f>
        <v>5</v>
      </c>
      <c r="F13">
        <f>SUM(B13:E13)</f>
        <v>23</v>
      </c>
    </row>
    <row r="15" spans="1:8">
      <c r="A15" t="s">
        <v>9</v>
      </c>
      <c r="B15">
        <f>B13*(B12-$B$11)^2</f>
        <v>97.39634530560798</v>
      </c>
      <c r="C15">
        <f t="shared" ref="C15:E15" si="0">C13*(C12-$B$11)^2</f>
        <v>2.4398235664776253</v>
      </c>
      <c r="D15">
        <f t="shared" si="0"/>
        <v>55.048519218651492</v>
      </c>
      <c r="E15">
        <f t="shared" si="0"/>
        <v>296.78487712665395</v>
      </c>
      <c r="F15">
        <f>SUM(B15:E15)</f>
        <v>451.66956521739104</v>
      </c>
    </row>
    <row r="17" spans="1:8">
      <c r="A17" t="s">
        <v>10</v>
      </c>
      <c r="B17">
        <f>(B4-B$12)^2</f>
        <v>11.111111111111104</v>
      </c>
      <c r="C17">
        <f t="shared" ref="C17:E17" si="1">(C4-C$12)^2</f>
        <v>53.777777777777757</v>
      </c>
      <c r="D17">
        <f t="shared" si="1"/>
        <v>0.44444444444444603</v>
      </c>
      <c r="E17">
        <f t="shared" si="1"/>
        <v>21.160000000000014</v>
      </c>
    </row>
    <row r="18" spans="1:8">
      <c r="B18">
        <f t="shared" ref="B18:E18" si="2">(B5-B$12)^2</f>
        <v>0.11111111111111033</v>
      </c>
      <c r="C18">
        <f t="shared" si="2"/>
        <v>21.777777777777789</v>
      </c>
      <c r="D18">
        <f t="shared" si="2"/>
        <v>18.777777777777768</v>
      </c>
      <c r="E18">
        <f t="shared" si="2"/>
        <v>129.95999999999998</v>
      </c>
    </row>
    <row r="19" spans="1:8">
      <c r="B19">
        <f t="shared" ref="B19:E19" si="3">(B6-B$12)^2</f>
        <v>32.111111111111121</v>
      </c>
      <c r="C19">
        <f t="shared" si="3"/>
        <v>32.111111111111121</v>
      </c>
      <c r="D19">
        <f t="shared" si="3"/>
        <v>0.44444444444444603</v>
      </c>
      <c r="E19">
        <f t="shared" si="3"/>
        <v>0.15999999999999887</v>
      </c>
    </row>
    <row r="20" spans="1:8">
      <c r="B20">
        <f t="shared" ref="B20:E20" si="4">(B7-B$12)^2</f>
        <v>0.11111111111111033</v>
      </c>
      <c r="C20">
        <f t="shared" si="4"/>
        <v>5.4444444444444393</v>
      </c>
      <c r="D20">
        <f t="shared" si="4"/>
        <v>32.111111111111121</v>
      </c>
      <c r="E20">
        <f t="shared" si="4"/>
        <v>134.56000000000003</v>
      </c>
    </row>
    <row r="21" spans="1:8">
      <c r="B21">
        <f t="shared" ref="B21:E21" si="5">(B8-B$12)^2</f>
        <v>40.111111111111093</v>
      </c>
      <c r="C21">
        <f t="shared" si="5"/>
        <v>44.444444444444457</v>
      </c>
      <c r="D21">
        <f t="shared" si="5"/>
        <v>1.7777777777777746</v>
      </c>
      <c r="E21">
        <f t="shared" si="5"/>
        <v>19.359999999999989</v>
      </c>
    </row>
    <row r="22" spans="1:8">
      <c r="B22">
        <f t="shared" ref="B22:E22" si="6">(B9-B$12)^2</f>
        <v>21.777777777777789</v>
      </c>
      <c r="C22">
        <f t="shared" si="6"/>
        <v>53.777777777777757</v>
      </c>
      <c r="D22">
        <f t="shared" si="6"/>
        <v>1.7777777777777746</v>
      </c>
      <c r="E22">
        <f t="shared" si="6"/>
        <v>864.3599999999999</v>
      </c>
      <c r="F22">
        <f>SUM(B17:E22)</f>
        <v>1541.56</v>
      </c>
    </row>
    <row r="24" spans="1:8">
      <c r="A24" t="s">
        <v>11</v>
      </c>
    </row>
    <row r="25" spans="1:8">
      <c r="B25" s="1" t="s">
        <v>12</v>
      </c>
      <c r="C25" s="1"/>
      <c r="D25" s="1"/>
      <c r="E25" s="1"/>
      <c r="F25" s="1"/>
      <c r="G25" s="1"/>
    </row>
    <row r="26" spans="1:8">
      <c r="B26" s="2"/>
      <c r="C26" s="3" t="s">
        <v>13</v>
      </c>
      <c r="D26" s="3" t="s">
        <v>14</v>
      </c>
      <c r="E26" s="3" t="s">
        <v>15</v>
      </c>
      <c r="F26" s="3" t="s">
        <v>16</v>
      </c>
      <c r="G26" s="4" t="s">
        <v>17</v>
      </c>
    </row>
    <row r="27" spans="1:8">
      <c r="B27" s="5" t="s">
        <v>18</v>
      </c>
      <c r="C27" s="6">
        <f>4-1</f>
        <v>3</v>
      </c>
      <c r="D27" s="6">
        <f>F15</f>
        <v>451.66956521739104</v>
      </c>
      <c r="E27" s="6">
        <f>D27/C27</f>
        <v>150.55652173913035</v>
      </c>
      <c r="F27" s="6">
        <f>E27/E28</f>
        <v>1.8556357929911758</v>
      </c>
      <c r="G27" s="6">
        <f>_xlfn.F.DIST.RT(F27, C27, C28)</f>
        <v>0.17141260699746819</v>
      </c>
      <c r="H27" t="s">
        <v>44</v>
      </c>
    </row>
    <row r="28" spans="1:8">
      <c r="B28" s="5" t="s">
        <v>19</v>
      </c>
      <c r="C28" s="6">
        <f>F13-4</f>
        <v>19</v>
      </c>
      <c r="D28" s="6">
        <f>F22</f>
        <v>1541.56</v>
      </c>
      <c r="E28" s="6">
        <f>D28/C28</f>
        <v>81.134736842105255</v>
      </c>
      <c r="F28" s="1"/>
      <c r="G28" s="1"/>
    </row>
    <row r="29" spans="1:8">
      <c r="B29" s="7" t="s">
        <v>20</v>
      </c>
      <c r="C29" s="6">
        <f>C27+C28</f>
        <v>22</v>
      </c>
      <c r="D29" s="6">
        <f>D27+D28</f>
        <v>1993.2295652173909</v>
      </c>
      <c r="E29" s="1"/>
      <c r="F29" s="1"/>
      <c r="G29" s="1"/>
    </row>
    <row r="33" spans="1:6">
      <c r="A33" t="s">
        <v>21</v>
      </c>
      <c r="B33" t="s">
        <v>26</v>
      </c>
    </row>
    <row r="35" spans="1:6">
      <c r="A35" t="s">
        <v>4</v>
      </c>
      <c r="B35">
        <v>0.05</v>
      </c>
      <c r="D35" t="s">
        <v>22</v>
      </c>
      <c r="E35">
        <f>B12-C12-B37*B36*SQRT(1/B13+1/C13)/SQRT(2)</f>
        <v>-19.30227783414491</v>
      </c>
      <c r="F35">
        <f>B12-C12+B37*B36*SQRT(1/B13+1/C13)/SQRT(2)</f>
        <v>9.9689445008115829</v>
      </c>
    </row>
    <row r="36" spans="1:6">
      <c r="A36" t="s">
        <v>28</v>
      </c>
      <c r="B36">
        <v>3.98</v>
      </c>
      <c r="C36" t="s">
        <v>27</v>
      </c>
      <c r="D36" t="s">
        <v>24</v>
      </c>
      <c r="E36">
        <f>B12-D12-B37*B36*SQRT(1/B13+1/D13)/SQRT(2)</f>
        <v>-15.635611167478247</v>
      </c>
      <c r="F36">
        <f>B12-C12+B37*B36*SQRT(1/B13+1/C13)/SQRT(2)</f>
        <v>9.9689445008115829</v>
      </c>
    </row>
    <row r="37" spans="1:6">
      <c r="A37" t="s">
        <v>23</v>
      </c>
      <c r="B37">
        <f>SQRT(E28)</f>
        <v>9.0074822698745987</v>
      </c>
      <c r="D37" t="s">
        <v>25</v>
      </c>
      <c r="E37">
        <f>C12-D12-B37*B36*SQRT(1/C13+1/D13)/SQRT(2)</f>
        <v>-10.968944500811583</v>
      </c>
      <c r="F37">
        <f>C12-D12+B37*B36*SQRT(1/C13+1/D13)/SQRT(2)</f>
        <v>18.30227783414491</v>
      </c>
    </row>
    <row r="39" spans="1:6">
      <c r="B39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3337-047A-4D89-B6DA-647C4C4DF46D}">
  <dimension ref="A1:H44"/>
  <sheetViews>
    <sheetView tabSelected="1" topLeftCell="A11" zoomScale="117" zoomScaleNormal="85" workbookViewId="0">
      <selection activeCell="H41" sqref="H41"/>
    </sheetView>
  </sheetViews>
  <sheetFormatPr baseColWidth="10" defaultColWidth="8.83203125" defaultRowHeight="17"/>
  <cols>
    <col min="1" max="1" width="12.33203125" customWidth="1"/>
  </cols>
  <sheetData>
    <row r="1" spans="1:5">
      <c r="A1" t="s">
        <v>31</v>
      </c>
    </row>
    <row r="2" spans="1:5">
      <c r="B2" t="s">
        <v>0</v>
      </c>
    </row>
    <row r="3" spans="1:5">
      <c r="B3" t="s">
        <v>1</v>
      </c>
      <c r="C3" t="s">
        <v>2</v>
      </c>
      <c r="D3" t="s">
        <v>3</v>
      </c>
      <c r="E3" t="s">
        <v>36</v>
      </c>
    </row>
    <row r="4" spans="1:5">
      <c r="A4">
        <v>1</v>
      </c>
      <c r="B4">
        <v>21</v>
      </c>
      <c r="C4">
        <v>15</v>
      </c>
      <c r="D4">
        <v>18</v>
      </c>
      <c r="E4">
        <f>AVERAGE(B4:D4)</f>
        <v>18</v>
      </c>
    </row>
    <row r="5" spans="1:5">
      <c r="A5">
        <v>2</v>
      </c>
      <c r="B5">
        <v>18</v>
      </c>
      <c r="C5">
        <v>27</v>
      </c>
      <c r="D5">
        <v>23</v>
      </c>
      <c r="E5">
        <f t="shared" ref="E5:E9" si="0">AVERAGE(B5:D5)</f>
        <v>22.666666666666668</v>
      </c>
    </row>
    <row r="6" spans="1:5">
      <c r="A6">
        <v>3</v>
      </c>
      <c r="B6">
        <v>12</v>
      </c>
      <c r="C6">
        <v>28</v>
      </c>
      <c r="D6">
        <v>18</v>
      </c>
      <c r="E6">
        <f t="shared" si="0"/>
        <v>19.333333333333332</v>
      </c>
    </row>
    <row r="7" spans="1:5">
      <c r="A7">
        <v>4</v>
      </c>
      <c r="B7">
        <v>18</v>
      </c>
      <c r="C7">
        <v>20</v>
      </c>
      <c r="D7">
        <v>13</v>
      </c>
      <c r="E7">
        <f t="shared" si="0"/>
        <v>17</v>
      </c>
    </row>
    <row r="8" spans="1:5">
      <c r="A8">
        <v>5</v>
      </c>
      <c r="B8">
        <v>24</v>
      </c>
      <c r="C8">
        <v>29</v>
      </c>
      <c r="D8">
        <v>20</v>
      </c>
      <c r="E8">
        <f t="shared" si="0"/>
        <v>24.333333333333332</v>
      </c>
    </row>
    <row r="9" spans="1:5">
      <c r="A9">
        <v>6</v>
      </c>
      <c r="B9">
        <v>13</v>
      </c>
      <c r="C9">
        <v>15</v>
      </c>
      <c r="D9">
        <v>20</v>
      </c>
      <c r="E9">
        <f t="shared" si="0"/>
        <v>16</v>
      </c>
    </row>
    <row r="10" spans="1:5">
      <c r="A10" t="s">
        <v>36</v>
      </c>
      <c r="B10">
        <f>AVERAGE(B4:B9)</f>
        <v>17.666666666666668</v>
      </c>
      <c r="C10">
        <f t="shared" ref="C10:D10" si="1">AVERAGE(C4:C9)</f>
        <v>22.333333333333332</v>
      </c>
      <c r="D10">
        <f t="shared" si="1"/>
        <v>18.666666666666668</v>
      </c>
      <c r="E10">
        <f>AVERAGE(B4:D9)</f>
        <v>19.555555555555557</v>
      </c>
    </row>
    <row r="12" spans="1:5">
      <c r="A12" t="s">
        <v>37</v>
      </c>
      <c r="B12">
        <v>3</v>
      </c>
    </row>
    <row r="13" spans="1:5">
      <c r="A13" t="s">
        <v>38</v>
      </c>
      <c r="B13">
        <v>6</v>
      </c>
    </row>
    <row r="15" spans="1:5">
      <c r="A15" t="s">
        <v>9</v>
      </c>
      <c r="B15">
        <f>$B$13*(B10-$E$10)^2</f>
        <v>21.407407407407419</v>
      </c>
      <c r="C15">
        <f t="shared" ref="C15:D15" si="2">$B$13*(C10-$E$10)^2</f>
        <v>46.296296296296205</v>
      </c>
      <c r="D15">
        <f t="shared" si="2"/>
        <v>4.7407407407407449</v>
      </c>
      <c r="E15">
        <f>SUM(B15:D15)</f>
        <v>72.444444444444372</v>
      </c>
    </row>
    <row r="17" spans="1:5">
      <c r="A17" t="s">
        <v>10</v>
      </c>
      <c r="B17">
        <f>(B4-$E$10)^2</f>
        <v>2.0864197530864153</v>
      </c>
      <c r="C17">
        <f t="shared" ref="C17:D17" si="3">(C4-$E$10)^2</f>
        <v>20.7530864197531</v>
      </c>
      <c r="D17">
        <f t="shared" si="3"/>
        <v>2.4197530864197581</v>
      </c>
    </row>
    <row r="18" spans="1:5">
      <c r="B18">
        <f t="shared" ref="B18:D18" si="4">(B5-$E$10)^2</f>
        <v>2.4197530864197581</v>
      </c>
      <c r="C18">
        <f t="shared" si="4"/>
        <v>55.419753086419732</v>
      </c>
      <c r="D18">
        <f t="shared" si="4"/>
        <v>11.864197530864187</v>
      </c>
    </row>
    <row r="19" spans="1:5">
      <c r="B19">
        <f t="shared" ref="B19:D19" si="5">(B6-$E$10)^2</f>
        <v>57.086419753086446</v>
      </c>
      <c r="C19">
        <f t="shared" si="5"/>
        <v>71.308641975308618</v>
      </c>
      <c r="D19">
        <f t="shared" si="5"/>
        <v>2.4197530864197581</v>
      </c>
    </row>
    <row r="20" spans="1:5">
      <c r="B20">
        <f t="shared" ref="B20:D20" si="6">(B7-$E$10)^2</f>
        <v>2.4197530864197581</v>
      </c>
      <c r="C20">
        <f t="shared" si="6"/>
        <v>0.19753086419752947</v>
      </c>
      <c r="D20">
        <f t="shared" si="6"/>
        <v>42.975308641975332</v>
      </c>
    </row>
    <row r="21" spans="1:5">
      <c r="B21">
        <f t="shared" ref="B21:D21" si="7">(B8-$E$10)^2</f>
        <v>19.753086419753071</v>
      </c>
      <c r="C21">
        <f t="shared" si="7"/>
        <v>89.197530864197503</v>
      </c>
      <c r="D21">
        <f t="shared" si="7"/>
        <v>0.19753086419752947</v>
      </c>
    </row>
    <row r="22" spans="1:5">
      <c r="B22">
        <f t="shared" ref="B22:D22" si="8">(B9-$E$10)^2</f>
        <v>42.975308641975332</v>
      </c>
      <c r="C22">
        <f t="shared" si="8"/>
        <v>20.7530864197531</v>
      </c>
      <c r="D22">
        <f t="shared" si="8"/>
        <v>0.19753086419752947</v>
      </c>
      <c r="E22">
        <f>SUM(B17:D22)</f>
        <v>444.44444444444446</v>
      </c>
    </row>
    <row r="24" spans="1:5">
      <c r="A24" t="s">
        <v>39</v>
      </c>
      <c r="B24">
        <f>$B$12*(E4-$E$10)^2</f>
        <v>7.2592592592592737</v>
      </c>
    </row>
    <row r="25" spans="1:5">
      <c r="B25">
        <f t="shared" ref="B25:B29" si="9">$B$12*(E5-$E$10)^2</f>
        <v>29.037037037037027</v>
      </c>
    </row>
    <row r="26" spans="1:5">
      <c r="B26">
        <f t="shared" si="9"/>
        <v>0.14814814814815183</v>
      </c>
    </row>
    <row r="27" spans="1:5">
      <c r="B27">
        <f t="shared" si="9"/>
        <v>19.592592592592617</v>
      </c>
    </row>
    <row r="28" spans="1:5">
      <c r="B28">
        <f t="shared" si="9"/>
        <v>68.481481481481396</v>
      </c>
    </row>
    <row r="29" spans="1:5">
      <c r="B29">
        <f t="shared" si="9"/>
        <v>37.925925925925959</v>
      </c>
      <c r="E29">
        <f>SUM(B24:B29)</f>
        <v>162.44444444444443</v>
      </c>
    </row>
    <row r="32" spans="1:5">
      <c r="A32" t="s">
        <v>11</v>
      </c>
    </row>
    <row r="33" spans="1:8">
      <c r="B33" t="s">
        <v>32</v>
      </c>
      <c r="C33" t="s">
        <v>33</v>
      </c>
    </row>
    <row r="34" spans="1:8">
      <c r="B34" t="s">
        <v>34</v>
      </c>
    </row>
    <row r="35" spans="1:8">
      <c r="B35" t="s">
        <v>35</v>
      </c>
    </row>
    <row r="38" spans="1:8">
      <c r="A38" t="s">
        <v>21</v>
      </c>
    </row>
    <row r="39" spans="1:8">
      <c r="B39" s="1" t="s">
        <v>42</v>
      </c>
      <c r="C39" s="1"/>
      <c r="D39" s="1"/>
      <c r="E39" s="1"/>
      <c r="F39" s="1"/>
      <c r="G39" s="1"/>
    </row>
    <row r="40" spans="1:8">
      <c r="B40" s="2"/>
      <c r="C40" s="3" t="s">
        <v>13</v>
      </c>
      <c r="D40" s="3" t="s">
        <v>14</v>
      </c>
      <c r="E40" s="3" t="s">
        <v>15</v>
      </c>
      <c r="F40" s="3" t="s">
        <v>16</v>
      </c>
      <c r="G40" s="4" t="s">
        <v>17</v>
      </c>
    </row>
    <row r="41" spans="1:8">
      <c r="B41" s="5" t="s">
        <v>41</v>
      </c>
      <c r="C41" s="6">
        <f>B12-1</f>
        <v>2</v>
      </c>
      <c r="D41" s="6">
        <f>E15</f>
        <v>72.444444444444372</v>
      </c>
      <c r="E41" s="6">
        <f>D41/C41</f>
        <v>36.222222222222186</v>
      </c>
      <c r="F41" s="6">
        <f>E41/E43</f>
        <v>0.81499999999999917</v>
      </c>
      <c r="G41" s="6">
        <f>_xlfn.F.DIST.RT(F41, C41,C43)</f>
        <v>0.47000386181570197</v>
      </c>
      <c r="H41" t="s">
        <v>92</v>
      </c>
    </row>
    <row r="42" spans="1:8">
      <c r="B42" s="5" t="s">
        <v>40</v>
      </c>
      <c r="C42" s="6">
        <f>B13-1</f>
        <v>5</v>
      </c>
      <c r="D42" s="6">
        <f>E29</f>
        <v>162.44444444444443</v>
      </c>
      <c r="E42" s="6">
        <f>D42/C42</f>
        <v>32.488888888888887</v>
      </c>
      <c r="F42" s="6">
        <f>E42/E43</f>
        <v>0.73099999999999998</v>
      </c>
      <c r="G42" s="6">
        <f>_xlfn.F.DIST.RT(F42,C42,C43)</f>
        <v>0.61635240470998642</v>
      </c>
      <c r="H42" t="s">
        <v>43</v>
      </c>
    </row>
    <row r="43" spans="1:8">
      <c r="B43" s="5" t="s">
        <v>19</v>
      </c>
      <c r="C43" s="6">
        <f>C41*C42</f>
        <v>10</v>
      </c>
      <c r="D43" s="6">
        <f>E22</f>
        <v>444.44444444444446</v>
      </c>
      <c r="E43" s="6">
        <f>D43/C43</f>
        <v>44.444444444444443</v>
      </c>
      <c r="F43" s="1"/>
      <c r="G43" s="1"/>
    </row>
    <row r="44" spans="1:8">
      <c r="B44" s="7" t="s">
        <v>20</v>
      </c>
      <c r="C44" s="6">
        <f>C41+C42+C43</f>
        <v>17</v>
      </c>
      <c r="D44" s="6">
        <f>SUM(D41:D43)</f>
        <v>679.33333333333326</v>
      </c>
      <c r="E44" s="1"/>
      <c r="F44" s="1"/>
      <c r="G44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E4 E5:E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4FD4-91C8-4DAB-96DC-9E19D5AE59BC}">
  <dimension ref="A1:M56"/>
  <sheetViews>
    <sheetView topLeftCell="A13" zoomScale="85" zoomScaleNormal="85" workbookViewId="0">
      <selection activeCell="E56" sqref="E56"/>
    </sheetView>
  </sheetViews>
  <sheetFormatPr baseColWidth="10" defaultColWidth="8.83203125" defaultRowHeight="17"/>
  <cols>
    <col min="12" max="12" width="15.5" customWidth="1"/>
    <col min="13" max="13" width="14.1640625" customWidth="1"/>
    <col min="15" max="15" width="19.1640625" customWidth="1"/>
    <col min="16" max="16" width="12.33203125" customWidth="1"/>
    <col min="17" max="17" width="12.1640625" customWidth="1"/>
  </cols>
  <sheetData>
    <row r="1" spans="1:13">
      <c r="A1" t="s">
        <v>45</v>
      </c>
    </row>
    <row r="3" spans="1:13">
      <c r="A3" t="s">
        <v>11</v>
      </c>
    </row>
    <row r="4" spans="1:13">
      <c r="B4" t="s">
        <v>48</v>
      </c>
    </row>
    <row r="5" spans="1:13">
      <c r="B5" t="s">
        <v>46</v>
      </c>
      <c r="C5" t="s">
        <v>47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K5" t="s">
        <v>60</v>
      </c>
      <c r="L5" t="s">
        <v>61</v>
      </c>
      <c r="M5" t="s">
        <v>62</v>
      </c>
    </row>
    <row r="6" spans="1:13">
      <c r="B6">
        <v>165</v>
      </c>
      <c r="C6">
        <v>96</v>
      </c>
      <c r="E6">
        <f>B6</f>
        <v>165</v>
      </c>
      <c r="F6">
        <f>C6</f>
        <v>96</v>
      </c>
      <c r="G6">
        <f>E6^2</f>
        <v>27225</v>
      </c>
      <c r="H6">
        <f>F6^2</f>
        <v>9216</v>
      </c>
      <c r="I6">
        <f>E6*F6</f>
        <v>15840</v>
      </c>
      <c r="K6">
        <f>$C$22+$C$21*E6</f>
        <v>81.749815607021688</v>
      </c>
      <c r="L6">
        <f>(K6-$F$19)^2</f>
        <v>0.18662622463080478</v>
      </c>
      <c r="M6">
        <f>(F6-K6)^2</f>
        <v>203.06775523388268</v>
      </c>
    </row>
    <row r="7" spans="1:13">
      <c r="B7">
        <v>172</v>
      </c>
      <c r="C7">
        <v>92</v>
      </c>
      <c r="E7">
        <f t="shared" ref="E7:E16" si="0">B7</f>
        <v>172</v>
      </c>
      <c r="F7">
        <f t="shared" ref="F7:F16" si="1">C7</f>
        <v>92</v>
      </c>
      <c r="G7">
        <f t="shared" ref="G7:G16" si="2">E7^2</f>
        <v>29584</v>
      </c>
      <c r="H7">
        <f t="shared" ref="H7:H16" si="3">F7^2</f>
        <v>8464</v>
      </c>
      <c r="I7">
        <f t="shared" ref="I7:I16" si="4">E7*F7</f>
        <v>15824</v>
      </c>
      <c r="K7">
        <f t="shared" ref="K7:K16" si="5">$C$22+$C$21*E7</f>
        <v>82.313615577518817</v>
      </c>
      <c r="L7">
        <f t="shared" ref="L7:L16" si="6">(K7-$F$19)^2</f>
        <v>1.7370553513468497E-2</v>
      </c>
      <c r="M7">
        <f t="shared" ref="M7:M16" si="7">(F7-K7)^2</f>
        <v>93.826043180086117</v>
      </c>
    </row>
    <row r="8" spans="1:13">
      <c r="B8">
        <v>160</v>
      </c>
      <c r="C8">
        <v>88</v>
      </c>
      <c r="E8">
        <f t="shared" si="0"/>
        <v>160</v>
      </c>
      <c r="F8">
        <f t="shared" si="1"/>
        <v>88</v>
      </c>
      <c r="G8">
        <f t="shared" si="2"/>
        <v>25600</v>
      </c>
      <c r="H8">
        <f t="shared" si="3"/>
        <v>7744</v>
      </c>
      <c r="I8">
        <f t="shared" si="4"/>
        <v>14080</v>
      </c>
      <c r="K8">
        <f t="shared" si="5"/>
        <v>81.347101342380896</v>
      </c>
      <c r="L8">
        <f t="shared" si="6"/>
        <v>0.69675220204018107</v>
      </c>
      <c r="M8">
        <f t="shared" si="7"/>
        <v>44.261060548550084</v>
      </c>
    </row>
    <row r="9" spans="1:13">
      <c r="B9">
        <v>186</v>
      </c>
      <c r="C9">
        <v>74</v>
      </c>
      <c r="E9">
        <f t="shared" si="0"/>
        <v>186</v>
      </c>
      <c r="F9">
        <f t="shared" si="1"/>
        <v>74</v>
      </c>
      <c r="G9">
        <f t="shared" si="2"/>
        <v>34596</v>
      </c>
      <c r="H9">
        <f t="shared" si="3"/>
        <v>5476</v>
      </c>
      <c r="I9">
        <f t="shared" si="4"/>
        <v>13764</v>
      </c>
      <c r="K9">
        <f t="shared" si="5"/>
        <v>83.441215518513062</v>
      </c>
      <c r="L9">
        <f t="shared" si="6"/>
        <v>1.5860816516741432</v>
      </c>
      <c r="M9">
        <f t="shared" si="7"/>
        <v>89.136550467011858</v>
      </c>
    </row>
    <row r="10" spans="1:13">
      <c r="B10">
        <v>185</v>
      </c>
      <c r="C10">
        <v>90</v>
      </c>
      <c r="E10">
        <f t="shared" si="0"/>
        <v>185</v>
      </c>
      <c r="F10">
        <f t="shared" si="1"/>
        <v>90</v>
      </c>
      <c r="G10">
        <f t="shared" si="2"/>
        <v>34225</v>
      </c>
      <c r="H10">
        <f t="shared" si="3"/>
        <v>8100</v>
      </c>
      <c r="I10">
        <f t="shared" si="4"/>
        <v>16650</v>
      </c>
      <c r="K10">
        <f t="shared" si="5"/>
        <v>83.3606726655849</v>
      </c>
      <c r="L10">
        <f t="shared" si="6"/>
        <v>1.3896978938968838</v>
      </c>
      <c r="M10">
        <f t="shared" si="7"/>
        <v>44.080667453511516</v>
      </c>
    </row>
    <row r="11" spans="1:13">
      <c r="B11">
        <v>157</v>
      </c>
      <c r="C11">
        <v>65</v>
      </c>
      <c r="E11">
        <f t="shared" si="0"/>
        <v>157</v>
      </c>
      <c r="F11">
        <f t="shared" si="1"/>
        <v>65</v>
      </c>
      <c r="G11">
        <f t="shared" si="2"/>
        <v>24649</v>
      </c>
      <c r="H11">
        <f t="shared" si="3"/>
        <v>4225</v>
      </c>
      <c r="I11">
        <f t="shared" si="4"/>
        <v>10205</v>
      </c>
      <c r="K11">
        <f t="shared" si="5"/>
        <v>81.105472783596412</v>
      </c>
      <c r="L11">
        <f t="shared" si="6"/>
        <v>1.1585194162731924</v>
      </c>
      <c r="M11">
        <f t="shared" si="7"/>
        <v>259.38625358316477</v>
      </c>
    </row>
    <row r="12" spans="1:13">
      <c r="B12">
        <v>155</v>
      </c>
      <c r="C12">
        <v>78</v>
      </c>
      <c r="E12">
        <f t="shared" si="0"/>
        <v>155</v>
      </c>
      <c r="F12">
        <f t="shared" si="1"/>
        <v>78</v>
      </c>
      <c r="G12">
        <f t="shared" si="2"/>
        <v>24025</v>
      </c>
      <c r="H12">
        <f t="shared" si="3"/>
        <v>6084</v>
      </c>
      <c r="I12">
        <f t="shared" si="4"/>
        <v>12090</v>
      </c>
      <c r="K12">
        <f t="shared" si="5"/>
        <v>80.944387077740089</v>
      </c>
      <c r="L12">
        <f t="shared" si="6"/>
        <v>1.5312357373399408</v>
      </c>
      <c r="M12">
        <f t="shared" si="7"/>
        <v>8.6694152635628203</v>
      </c>
    </row>
    <row r="13" spans="1:13">
      <c r="B13">
        <v>177</v>
      </c>
      <c r="C13">
        <v>85</v>
      </c>
      <c r="E13">
        <f t="shared" si="0"/>
        <v>177</v>
      </c>
      <c r="F13">
        <f t="shared" si="1"/>
        <v>85</v>
      </c>
      <c r="G13">
        <f t="shared" si="2"/>
        <v>31329</v>
      </c>
      <c r="H13">
        <f t="shared" si="3"/>
        <v>7225</v>
      </c>
      <c r="I13">
        <f t="shared" si="4"/>
        <v>15045</v>
      </c>
      <c r="K13">
        <f t="shared" si="5"/>
        <v>82.716329842159624</v>
      </c>
      <c r="L13">
        <f t="shared" si="6"/>
        <v>0.28570271504095951</v>
      </c>
      <c r="M13">
        <f t="shared" si="7"/>
        <v>5.2151493898106889</v>
      </c>
    </row>
    <row r="14" spans="1:13">
      <c r="B14">
        <v>171</v>
      </c>
      <c r="C14">
        <v>82</v>
      </c>
      <c r="E14">
        <f t="shared" si="0"/>
        <v>171</v>
      </c>
      <c r="F14">
        <f t="shared" si="1"/>
        <v>82</v>
      </c>
      <c r="G14">
        <f t="shared" si="2"/>
        <v>29241</v>
      </c>
      <c r="H14">
        <f t="shared" si="3"/>
        <v>6724</v>
      </c>
      <c r="I14">
        <f t="shared" si="4"/>
        <v>14022</v>
      </c>
      <c r="K14">
        <f t="shared" si="5"/>
        <v>82.233072724590656</v>
      </c>
      <c r="L14">
        <f t="shared" si="6"/>
        <v>2.6270281548148419E-3</v>
      </c>
      <c r="M14">
        <f t="shared" si="7"/>
        <v>5.4322894948111718E-2</v>
      </c>
    </row>
    <row r="15" spans="1:13">
      <c r="B15">
        <v>164</v>
      </c>
      <c r="C15">
        <v>80</v>
      </c>
      <c r="E15">
        <f t="shared" si="0"/>
        <v>164</v>
      </c>
      <c r="F15">
        <f t="shared" si="1"/>
        <v>80</v>
      </c>
      <c r="G15">
        <f t="shared" si="2"/>
        <v>26896</v>
      </c>
      <c r="H15">
        <f t="shared" si="3"/>
        <v>6400</v>
      </c>
      <c r="I15">
        <f t="shared" si="4"/>
        <v>13120</v>
      </c>
      <c r="K15">
        <f t="shared" si="5"/>
        <v>81.669272754093527</v>
      </c>
      <c r="L15">
        <f t="shared" si="6"/>
        <v>0.26270281548145508</v>
      </c>
      <c r="M15">
        <f t="shared" si="7"/>
        <v>2.7864715275589873</v>
      </c>
    </row>
    <row r="16" spans="1:13">
      <c r="B16">
        <v>182</v>
      </c>
      <c r="C16">
        <v>74</v>
      </c>
      <c r="E16">
        <f t="shared" si="0"/>
        <v>182</v>
      </c>
      <c r="F16">
        <f t="shared" si="1"/>
        <v>74</v>
      </c>
      <c r="G16">
        <f t="shared" si="2"/>
        <v>33124</v>
      </c>
      <c r="H16">
        <f t="shared" si="3"/>
        <v>5476</v>
      </c>
      <c r="I16">
        <f t="shared" si="4"/>
        <v>13468</v>
      </c>
      <c r="K16">
        <f t="shared" si="5"/>
        <v>83.119044106800416</v>
      </c>
      <c r="L16">
        <f t="shared" si="6"/>
        <v>0.87839243445879522</v>
      </c>
      <c r="M16">
        <f t="shared" si="7"/>
        <v>83.156965421771403</v>
      </c>
    </row>
    <row r="18" spans="1:13">
      <c r="B18" t="s">
        <v>54</v>
      </c>
      <c r="C18">
        <f>COUNT(B6:B16)</f>
        <v>11</v>
      </c>
      <c r="D18" t="s">
        <v>55</v>
      </c>
      <c r="E18">
        <f>SUM(E6:E16)</f>
        <v>1874</v>
      </c>
      <c r="F18">
        <f>SUM(F6:F16)</f>
        <v>904</v>
      </c>
      <c r="G18">
        <f>SUM(G6:G16)</f>
        <v>320494</v>
      </c>
      <c r="H18">
        <f t="shared" ref="H18:I18" si="8">SUM(H6:H16)</f>
        <v>75134</v>
      </c>
      <c r="I18">
        <f t="shared" si="8"/>
        <v>154108</v>
      </c>
      <c r="L18">
        <f>SUM(L6:L16)</f>
        <v>7.9957086725046391</v>
      </c>
      <c r="M18">
        <f>SUM(M6:M16)</f>
        <v>833.64065496385899</v>
      </c>
    </row>
    <row r="19" spans="1:13">
      <c r="D19" t="s">
        <v>7</v>
      </c>
      <c r="E19">
        <f>E18/C18</f>
        <v>170.36363636363637</v>
      </c>
      <c r="F19">
        <f>F18/C18</f>
        <v>82.181818181818187</v>
      </c>
    </row>
    <row r="20" spans="1:13">
      <c r="L20" t="s">
        <v>63</v>
      </c>
      <c r="M20">
        <f>L18/(L18+M18)</f>
        <v>9.5001939293098969E-3</v>
      </c>
    </row>
    <row r="21" spans="1:13">
      <c r="B21" t="s">
        <v>56</v>
      </c>
      <c r="C21">
        <f>(C18*I18-E18*F18)/(C18*G18-E18^2)</f>
        <v>8.0542852928160491E-2</v>
      </c>
    </row>
    <row r="22" spans="1:13">
      <c r="B22" t="s">
        <v>57</v>
      </c>
      <c r="C22">
        <f>F19-C21*E19</f>
        <v>68.460244873875212</v>
      </c>
    </row>
    <row r="24" spans="1:13">
      <c r="B24" t="s">
        <v>58</v>
      </c>
      <c r="C24">
        <f>(H18-C22*F18-C21*I18)/(C18-2)</f>
        <v>92.626739440427627</v>
      </c>
    </row>
    <row r="25" spans="1:13">
      <c r="B25" t="s">
        <v>59</v>
      </c>
      <c r="C25">
        <f>SQRT(C24)</f>
        <v>9.6242786451986948</v>
      </c>
    </row>
    <row r="27" spans="1:13">
      <c r="B27" t="s">
        <v>90</v>
      </c>
    </row>
    <row r="32" spans="1:13">
      <c r="A32" t="s">
        <v>21</v>
      </c>
    </row>
    <row r="33" spans="2:13">
      <c r="B33" t="s">
        <v>48</v>
      </c>
    </row>
    <row r="34" spans="2:13">
      <c r="B34" t="s">
        <v>46</v>
      </c>
      <c r="C34" t="s">
        <v>47</v>
      </c>
      <c r="E34" t="s">
        <v>49</v>
      </c>
      <c r="F34" t="s">
        <v>50</v>
      </c>
      <c r="G34" t="s">
        <v>51</v>
      </c>
      <c r="H34" t="s">
        <v>52</v>
      </c>
      <c r="I34" t="s">
        <v>53</v>
      </c>
      <c r="K34" t="s">
        <v>60</v>
      </c>
      <c r="L34" t="s">
        <v>61</v>
      </c>
      <c r="M34" t="s">
        <v>62</v>
      </c>
    </row>
    <row r="35" spans="2:13">
      <c r="B35">
        <v>165</v>
      </c>
      <c r="C35">
        <v>96</v>
      </c>
      <c r="E35">
        <v>96</v>
      </c>
      <c r="F35">
        <v>165</v>
      </c>
      <c r="G35">
        <f>E35^2</f>
        <v>9216</v>
      </c>
      <c r="H35">
        <f>F35^2</f>
        <v>27225</v>
      </c>
      <c r="I35">
        <f>E35*F35</f>
        <v>15840</v>
      </c>
      <c r="K35">
        <f>$C$51+$C$50*E35</f>
        <v>171.99351911860015</v>
      </c>
      <c r="L35">
        <f>(K35-$F$48)^2</f>
        <v>2.6565177949283001</v>
      </c>
      <c r="M35">
        <f>(F35-K35)^2</f>
        <v>48.909309662225787</v>
      </c>
    </row>
    <row r="36" spans="2:13">
      <c r="B36">
        <v>172</v>
      </c>
      <c r="C36">
        <v>92</v>
      </c>
      <c r="E36">
        <v>92</v>
      </c>
      <c r="F36">
        <v>172</v>
      </c>
      <c r="G36">
        <f t="shared" ref="G36:G45" si="9">E36^2</f>
        <v>8464</v>
      </c>
      <c r="H36">
        <f t="shared" ref="H36:H45" si="10">F36^2</f>
        <v>29584</v>
      </c>
      <c r="I36">
        <f t="shared" ref="I36:I45" si="11">E36*F36</f>
        <v>15824</v>
      </c>
      <c r="K36">
        <f t="shared" ref="K36:K45" si="12">$C$51+$C$50*E36</f>
        <v>171.52171095268957</v>
      </c>
      <c r="L36">
        <f t="shared" ref="L36:L45" si="13">(K36-$F$48)^2</f>
        <v>1.3411367538107382</v>
      </c>
      <c r="M36">
        <f t="shared" ref="M36:M45" si="14">(F36-K36)^2</f>
        <v>0.2287604127771149</v>
      </c>
    </row>
    <row r="37" spans="2:13">
      <c r="B37">
        <v>160</v>
      </c>
      <c r="C37">
        <v>88</v>
      </c>
      <c r="E37">
        <v>88</v>
      </c>
      <c r="F37">
        <v>160</v>
      </c>
      <c r="G37">
        <f t="shared" si="9"/>
        <v>7744</v>
      </c>
      <c r="H37">
        <f t="shared" si="10"/>
        <v>25600</v>
      </c>
      <c r="I37">
        <f t="shared" si="11"/>
        <v>14080</v>
      </c>
      <c r="K37">
        <f t="shared" si="12"/>
        <v>171.049902786779</v>
      </c>
      <c r="L37">
        <f t="shared" si="13"/>
        <v>0.47096160353297456</v>
      </c>
      <c r="M37">
        <f t="shared" si="14"/>
        <v>122.10035159726633</v>
      </c>
    </row>
    <row r="38" spans="2:13">
      <c r="B38">
        <v>186</v>
      </c>
      <c r="C38">
        <v>74</v>
      </c>
      <c r="E38">
        <v>74</v>
      </c>
      <c r="F38">
        <v>186</v>
      </c>
      <c r="G38">
        <f t="shared" si="9"/>
        <v>5476</v>
      </c>
      <c r="H38">
        <f t="shared" si="10"/>
        <v>34596</v>
      </c>
      <c r="I38">
        <f t="shared" si="11"/>
        <v>13764</v>
      </c>
      <c r="K38">
        <f t="shared" si="12"/>
        <v>169.39857420609204</v>
      </c>
      <c r="L38">
        <f t="shared" si="13"/>
        <v>0.9313449679241329</v>
      </c>
      <c r="M38">
        <f t="shared" si="14"/>
        <v>275.60733839063266</v>
      </c>
    </row>
    <row r="39" spans="2:13">
      <c r="B39">
        <v>185</v>
      </c>
      <c r="C39">
        <v>90</v>
      </c>
      <c r="E39">
        <v>90</v>
      </c>
      <c r="F39">
        <v>185</v>
      </c>
      <c r="G39">
        <f t="shared" si="9"/>
        <v>8100</v>
      </c>
      <c r="H39">
        <f t="shared" si="10"/>
        <v>34225</v>
      </c>
      <c r="I39">
        <f t="shared" si="11"/>
        <v>16650</v>
      </c>
      <c r="K39">
        <f t="shared" si="12"/>
        <v>171.2858068697343</v>
      </c>
      <c r="L39">
        <f t="shared" si="13"/>
        <v>0.85039844231690775</v>
      </c>
      <c r="M39">
        <f t="shared" si="14"/>
        <v>188.07909321422687</v>
      </c>
    </row>
    <row r="40" spans="2:13">
      <c r="B40">
        <v>157</v>
      </c>
      <c r="C40">
        <v>65</v>
      </c>
      <c r="E40">
        <v>65</v>
      </c>
      <c r="F40">
        <v>157</v>
      </c>
      <c r="G40">
        <f t="shared" si="9"/>
        <v>4225</v>
      </c>
      <c r="H40">
        <f t="shared" si="10"/>
        <v>24649</v>
      </c>
      <c r="I40">
        <f t="shared" si="11"/>
        <v>10205</v>
      </c>
      <c r="K40">
        <f t="shared" si="12"/>
        <v>168.33700583279327</v>
      </c>
      <c r="L40">
        <f t="shared" si="13"/>
        <v>4.1072313085454146</v>
      </c>
      <c r="M40">
        <f t="shared" si="14"/>
        <v>128.52770125278855</v>
      </c>
    </row>
    <row r="41" spans="2:13">
      <c r="B41">
        <v>155</v>
      </c>
      <c r="C41">
        <v>78</v>
      </c>
      <c r="E41">
        <v>78</v>
      </c>
      <c r="F41">
        <v>155</v>
      </c>
      <c r="G41">
        <f t="shared" si="9"/>
        <v>6084</v>
      </c>
      <c r="H41">
        <f t="shared" si="10"/>
        <v>24025</v>
      </c>
      <c r="I41">
        <f t="shared" si="11"/>
        <v>12090</v>
      </c>
      <c r="K41">
        <f t="shared" si="12"/>
        <v>169.87038237200261</v>
      </c>
      <c r="L41">
        <f t="shared" si="13"/>
        <v>0.24329950026264191</v>
      </c>
      <c r="M41">
        <f t="shared" si="14"/>
        <v>221.12827188956595</v>
      </c>
    </row>
    <row r="42" spans="2:13">
      <c r="B42">
        <v>177</v>
      </c>
      <c r="C42">
        <v>85</v>
      </c>
      <c r="E42">
        <v>85</v>
      </c>
      <c r="F42">
        <v>177</v>
      </c>
      <c r="G42">
        <f t="shared" si="9"/>
        <v>7225</v>
      </c>
      <c r="H42">
        <f t="shared" si="10"/>
        <v>31329</v>
      </c>
      <c r="I42">
        <f t="shared" si="11"/>
        <v>15045</v>
      </c>
      <c r="K42">
        <f t="shared" si="12"/>
        <v>170.69604666234608</v>
      </c>
      <c r="L42">
        <f t="shared" si="13"/>
        <v>0.11049660668827431</v>
      </c>
      <c r="M42">
        <f t="shared" si="14"/>
        <v>39.739827683318026</v>
      </c>
    </row>
    <row r="43" spans="2:13">
      <c r="B43">
        <v>171</v>
      </c>
      <c r="C43">
        <v>82</v>
      </c>
      <c r="E43">
        <v>82</v>
      </c>
      <c r="F43">
        <v>171</v>
      </c>
      <c r="G43">
        <f t="shared" si="9"/>
        <v>6724</v>
      </c>
      <c r="H43">
        <f t="shared" si="10"/>
        <v>29241</v>
      </c>
      <c r="I43">
        <f t="shared" si="11"/>
        <v>14022</v>
      </c>
      <c r="K43">
        <f t="shared" si="12"/>
        <v>170.34219053791318</v>
      </c>
      <c r="L43">
        <f t="shared" si="13"/>
        <v>4.5992344094948471E-4</v>
      </c>
      <c r="M43">
        <f t="shared" si="14"/>
        <v>0.43271328841094769</v>
      </c>
    </row>
    <row r="44" spans="2:13">
      <c r="B44">
        <v>164</v>
      </c>
      <c r="C44">
        <v>80</v>
      </c>
      <c r="E44">
        <v>80</v>
      </c>
      <c r="F44">
        <v>164</v>
      </c>
      <c r="G44">
        <f t="shared" si="9"/>
        <v>6400</v>
      </c>
      <c r="H44">
        <f t="shared" si="10"/>
        <v>26896</v>
      </c>
      <c r="I44">
        <f t="shared" si="11"/>
        <v>13120</v>
      </c>
      <c r="K44">
        <f t="shared" si="12"/>
        <v>170.10628645495788</v>
      </c>
      <c r="L44">
        <f t="shared" si="13"/>
        <v>6.6228975496828199E-2</v>
      </c>
      <c r="M44">
        <f t="shared" si="14"/>
        <v>37.2867342700021</v>
      </c>
    </row>
    <row r="45" spans="2:13">
      <c r="B45">
        <v>182</v>
      </c>
      <c r="C45">
        <v>74</v>
      </c>
      <c r="E45">
        <v>74</v>
      </c>
      <c r="F45">
        <v>182</v>
      </c>
      <c r="G45">
        <f t="shared" si="9"/>
        <v>5476</v>
      </c>
      <c r="H45">
        <f t="shared" si="10"/>
        <v>33124</v>
      </c>
      <c r="I45">
        <f t="shared" si="11"/>
        <v>13468</v>
      </c>
      <c r="K45">
        <f t="shared" si="12"/>
        <v>169.39857420609204</v>
      </c>
      <c r="L45">
        <f t="shared" si="13"/>
        <v>0.9313449679241329</v>
      </c>
      <c r="M45">
        <f t="shared" si="14"/>
        <v>158.79593203936898</v>
      </c>
    </row>
    <row r="47" spans="2:13">
      <c r="B47" t="s">
        <v>54</v>
      </c>
      <c r="C47">
        <f>COUNT(B35:B45)</f>
        <v>11</v>
      </c>
      <c r="D47" t="s">
        <v>55</v>
      </c>
      <c r="E47">
        <f>SUM(E35:E45)</f>
        <v>904</v>
      </c>
      <c r="F47">
        <f>SUM(F35:F45)</f>
        <v>1874</v>
      </c>
      <c r="G47">
        <f>SUM(G35:G45)</f>
        <v>75134</v>
      </c>
      <c r="H47">
        <f t="shared" ref="H47:I47" si="15">SUM(H35:H45)</f>
        <v>320494</v>
      </c>
      <c r="I47">
        <f t="shared" si="15"/>
        <v>154108</v>
      </c>
      <c r="L47">
        <f>SUM(L35:L45)</f>
        <v>11.709420844871296</v>
      </c>
      <c r="M47">
        <f>SUM(M35:M45)</f>
        <v>1220.8360337005834</v>
      </c>
    </row>
    <row r="48" spans="2:13">
      <c r="D48" t="s">
        <v>7</v>
      </c>
      <c r="E48">
        <f>E47/C47</f>
        <v>82.181818181818187</v>
      </c>
      <c r="F48">
        <f>F47/C47</f>
        <v>170.36363636363637</v>
      </c>
    </row>
    <row r="49" spans="2:13">
      <c r="L49" t="s">
        <v>63</v>
      </c>
      <c r="M49">
        <f>L47/(L47+M47)</f>
        <v>9.5001939293099455E-3</v>
      </c>
    </row>
    <row r="50" spans="2:13">
      <c r="B50" t="s">
        <v>56</v>
      </c>
      <c r="C50">
        <f>(C47*I47-E47*F47)/(C47*G47-E47^2)</f>
        <v>0.11795204147764096</v>
      </c>
    </row>
    <row r="51" spans="2:13">
      <c r="B51" t="s">
        <v>57</v>
      </c>
      <c r="C51">
        <f>F48-C50*E48</f>
        <v>160.67012313674661</v>
      </c>
    </row>
    <row r="53" spans="2:13">
      <c r="B53" t="s">
        <v>58</v>
      </c>
      <c r="C53">
        <f>(H47-C51*F47-C50*I47)/(C47-2)</f>
        <v>135.64844818894926</v>
      </c>
    </row>
    <row r="54" spans="2:13">
      <c r="B54" t="s">
        <v>59</v>
      </c>
      <c r="C54">
        <f>SQRT(C53)</f>
        <v>11.646821377051735</v>
      </c>
    </row>
    <row r="56" spans="2:13">
      <c r="B56" t="s">
        <v>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9289-808C-413C-82AF-0F5750826AEA}">
  <dimension ref="A1:L67"/>
  <sheetViews>
    <sheetView workbookViewId="0">
      <selection activeCell="D6" sqref="D6"/>
    </sheetView>
  </sheetViews>
  <sheetFormatPr baseColWidth="10" defaultColWidth="8.83203125" defaultRowHeight="17"/>
  <cols>
    <col min="2" max="2" width="10.6640625" customWidth="1"/>
    <col min="3" max="3" width="14.1640625" customWidth="1"/>
    <col min="4" max="4" width="12.83203125" customWidth="1"/>
    <col min="5" max="5" width="12" customWidth="1"/>
    <col min="6" max="6" width="11.1640625" customWidth="1"/>
    <col min="7" max="7" width="9.6640625" bestFit="1" customWidth="1"/>
    <col min="11" max="12" width="9.6640625" customWidth="1"/>
    <col min="14" max="14" width="6.6640625" customWidth="1"/>
    <col min="15" max="15" width="14.83203125" customWidth="1"/>
    <col min="16" max="16" width="14" customWidth="1"/>
  </cols>
  <sheetData>
    <row r="1" spans="1:12">
      <c r="A1" t="s">
        <v>64</v>
      </c>
    </row>
    <row r="2" spans="1:12">
      <c r="B2" t="s">
        <v>48</v>
      </c>
    </row>
    <row r="3" spans="1:12">
      <c r="C3" t="s">
        <v>66</v>
      </c>
      <c r="D3" t="s">
        <v>65</v>
      </c>
      <c r="E3" t="s">
        <v>67</v>
      </c>
      <c r="G3" t="s">
        <v>51</v>
      </c>
      <c r="H3" t="s">
        <v>52</v>
      </c>
      <c r="I3" t="s">
        <v>69</v>
      </c>
      <c r="K3" t="s">
        <v>70</v>
      </c>
      <c r="L3" t="s">
        <v>71</v>
      </c>
    </row>
    <row r="4" spans="1:12">
      <c r="B4">
        <v>1</v>
      </c>
      <c r="C4">
        <v>570</v>
      </c>
      <c r="D4">
        <v>22</v>
      </c>
      <c r="E4">
        <f>D4^2</f>
        <v>484</v>
      </c>
      <c r="G4">
        <f>D4^2</f>
        <v>484</v>
      </c>
      <c r="H4">
        <f>C4^2</f>
        <v>324900</v>
      </c>
      <c r="I4">
        <f>C4*D4</f>
        <v>12540</v>
      </c>
      <c r="K4">
        <f>E4^2</f>
        <v>234256</v>
      </c>
      <c r="L4">
        <f>E4*C4</f>
        <v>275880</v>
      </c>
    </row>
    <row r="5" spans="1:12">
      <c r="B5">
        <v>2</v>
      </c>
      <c r="C5">
        <v>355</v>
      </c>
      <c r="D5">
        <v>20</v>
      </c>
      <c r="E5">
        <f t="shared" ref="E5:E13" si="0">D5^2</f>
        <v>400</v>
      </c>
      <c r="G5">
        <f t="shared" ref="G5:G13" si="1">D5^2</f>
        <v>400</v>
      </c>
      <c r="H5">
        <f t="shared" ref="H5:H13" si="2">C5^2</f>
        <v>126025</v>
      </c>
      <c r="I5">
        <f t="shared" ref="I5:I13" si="3">C5*D5</f>
        <v>7100</v>
      </c>
      <c r="K5">
        <f t="shared" ref="K5:K13" si="4">E5^2</f>
        <v>160000</v>
      </c>
      <c r="L5">
        <f t="shared" ref="L5:L13" si="5">E5*C5</f>
        <v>142000</v>
      </c>
    </row>
    <row r="6" spans="1:12">
      <c r="B6">
        <v>3</v>
      </c>
      <c r="C6">
        <v>235</v>
      </c>
      <c r="D6">
        <v>15</v>
      </c>
      <c r="E6">
        <f t="shared" si="0"/>
        <v>225</v>
      </c>
      <c r="G6">
        <f t="shared" si="1"/>
        <v>225</v>
      </c>
      <c r="H6">
        <f t="shared" si="2"/>
        <v>55225</v>
      </c>
      <c r="I6">
        <f t="shared" si="3"/>
        <v>3525</v>
      </c>
      <c r="K6">
        <f t="shared" si="4"/>
        <v>50625</v>
      </c>
      <c r="L6">
        <f t="shared" si="5"/>
        <v>52875</v>
      </c>
    </row>
    <row r="7" spans="1:12">
      <c r="B7">
        <v>4</v>
      </c>
      <c r="C7">
        <v>160</v>
      </c>
      <c r="D7">
        <v>14</v>
      </c>
      <c r="E7">
        <f t="shared" si="0"/>
        <v>196</v>
      </c>
      <c r="G7">
        <f t="shared" si="1"/>
        <v>196</v>
      </c>
      <c r="H7">
        <f t="shared" si="2"/>
        <v>25600</v>
      </c>
      <c r="I7">
        <f t="shared" si="3"/>
        <v>2240</v>
      </c>
      <c r="K7">
        <f t="shared" si="4"/>
        <v>38416</v>
      </c>
      <c r="L7">
        <f t="shared" si="5"/>
        <v>31360</v>
      </c>
    </row>
    <row r="8" spans="1:12">
      <c r="B8">
        <v>5</v>
      </c>
      <c r="C8">
        <v>140</v>
      </c>
      <c r="D8">
        <v>10</v>
      </c>
      <c r="E8">
        <f t="shared" si="0"/>
        <v>100</v>
      </c>
      <c r="G8">
        <f t="shared" si="1"/>
        <v>100</v>
      </c>
      <c r="H8">
        <f t="shared" si="2"/>
        <v>19600</v>
      </c>
      <c r="I8">
        <f t="shared" si="3"/>
        <v>1400</v>
      </c>
      <c r="K8">
        <f t="shared" si="4"/>
        <v>10000</v>
      </c>
      <c r="L8">
        <f t="shared" si="5"/>
        <v>14000</v>
      </c>
    </row>
    <row r="9" spans="1:12">
      <c r="B9">
        <v>6</v>
      </c>
      <c r="C9">
        <v>130</v>
      </c>
      <c r="D9">
        <v>12</v>
      </c>
      <c r="E9">
        <f t="shared" si="0"/>
        <v>144</v>
      </c>
      <c r="G9">
        <f t="shared" si="1"/>
        <v>144</v>
      </c>
      <c r="H9">
        <f t="shared" si="2"/>
        <v>16900</v>
      </c>
      <c r="I9">
        <f t="shared" si="3"/>
        <v>1560</v>
      </c>
      <c r="K9">
        <f t="shared" si="4"/>
        <v>20736</v>
      </c>
      <c r="L9">
        <f t="shared" si="5"/>
        <v>18720</v>
      </c>
    </row>
    <row r="10" spans="1:12">
      <c r="B10">
        <v>7</v>
      </c>
      <c r="C10">
        <v>311</v>
      </c>
      <c r="D10">
        <v>18</v>
      </c>
      <c r="E10">
        <f t="shared" si="0"/>
        <v>324</v>
      </c>
      <c r="G10">
        <f t="shared" si="1"/>
        <v>324</v>
      </c>
      <c r="H10">
        <f t="shared" si="2"/>
        <v>96721</v>
      </c>
      <c r="I10">
        <f t="shared" si="3"/>
        <v>5598</v>
      </c>
      <c r="K10">
        <f t="shared" si="4"/>
        <v>104976</v>
      </c>
      <c r="L10">
        <f t="shared" si="5"/>
        <v>100764</v>
      </c>
    </row>
    <row r="11" spans="1:12">
      <c r="B11">
        <v>8</v>
      </c>
      <c r="C11">
        <v>404</v>
      </c>
      <c r="D11">
        <v>21</v>
      </c>
      <c r="E11">
        <f t="shared" si="0"/>
        <v>441</v>
      </c>
      <c r="G11">
        <f t="shared" si="1"/>
        <v>441</v>
      </c>
      <c r="H11">
        <f t="shared" si="2"/>
        <v>163216</v>
      </c>
      <c r="I11">
        <f t="shared" si="3"/>
        <v>8484</v>
      </c>
      <c r="K11">
        <f t="shared" si="4"/>
        <v>194481</v>
      </c>
      <c r="L11">
        <f t="shared" si="5"/>
        <v>178164</v>
      </c>
    </row>
    <row r="12" spans="1:12">
      <c r="B12">
        <v>9</v>
      </c>
      <c r="C12">
        <v>650</v>
      </c>
      <c r="D12">
        <v>25</v>
      </c>
      <c r="E12">
        <f t="shared" si="0"/>
        <v>625</v>
      </c>
      <c r="G12">
        <f t="shared" si="1"/>
        <v>625</v>
      </c>
      <c r="H12">
        <f t="shared" si="2"/>
        <v>422500</v>
      </c>
      <c r="I12">
        <f t="shared" si="3"/>
        <v>16250</v>
      </c>
      <c r="K12">
        <f t="shared" si="4"/>
        <v>390625</v>
      </c>
      <c r="L12">
        <f t="shared" si="5"/>
        <v>406250</v>
      </c>
    </row>
    <row r="13" spans="1:12">
      <c r="B13">
        <v>10</v>
      </c>
      <c r="C13">
        <v>200</v>
      </c>
      <c r="D13">
        <v>15</v>
      </c>
      <c r="E13">
        <f t="shared" si="0"/>
        <v>225</v>
      </c>
      <c r="G13">
        <f t="shared" si="1"/>
        <v>225</v>
      </c>
      <c r="H13">
        <f t="shared" si="2"/>
        <v>40000</v>
      </c>
      <c r="I13">
        <f t="shared" si="3"/>
        <v>3000</v>
      </c>
      <c r="K13">
        <f t="shared" si="4"/>
        <v>50625</v>
      </c>
      <c r="L13">
        <f t="shared" si="5"/>
        <v>45000</v>
      </c>
    </row>
    <row r="15" spans="1:12">
      <c r="B15" t="s">
        <v>55</v>
      </c>
      <c r="C15">
        <f>SUM(C4:C13)</f>
        <v>3155</v>
      </c>
      <c r="D15">
        <f>SUM(D4:D13)</f>
        <v>172</v>
      </c>
      <c r="E15">
        <f>SUM(E4:E13)</f>
        <v>3164</v>
      </c>
      <c r="G15">
        <f t="shared" ref="G15:L15" si="6">SUM(G4:G13)</f>
        <v>3164</v>
      </c>
      <c r="H15">
        <f t="shared" si="6"/>
        <v>1290687</v>
      </c>
      <c r="I15">
        <f t="shared" si="6"/>
        <v>61697</v>
      </c>
      <c r="K15">
        <f t="shared" si="6"/>
        <v>1254740</v>
      </c>
      <c r="L15">
        <f t="shared" si="6"/>
        <v>1265013</v>
      </c>
    </row>
    <row r="16" spans="1:12">
      <c r="B16" t="s">
        <v>68</v>
      </c>
      <c r="C16">
        <f>AVERAGE(C4:C13)</f>
        <v>315.5</v>
      </c>
      <c r="D16">
        <f>AVERAGE(D4:D13)</f>
        <v>17.2</v>
      </c>
      <c r="E16">
        <f>AVERAGE(E4:E13)</f>
        <v>316.39999999999998</v>
      </c>
    </row>
    <row r="18" spans="1:6">
      <c r="B18" t="s">
        <v>57</v>
      </c>
      <c r="C18">
        <f>C16-C19*D16</f>
        <v>-306.15953307392999</v>
      </c>
      <c r="E18" t="s">
        <v>72</v>
      </c>
      <c r="F18">
        <f>C16-F19*E16</f>
        <v>-17.266454931669671</v>
      </c>
    </row>
    <row r="19" spans="1:6">
      <c r="B19" t="s">
        <v>56</v>
      </c>
      <c r="C19">
        <f>($B$13*I15-D15*C15)/(B13*G15-D15^2)</f>
        <v>36.142996108949418</v>
      </c>
      <c r="E19" t="s">
        <v>73</v>
      </c>
      <c r="F19">
        <f>(B13*L15-E15*C15)/(B13*K15-E15^2)</f>
        <v>1.0517271015539498</v>
      </c>
    </row>
    <row r="21" spans="1:6">
      <c r="A21">
        <v>1</v>
      </c>
      <c r="B21" t="s">
        <v>74</v>
      </c>
    </row>
    <row r="23" spans="1:6">
      <c r="B23" t="s">
        <v>60</v>
      </c>
      <c r="C23" t="s">
        <v>61</v>
      </c>
      <c r="D23" t="s">
        <v>62</v>
      </c>
    </row>
    <row r="24" spans="1:6">
      <c r="B24">
        <f>$C$18+$C$19*D4</f>
        <v>488.98638132295719</v>
      </c>
      <c r="C24">
        <f>(B24-$C$16)^2</f>
        <v>30097.524504534507</v>
      </c>
      <c r="D24">
        <f>(C4-B24)^2</f>
        <v>6563.2064111493</v>
      </c>
    </row>
    <row r="25" spans="1:6">
      <c r="B25">
        <f t="shared" ref="B25:B33" si="7">$C$18+$C$19*D5</f>
        <v>416.70038910505843</v>
      </c>
      <c r="C25">
        <f t="shared" ref="C25:C33" si="8">(B25-$C$16)^2</f>
        <v>10241.51875501523</v>
      </c>
      <c r="D25">
        <f t="shared" ref="D25:D33" si="9">(C5-B25)^2</f>
        <v>3806.9380157156133</v>
      </c>
    </row>
    <row r="26" spans="1:6">
      <c r="B26">
        <f t="shared" si="7"/>
        <v>235.98540856031127</v>
      </c>
      <c r="C26">
        <f t="shared" si="8"/>
        <v>6322.5702518206199</v>
      </c>
      <c r="D26">
        <f t="shared" si="9"/>
        <v>0.97103003073473138</v>
      </c>
    </row>
    <row r="27" spans="1:6">
      <c r="B27">
        <f t="shared" si="7"/>
        <v>199.84241245136184</v>
      </c>
      <c r="C27">
        <f t="shared" si="8"/>
        <v>13376.677557570902</v>
      </c>
      <c r="D27">
        <f t="shared" si="9"/>
        <v>1587.4178299444329</v>
      </c>
    </row>
    <row r="28" spans="1:6">
      <c r="B28">
        <f t="shared" si="7"/>
        <v>55.270428015564221</v>
      </c>
      <c r="C28">
        <f t="shared" si="8"/>
        <v>67719.430135202638</v>
      </c>
      <c r="D28">
        <f t="shared" si="9"/>
        <v>7179.1003686656841</v>
      </c>
    </row>
    <row r="29" spans="1:6">
      <c r="B29">
        <f t="shared" si="7"/>
        <v>127.55642023346303</v>
      </c>
      <c r="C29">
        <f t="shared" si="8"/>
        <v>35322.789175460646</v>
      </c>
      <c r="D29">
        <f t="shared" si="9"/>
        <v>5.9710820754288756</v>
      </c>
    </row>
    <row r="30" spans="1:6">
      <c r="B30">
        <f t="shared" si="7"/>
        <v>344.41439688715957</v>
      </c>
      <c r="C30">
        <f t="shared" si="8"/>
        <v>836.04234734818294</v>
      </c>
      <c r="D30">
        <f t="shared" si="9"/>
        <v>1116.5219193326191</v>
      </c>
    </row>
    <row r="31" spans="1:6">
      <c r="B31">
        <f t="shared" si="7"/>
        <v>452.84338521400775</v>
      </c>
      <c r="C31">
        <f t="shared" si="8"/>
        <v>18863.205462043323</v>
      </c>
      <c r="D31">
        <f t="shared" si="9"/>
        <v>2385.6762791639512</v>
      </c>
    </row>
    <row r="32" spans="1:6">
      <c r="B32">
        <f t="shared" si="7"/>
        <v>597.41536964980548</v>
      </c>
      <c r="C32">
        <f t="shared" si="8"/>
        <v>79476.275644786467</v>
      </c>
      <c r="D32">
        <f t="shared" si="9"/>
        <v>2765.1433490665981</v>
      </c>
    </row>
    <row r="33" spans="1:7">
      <c r="B33">
        <f t="shared" si="7"/>
        <v>235.98540856031127</v>
      </c>
      <c r="C33">
        <f t="shared" si="8"/>
        <v>6322.5702518206199</v>
      </c>
      <c r="D33">
        <f t="shared" si="9"/>
        <v>1294.9496292525237</v>
      </c>
    </row>
    <row r="34" spans="1:7">
      <c r="B34" t="s">
        <v>55</v>
      </c>
      <c r="C34">
        <f>SUM(C24:C33)</f>
        <v>268578.60408560315</v>
      </c>
      <c r="D34">
        <f>SUM(D24:D33)</f>
        <v>26705.89591439689</v>
      </c>
    </row>
    <row r="35" spans="1:7" ht="18" thickBot="1"/>
    <row r="36" spans="1:7">
      <c r="B36" s="8" t="s">
        <v>75</v>
      </c>
      <c r="C36" s="9" t="s">
        <v>76</v>
      </c>
      <c r="D36" s="9" t="s">
        <v>77</v>
      </c>
      <c r="E36" s="9" t="s">
        <v>78</v>
      </c>
      <c r="F36" s="9" t="s">
        <v>79</v>
      </c>
      <c r="G36" s="10" t="s">
        <v>80</v>
      </c>
    </row>
    <row r="37" spans="1:7">
      <c r="B37" s="11" t="s">
        <v>81</v>
      </c>
      <c r="C37" s="12">
        <v>1</v>
      </c>
      <c r="D37" s="13">
        <f>C34</f>
        <v>268578.60408560315</v>
      </c>
      <c r="E37" s="13">
        <f>D37/1</f>
        <v>268578.60408560315</v>
      </c>
      <c r="F37" s="13">
        <f>E37/E38</f>
        <v>80.455223804213219</v>
      </c>
      <c r="G37" s="14">
        <f>_xlfn.F.DIST.RT(F37,C37,C38)</f>
        <v>1.8996493232157231E-5</v>
      </c>
    </row>
    <row r="38" spans="1:7">
      <c r="B38" s="11" t="s">
        <v>82</v>
      </c>
      <c r="C38" s="15">
        <f>B13-2</f>
        <v>8</v>
      </c>
      <c r="D38" s="16">
        <f>D34</f>
        <v>26705.89591439689</v>
      </c>
      <c r="E38" s="16">
        <f>D38/C38</f>
        <v>3338.2369892996112</v>
      </c>
      <c r="F38" s="16"/>
      <c r="G38" s="17"/>
    </row>
    <row r="39" spans="1:7" ht="18" thickBot="1">
      <c r="B39" s="18" t="s">
        <v>83</v>
      </c>
      <c r="C39" s="19">
        <f>C37+C38</f>
        <v>9</v>
      </c>
      <c r="D39" s="20">
        <f>D37+D38</f>
        <v>295284.50000000006</v>
      </c>
      <c r="E39" s="20"/>
      <c r="F39" s="20"/>
      <c r="G39" s="21"/>
    </row>
    <row r="41" spans="1:7">
      <c r="B41" s="22" t="s">
        <v>87</v>
      </c>
      <c r="C41">
        <f>D37/D39</f>
        <v>0.9095587614168813</v>
      </c>
    </row>
    <row r="42" spans="1:7">
      <c r="B42" s="23" t="s">
        <v>85</v>
      </c>
      <c r="C42">
        <f>SQRT(C41)</f>
        <v>0.95370790151748308</v>
      </c>
    </row>
    <row r="44" spans="1:7">
      <c r="A44">
        <v>2</v>
      </c>
      <c r="B44" t="s">
        <v>84</v>
      </c>
    </row>
    <row r="46" spans="1:7">
      <c r="B46" t="s">
        <v>60</v>
      </c>
      <c r="C46" t="s">
        <v>61</v>
      </c>
      <c r="D46" t="s">
        <v>62</v>
      </c>
    </row>
    <row r="47" spans="1:7">
      <c r="B47">
        <f>$F$18+$F$19*E4</f>
        <v>491.76946222044199</v>
      </c>
      <c r="C47">
        <f>(B47-$C$16)^2</f>
        <v>31070.923311483828</v>
      </c>
      <c r="D47">
        <f>(C4-B47)^2</f>
        <v>6120.017041278852</v>
      </c>
    </row>
    <row r="48" spans="1:7">
      <c r="B48">
        <f t="shared" ref="B48:B56" si="10">$F$18+$F$19*E5</f>
        <v>403.42438568991025</v>
      </c>
      <c r="C48">
        <f t="shared" ref="C48:C56" si="11">(B48-$C$16)^2</f>
        <v>7730.6975989480952</v>
      </c>
      <c r="D48">
        <f t="shared" ref="D48:D56" si="12">(C5-B48)^2</f>
        <v>2344.9211294451848</v>
      </c>
    </row>
    <row r="49" spans="2:7">
      <c r="B49">
        <f t="shared" si="10"/>
        <v>219.37214291796903</v>
      </c>
      <c r="C49">
        <f t="shared" si="11"/>
        <v>9240.5649071833723</v>
      </c>
      <c r="D49">
        <f t="shared" si="12"/>
        <v>244.22991697638557</v>
      </c>
    </row>
    <row r="50" spans="2:7">
      <c r="B50">
        <f t="shared" si="10"/>
        <v>188.87205697290449</v>
      </c>
      <c r="C50">
        <f t="shared" si="11"/>
        <v>16034.635955273347</v>
      </c>
      <c r="D50">
        <f t="shared" si="12"/>
        <v>833.59567384664263</v>
      </c>
    </row>
    <row r="51" spans="2:7">
      <c r="B51">
        <f t="shared" si="10"/>
        <v>87.90625522372531</v>
      </c>
      <c r="C51">
        <f t="shared" si="11"/>
        <v>51798.912661288065</v>
      </c>
      <c r="D51">
        <f t="shared" si="12"/>
        <v>2713.7582448156463</v>
      </c>
    </row>
    <row r="52" spans="2:7">
      <c r="B52">
        <f t="shared" si="10"/>
        <v>134.18224769209911</v>
      </c>
      <c r="C52">
        <f t="shared" si="11"/>
        <v>32876.127301989298</v>
      </c>
      <c r="D52">
        <f t="shared" si="12"/>
        <v>17.49119575806834</v>
      </c>
    </row>
    <row r="53" spans="2:7">
      <c r="B53">
        <f t="shared" si="10"/>
        <v>323.49312597181006</v>
      </c>
      <c r="C53">
        <f t="shared" si="11"/>
        <v>63.890062801224502</v>
      </c>
      <c r="D53">
        <f t="shared" si="12"/>
        <v>156.07819654751503</v>
      </c>
    </row>
    <row r="54" spans="2:7">
      <c r="B54">
        <f t="shared" si="10"/>
        <v>446.5451968536222</v>
      </c>
      <c r="C54">
        <f t="shared" si="11"/>
        <v>17172.843618404593</v>
      </c>
      <c r="D54">
        <f t="shared" si="12"/>
        <v>1810.0937753134644</v>
      </c>
    </row>
    <row r="55" spans="2:7">
      <c r="B55">
        <f t="shared" si="10"/>
        <v>640.0629835395489</v>
      </c>
      <c r="C55">
        <f t="shared" si="11"/>
        <v>105341.13028409348</v>
      </c>
      <c r="D55">
        <f t="shared" si="12"/>
        <v>98.744296135276201</v>
      </c>
    </row>
    <row r="56" spans="2:7">
      <c r="B56">
        <f t="shared" si="10"/>
        <v>219.37214291796903</v>
      </c>
      <c r="C56">
        <f t="shared" si="11"/>
        <v>9240.5649071833723</v>
      </c>
      <c r="D56">
        <f t="shared" si="12"/>
        <v>375.27992123421762</v>
      </c>
    </row>
    <row r="57" spans="2:7">
      <c r="B57" t="s">
        <v>55</v>
      </c>
      <c r="C57">
        <f>SUM(C47:C56)</f>
        <v>280570.29060864862</v>
      </c>
      <c r="D57">
        <f>SUM(D47:D56)</f>
        <v>14714.209391351253</v>
      </c>
    </row>
    <row r="58" spans="2:7" ht="18" thickBot="1"/>
    <row r="59" spans="2:7">
      <c r="B59" s="8" t="s">
        <v>75</v>
      </c>
      <c r="C59" s="9" t="s">
        <v>76</v>
      </c>
      <c r="D59" s="9" t="s">
        <v>77</v>
      </c>
      <c r="E59" s="9" t="s">
        <v>78</v>
      </c>
      <c r="F59" s="9" t="s">
        <v>79</v>
      </c>
      <c r="G59" s="10" t="s">
        <v>80</v>
      </c>
    </row>
    <row r="60" spans="2:7">
      <c r="B60" s="11" t="s">
        <v>81</v>
      </c>
      <c r="C60" s="12">
        <v>1</v>
      </c>
      <c r="D60" s="13">
        <f>C57</f>
        <v>280570.29060864862</v>
      </c>
      <c r="E60" s="13">
        <f>D60/1</f>
        <v>280570.29060864862</v>
      </c>
      <c r="F60" s="13">
        <f>E60/E61</f>
        <v>152.54386186650996</v>
      </c>
      <c r="G60" s="14">
        <f>_xlfn.F.DIST.RT(F60,C60,C61)</f>
        <v>1.720634190342916E-6</v>
      </c>
    </row>
    <row r="61" spans="2:7">
      <c r="B61" s="11" t="s">
        <v>82</v>
      </c>
      <c r="C61" s="15">
        <f>B13-2</f>
        <v>8</v>
      </c>
      <c r="D61" s="16">
        <f>D57</f>
        <v>14714.209391351253</v>
      </c>
      <c r="E61" s="16">
        <f>D61/C61</f>
        <v>1839.2761739189066</v>
      </c>
      <c r="F61" s="16"/>
      <c r="G61" s="17"/>
    </row>
    <row r="62" spans="2:7" ht="18" thickBot="1">
      <c r="B62" s="18" t="s">
        <v>83</v>
      </c>
      <c r="C62" s="19">
        <f>C60+C61</f>
        <v>9</v>
      </c>
      <c r="D62" s="20">
        <f>D60+D61</f>
        <v>295284.49999999988</v>
      </c>
      <c r="E62" s="20"/>
      <c r="F62" s="20"/>
      <c r="G62" s="21"/>
    </row>
    <row r="64" spans="2:7">
      <c r="B64" s="22" t="s">
        <v>88</v>
      </c>
      <c r="C64">
        <f>D60/D62</f>
        <v>0.95016938108383175</v>
      </c>
    </row>
    <row r="65" spans="2:3">
      <c r="B65" s="23" t="s">
        <v>86</v>
      </c>
      <c r="C65">
        <f>SQRT(C64)</f>
        <v>0.97476632127081198</v>
      </c>
    </row>
    <row r="67" spans="2:3">
      <c r="B67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Suk Lee</dc:creator>
  <cp:lastModifiedBy>이인석</cp:lastModifiedBy>
  <dcterms:created xsi:type="dcterms:W3CDTF">2021-12-08T13:03:02Z</dcterms:created>
  <dcterms:modified xsi:type="dcterms:W3CDTF">2021-12-15T22:53:35Z</dcterms:modified>
</cp:coreProperties>
</file>