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2e491b318d135/Bureau/LMDV/Etude concu/Analyse-de-concurrence_2023-05-30_0858/"/>
    </mc:Choice>
  </mc:AlternateContent>
  <xr:revisionPtr revIDLastSave="300" documentId="13_ncr:1_{6639876D-9E05-4F61-A7C3-7656F52FAA09}" xr6:coauthVersionLast="47" xr6:coauthVersionMax="47" xr10:uidLastSave="{84322BF8-2BCB-4B93-BA2D-59537E941304}"/>
  <bookViews>
    <workbookView xWindow="-108" yWindow="-108" windowWidth="23256" windowHeight="12456" activeTab="2" xr2:uid="{477420DA-D00F-432B-8303-2286930DA96C}"/>
  </bookViews>
  <sheets>
    <sheet name="150" sheetId="8" r:id="rId1"/>
    <sheet name="300" sheetId="4" r:id="rId2"/>
    <sheet name="500" sheetId="7" r:id="rId3"/>
    <sheet name="1000" sheetId="5" r:id="rId4"/>
    <sheet name="2000" sheetId="6" r:id="rId5"/>
    <sheet name="Analyse playground" sheetId="9" r:id="rId6"/>
    <sheet name="Montant total devis" sheetId="10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2" i="4"/>
  <c r="B3" i="6"/>
  <c r="B4" i="6"/>
  <c r="B5" i="6"/>
  <c r="B6" i="6"/>
  <c r="B7" i="6"/>
  <c r="B8" i="6"/>
  <c r="B2" i="6"/>
  <c r="B3" i="5"/>
  <c r="B4" i="5"/>
  <c r="B5" i="5"/>
  <c r="B6" i="5"/>
  <c r="B7" i="5"/>
  <c r="B8" i="5"/>
  <c r="B2" i="5"/>
  <c r="B3" i="8"/>
  <c r="B4" i="8"/>
  <c r="B5" i="8"/>
  <c r="B6" i="8"/>
  <c r="B7" i="8"/>
  <c r="B8" i="8"/>
  <c r="B2" i="8"/>
  <c r="B8" i="4"/>
  <c r="B2" i="4"/>
  <c r="B3" i="4"/>
  <c r="B4" i="4"/>
  <c r="B5" i="4"/>
  <c r="B6" i="4"/>
  <c r="B7" i="4"/>
  <c r="B3" i="7"/>
  <c r="B4" i="7"/>
  <c r="B5" i="7"/>
  <c r="B6" i="7"/>
  <c r="B7" i="7"/>
  <c r="B8" i="7"/>
  <c r="B2" i="7"/>
  <c r="P2" i="8"/>
  <c r="V7" i="8"/>
  <c r="V6" i="8"/>
  <c r="P2" i="7"/>
  <c r="R4" i="7"/>
  <c r="V7" i="7"/>
  <c r="V6" i="7"/>
  <c r="J5" i="6"/>
  <c r="D5" i="6"/>
  <c r="R2" i="6"/>
  <c r="Q2" i="6"/>
  <c r="C6" i="6"/>
  <c r="W7" i="6"/>
  <c r="V6" i="6"/>
  <c r="C6" i="5"/>
  <c r="V6" i="5"/>
  <c r="W7" i="5"/>
  <c r="V6" i="4"/>
  <c r="V7" i="4"/>
  <c r="R8" i="4"/>
  <c r="Q8" i="4"/>
  <c r="O8" i="4"/>
  <c r="M8" i="4"/>
  <c r="L8" i="4"/>
  <c r="J8" i="4"/>
  <c r="Q6" i="4"/>
  <c r="C6" i="4"/>
  <c r="S5" i="4"/>
  <c r="R5" i="4"/>
  <c r="Q5" i="4"/>
  <c r="O5" i="4"/>
  <c r="N5" i="4"/>
  <c r="K5" i="4"/>
  <c r="J5" i="4"/>
  <c r="R4" i="4"/>
  <c r="Q4" i="4"/>
  <c r="O4" i="4"/>
  <c r="M4" i="4"/>
  <c r="K4" i="4"/>
  <c r="Q3" i="4"/>
  <c r="P3" i="4"/>
  <c r="O3" i="4"/>
  <c r="M3" i="4"/>
  <c r="L3" i="4"/>
  <c r="K3" i="4"/>
  <c r="J3" i="4"/>
  <c r="R2" i="4"/>
  <c r="Q2" i="4"/>
  <c r="P2" i="4"/>
  <c r="O2" i="4"/>
  <c r="N2" i="4"/>
  <c r="M2" i="4"/>
  <c r="L2" i="4"/>
  <c r="K2" i="4"/>
</calcChain>
</file>

<file path=xl/sharedStrings.xml><?xml version="1.0" encoding="utf-8"?>
<sst xmlns="http://schemas.openxmlformats.org/spreadsheetml/2006/main" count="302" uniqueCount="51">
  <si>
    <t>B-SIDE</t>
  </si>
  <si>
    <t>Gravure</t>
  </si>
  <si>
    <t>Galvanisation</t>
  </si>
  <si>
    <t xml:space="preserve">Verification Audio </t>
  </si>
  <si>
    <t>Test Press</t>
  </si>
  <si>
    <t>Label 4/0</t>
  </si>
  <si>
    <t>Vinyle Noir</t>
  </si>
  <si>
    <t>Vinyle Couleur</t>
  </si>
  <si>
    <t>Sous-pochette blanche</t>
  </si>
  <si>
    <t>Cellophane</t>
  </si>
  <si>
    <t>Emballage</t>
  </si>
  <si>
    <t>Transport</t>
  </si>
  <si>
    <t xml:space="preserve">non inclus </t>
  </si>
  <si>
    <t>Coupons téléchargement</t>
  </si>
  <si>
    <t>Kuroneko</t>
  </si>
  <si>
    <t>LMDV</t>
  </si>
  <si>
    <t>transport TP</t>
  </si>
  <si>
    <t>Frais de PAO</t>
  </si>
  <si>
    <t>M comme Musique</t>
  </si>
  <si>
    <t>BAT</t>
  </si>
  <si>
    <t>Sous-pochette blanche antistatique</t>
  </si>
  <si>
    <t xml:space="preserve">Pochette simple 4/0 </t>
  </si>
  <si>
    <t>Vinyl de Paris</t>
  </si>
  <si>
    <t>Vinyl Garcia</t>
  </si>
  <si>
    <t>Délais</t>
  </si>
  <si>
    <t>Vinyl record Makers</t>
  </si>
  <si>
    <t>10/12 sem</t>
  </si>
  <si>
    <t>14 sem</t>
  </si>
  <si>
    <t>15/17 sem</t>
  </si>
  <si>
    <t>8/10 sem</t>
  </si>
  <si>
    <t>6 sem</t>
  </si>
  <si>
    <t>Délais de réponse</t>
  </si>
  <si>
    <t>Relance</t>
  </si>
  <si>
    <t>Appel</t>
  </si>
  <si>
    <t>OUI</t>
  </si>
  <si>
    <t>Dans la journée</t>
  </si>
  <si>
    <t>NON</t>
  </si>
  <si>
    <t>OUI (1sem après)</t>
  </si>
  <si>
    <t>Sous-pochette noire</t>
  </si>
  <si>
    <t>non inclus</t>
  </si>
  <si>
    <t>5 jours</t>
  </si>
  <si>
    <t>OFFERT</t>
  </si>
  <si>
    <t>Montant Total (sans transport)</t>
  </si>
  <si>
    <t>Colonne1</t>
  </si>
  <si>
    <t>Entreprise</t>
  </si>
  <si>
    <t>Entreprise (150)</t>
  </si>
  <si>
    <t>Entreprise (300)</t>
  </si>
  <si>
    <t>Entreprise (500)</t>
  </si>
  <si>
    <t>Entreprise (1000)</t>
  </si>
  <si>
    <t>Montant Total (sans le transport)</t>
  </si>
  <si>
    <t>Entreprise 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</si>
</sst>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0"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numFmt numFmtId="164" formatCode="#,##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Devis pour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playground'!$C$3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playground'!$B$4:$B$10</c:f>
              <c:strCache>
                <c:ptCount val="7"/>
                <c:pt idx="0">
                  <c:v>M comme Musique</c:v>
                </c:pt>
                <c:pt idx="1">
                  <c:v>B-SIDE</c:v>
                </c:pt>
                <c:pt idx="2">
                  <c:v>Kuroneko</c:v>
                </c:pt>
                <c:pt idx="3">
                  <c:v>Vinyl Garcia</c:v>
                </c:pt>
                <c:pt idx="4">
                  <c:v>Vinyl record Makers</c:v>
                </c:pt>
                <c:pt idx="5">
                  <c:v>LMDV</c:v>
                </c:pt>
                <c:pt idx="6">
                  <c:v>Vinyl de Paris</c:v>
                </c:pt>
              </c:strCache>
            </c:strRef>
          </c:cat>
          <c:val>
            <c:numRef>
              <c:f>'Analyse playground'!$C$4:$C$10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1469.5</c:v>
                </c:pt>
                <c:pt idx="6">
                  <c:v>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B59-99C9-84967FBC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64559"/>
        <c:axId val="1009863119"/>
      </c:barChart>
      <c:catAx>
        <c:axId val="10098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63119"/>
        <c:crosses val="autoZero"/>
        <c:auto val="1"/>
        <c:lblAlgn val="ctr"/>
        <c:lblOffset val="100"/>
        <c:noMultiLvlLbl val="0"/>
      </c:catAx>
      <c:valAx>
        <c:axId val="1009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playground'!$S$3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playground'!$R$4:$R$10</c:f>
              <c:strCache>
                <c:ptCount val="7"/>
                <c:pt idx="0">
                  <c:v>Vinyl record Makers</c:v>
                </c:pt>
                <c:pt idx="1">
                  <c:v>Kuroneko</c:v>
                </c:pt>
                <c:pt idx="2">
                  <c:v>B-SIDE</c:v>
                </c:pt>
                <c:pt idx="3">
                  <c:v>Vinyl de Paris</c:v>
                </c:pt>
                <c:pt idx="4">
                  <c:v>Vinyl Garcia</c:v>
                </c:pt>
                <c:pt idx="5">
                  <c:v>M comme Musique</c:v>
                </c:pt>
                <c:pt idx="6">
                  <c:v>LMDV</c:v>
                </c:pt>
              </c:strCache>
            </c:strRef>
          </c:cat>
          <c:val>
            <c:numRef>
              <c:f>'Analyse playground'!$S$4:$S$10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6183</c:v>
                </c:pt>
                <c:pt idx="3">
                  <c:v>6240</c:v>
                </c:pt>
                <c:pt idx="4">
                  <c:v>7078.9</c:v>
                </c:pt>
                <c:pt idx="5">
                  <c:v>7171</c:v>
                </c:pt>
                <c:pt idx="6">
                  <c:v>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A-4B7B-B358-6FE31E63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6756207"/>
        <c:axId val="286754767"/>
      </c:barChart>
      <c:catAx>
        <c:axId val="28675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4767"/>
        <c:crosses val="autoZero"/>
        <c:auto val="1"/>
        <c:lblAlgn val="ctr"/>
        <c:lblOffset val="100"/>
        <c:noMultiLvlLbl val="0"/>
      </c:catAx>
      <c:valAx>
        <c:axId val="28675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playground'!$G$3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playground'!$F$4:$F$10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Vinyl record Makers</c:v>
                </c:pt>
                <c:pt idx="3">
                  <c:v>M comme Musique</c:v>
                </c:pt>
                <c:pt idx="4">
                  <c:v>Vinyl Garcia</c:v>
                </c:pt>
                <c:pt idx="5">
                  <c:v>B-SIDE</c:v>
                </c:pt>
                <c:pt idx="6">
                  <c:v>LMDV</c:v>
                </c:pt>
              </c:strCache>
            </c:strRef>
          </c:cat>
          <c:val>
            <c:numRef>
              <c:f>'Analyse playground'!$G$4:$G$10</c:f>
              <c:numCache>
                <c:formatCode>#,##0\ "€"</c:formatCode>
                <c:ptCount val="7"/>
                <c:pt idx="0">
                  <c:v>1603.3000000000002</c:v>
                </c:pt>
                <c:pt idx="1">
                  <c:v>1716</c:v>
                </c:pt>
                <c:pt idx="2">
                  <c:v>1767</c:v>
                </c:pt>
                <c:pt idx="3">
                  <c:v>1778</c:v>
                </c:pt>
                <c:pt idx="4">
                  <c:v>1852.6599999999999</c:v>
                </c:pt>
                <c:pt idx="5">
                  <c:v>2564.3000000000002</c:v>
                </c:pt>
                <c:pt idx="6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F-4806-85C5-77B458D6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95711"/>
        <c:axId val="278495231"/>
      </c:barChart>
      <c:catAx>
        <c:axId val="2784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495231"/>
        <c:crosses val="autoZero"/>
        <c:auto val="1"/>
        <c:lblAlgn val="ctr"/>
        <c:lblOffset val="100"/>
        <c:noMultiLvlLbl val="0"/>
      </c:catAx>
      <c:valAx>
        <c:axId val="2784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4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playground'!$K$3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playground'!$J$4:$J$10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M comme Musique</c:v>
                </c:pt>
                <c:pt idx="3">
                  <c:v>Vinyl record Makers</c:v>
                </c:pt>
                <c:pt idx="4">
                  <c:v>Vinyl Garcia</c:v>
                </c:pt>
                <c:pt idx="5">
                  <c:v>LMDV</c:v>
                </c:pt>
                <c:pt idx="6">
                  <c:v>B-SIDE</c:v>
                </c:pt>
              </c:strCache>
            </c:strRef>
          </c:cat>
          <c:val>
            <c:numRef>
              <c:f>'Analyse playground'!$K$4:$K$10</c:f>
              <c:numCache>
                <c:formatCode>#,##0\ "€"</c:formatCode>
                <c:ptCount val="7"/>
                <c:pt idx="0">
                  <c:v>2018.5</c:v>
                </c:pt>
                <c:pt idx="1">
                  <c:v>2190</c:v>
                </c:pt>
                <c:pt idx="2">
                  <c:v>2339</c:v>
                </c:pt>
                <c:pt idx="3">
                  <c:v>2349</c:v>
                </c:pt>
                <c:pt idx="4">
                  <c:v>2565.63</c:v>
                </c:pt>
                <c:pt idx="5">
                  <c:v>2667</c:v>
                </c:pt>
                <c:pt idx="6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8EE-9272-C4562EA2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985455"/>
        <c:axId val="500541599"/>
      </c:barChart>
      <c:catAx>
        <c:axId val="403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541599"/>
        <c:crosses val="autoZero"/>
        <c:auto val="1"/>
        <c:lblAlgn val="ctr"/>
        <c:lblOffset val="100"/>
        <c:noMultiLvlLbl val="0"/>
      </c:catAx>
      <c:valAx>
        <c:axId val="5005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playground'!$O$3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playground'!$N$4:$N$10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Vinyl record Makers</c:v>
                </c:pt>
                <c:pt idx="3">
                  <c:v>B-SIDE</c:v>
                </c:pt>
                <c:pt idx="4">
                  <c:v>M comme Musique</c:v>
                </c:pt>
                <c:pt idx="5">
                  <c:v>Vinyl Garcia</c:v>
                </c:pt>
                <c:pt idx="6">
                  <c:v>LMDV</c:v>
                </c:pt>
              </c:strCache>
            </c:strRef>
          </c:cat>
          <c:val>
            <c:numRef>
              <c:f>'Analyse playground'!$O$4:$O$10</c:f>
              <c:numCache>
                <c:formatCode>#,##0\ "€"</c:formatCode>
                <c:ptCount val="7"/>
                <c:pt idx="0">
                  <c:v>0</c:v>
                </c:pt>
                <c:pt idx="1">
                  <c:v>3120</c:v>
                </c:pt>
                <c:pt idx="2">
                  <c:v>3620</c:v>
                </c:pt>
                <c:pt idx="3">
                  <c:v>3733</c:v>
                </c:pt>
                <c:pt idx="4">
                  <c:v>3889</c:v>
                </c:pt>
                <c:pt idx="5">
                  <c:v>4260.99</c:v>
                </c:pt>
                <c:pt idx="6">
                  <c:v>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477-9D0A-B7C73307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065423"/>
        <c:axId val="334066863"/>
      </c:barChart>
      <c:catAx>
        <c:axId val="3340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066863"/>
        <c:crosses val="autoZero"/>
        <c:auto val="1"/>
        <c:lblAlgn val="ctr"/>
        <c:lblOffset val="100"/>
        <c:noMultiLvlLbl val="0"/>
      </c:catAx>
      <c:valAx>
        <c:axId val="3340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06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playground'!$S$3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playground'!$R$4:$R$10</c:f>
              <c:strCache>
                <c:ptCount val="7"/>
                <c:pt idx="0">
                  <c:v>Vinyl record Makers</c:v>
                </c:pt>
                <c:pt idx="1">
                  <c:v>Kuroneko</c:v>
                </c:pt>
                <c:pt idx="2">
                  <c:v>B-SIDE</c:v>
                </c:pt>
                <c:pt idx="3">
                  <c:v>Vinyl de Paris</c:v>
                </c:pt>
                <c:pt idx="4">
                  <c:v>Vinyl Garcia</c:v>
                </c:pt>
                <c:pt idx="5">
                  <c:v>M comme Musique</c:v>
                </c:pt>
                <c:pt idx="6">
                  <c:v>LMDV</c:v>
                </c:pt>
              </c:strCache>
            </c:strRef>
          </c:cat>
          <c:val>
            <c:numRef>
              <c:f>'Analyse playground'!$S$4:$S$10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6183</c:v>
                </c:pt>
                <c:pt idx="3">
                  <c:v>6240</c:v>
                </c:pt>
                <c:pt idx="4">
                  <c:v>7078.9</c:v>
                </c:pt>
                <c:pt idx="5">
                  <c:v>7171</c:v>
                </c:pt>
                <c:pt idx="6">
                  <c:v>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2-4110-9512-34502C46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56207"/>
        <c:axId val="286754767"/>
      </c:barChart>
      <c:catAx>
        <c:axId val="2867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4767"/>
        <c:crosses val="autoZero"/>
        <c:auto val="1"/>
        <c:lblAlgn val="ctr"/>
        <c:lblOffset val="100"/>
        <c:noMultiLvlLbl val="0"/>
      </c:catAx>
      <c:valAx>
        <c:axId val="2867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7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Devis pour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playground'!$C$3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playground'!$B$4:$B$10</c:f>
              <c:strCache>
                <c:ptCount val="7"/>
                <c:pt idx="0">
                  <c:v>M comme Musique</c:v>
                </c:pt>
                <c:pt idx="1">
                  <c:v>B-SIDE</c:v>
                </c:pt>
                <c:pt idx="2">
                  <c:v>Kuroneko</c:v>
                </c:pt>
                <c:pt idx="3">
                  <c:v>Vinyl Garcia</c:v>
                </c:pt>
                <c:pt idx="4">
                  <c:v>Vinyl record Makers</c:v>
                </c:pt>
                <c:pt idx="5">
                  <c:v>LMDV</c:v>
                </c:pt>
                <c:pt idx="6">
                  <c:v>Vinyl de Paris</c:v>
                </c:pt>
              </c:strCache>
            </c:strRef>
          </c:cat>
          <c:val>
            <c:numRef>
              <c:f>'Analyse playground'!$C$4:$C$10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1469.5</c:v>
                </c:pt>
                <c:pt idx="6">
                  <c:v>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8-43DF-90D4-53B1D651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9864559"/>
        <c:axId val="1009863119"/>
      </c:barChart>
      <c:catAx>
        <c:axId val="100986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63119"/>
        <c:crosses val="autoZero"/>
        <c:auto val="1"/>
        <c:lblAlgn val="ctr"/>
        <c:lblOffset val="100"/>
        <c:noMultiLvlLbl val="0"/>
      </c:catAx>
      <c:valAx>
        <c:axId val="100986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playground'!$G$3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playground'!$F$4:$F$10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Vinyl record Makers</c:v>
                </c:pt>
                <c:pt idx="3">
                  <c:v>M comme Musique</c:v>
                </c:pt>
                <c:pt idx="4">
                  <c:v>Vinyl Garcia</c:v>
                </c:pt>
                <c:pt idx="5">
                  <c:v>B-SIDE</c:v>
                </c:pt>
                <c:pt idx="6">
                  <c:v>LMDV</c:v>
                </c:pt>
              </c:strCache>
            </c:strRef>
          </c:cat>
          <c:val>
            <c:numRef>
              <c:f>'Analyse playground'!$G$4:$G$10</c:f>
              <c:numCache>
                <c:formatCode>#,##0\ "€"</c:formatCode>
                <c:ptCount val="7"/>
                <c:pt idx="0">
                  <c:v>1603.3000000000002</c:v>
                </c:pt>
                <c:pt idx="1">
                  <c:v>1716</c:v>
                </c:pt>
                <c:pt idx="2">
                  <c:v>1767</c:v>
                </c:pt>
                <c:pt idx="3">
                  <c:v>1778</c:v>
                </c:pt>
                <c:pt idx="4">
                  <c:v>1852.6599999999999</c:v>
                </c:pt>
                <c:pt idx="5">
                  <c:v>2564.3000000000002</c:v>
                </c:pt>
                <c:pt idx="6">
                  <c:v>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63B-8397-5609A4A6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8495711"/>
        <c:axId val="278495231"/>
      </c:barChart>
      <c:catAx>
        <c:axId val="27849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495231"/>
        <c:crosses val="autoZero"/>
        <c:auto val="1"/>
        <c:lblAlgn val="ctr"/>
        <c:lblOffset val="100"/>
        <c:noMultiLvlLbl val="0"/>
      </c:catAx>
      <c:valAx>
        <c:axId val="2784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4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playground'!$K$3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playground'!$J$4:$J$10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M comme Musique</c:v>
                </c:pt>
                <c:pt idx="3">
                  <c:v>Vinyl record Makers</c:v>
                </c:pt>
                <c:pt idx="4">
                  <c:v>Vinyl Garcia</c:v>
                </c:pt>
                <c:pt idx="5">
                  <c:v>LMDV</c:v>
                </c:pt>
                <c:pt idx="6">
                  <c:v>B-SIDE</c:v>
                </c:pt>
              </c:strCache>
            </c:strRef>
          </c:cat>
          <c:val>
            <c:numRef>
              <c:f>'Analyse playground'!$K$4:$K$10</c:f>
              <c:numCache>
                <c:formatCode>#,##0\ "€"</c:formatCode>
                <c:ptCount val="7"/>
                <c:pt idx="0">
                  <c:v>2018.5</c:v>
                </c:pt>
                <c:pt idx="1">
                  <c:v>2190</c:v>
                </c:pt>
                <c:pt idx="2">
                  <c:v>2339</c:v>
                </c:pt>
                <c:pt idx="3">
                  <c:v>2349</c:v>
                </c:pt>
                <c:pt idx="4">
                  <c:v>2565.63</c:v>
                </c:pt>
                <c:pt idx="5">
                  <c:v>2667</c:v>
                </c:pt>
                <c:pt idx="6">
                  <c:v>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C-4550-A0E9-A6EFB6D5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985455"/>
        <c:axId val="500541599"/>
      </c:barChart>
      <c:catAx>
        <c:axId val="4039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541599"/>
        <c:crosses val="autoZero"/>
        <c:auto val="1"/>
        <c:lblAlgn val="ctr"/>
        <c:lblOffset val="100"/>
        <c:noMultiLvlLbl val="0"/>
      </c:catAx>
      <c:valAx>
        <c:axId val="5005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9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[Avril 2023.xlsx]Analyse playground!Tableau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Devis pour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'Analyse playground'!$O$3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playground'!$N$4:$N$10</c:f>
              <c:strCache>
                <c:ptCount val="7"/>
                <c:pt idx="0">
                  <c:v>Kuroneko</c:v>
                </c:pt>
                <c:pt idx="1">
                  <c:v>Vinyl de Paris</c:v>
                </c:pt>
                <c:pt idx="2">
                  <c:v>Vinyl record Makers</c:v>
                </c:pt>
                <c:pt idx="3">
                  <c:v>B-SIDE</c:v>
                </c:pt>
                <c:pt idx="4">
                  <c:v>M comme Musique</c:v>
                </c:pt>
                <c:pt idx="5">
                  <c:v>Vinyl Garcia</c:v>
                </c:pt>
                <c:pt idx="6">
                  <c:v>LMDV</c:v>
                </c:pt>
              </c:strCache>
            </c:strRef>
          </c:cat>
          <c:val>
            <c:numRef>
              <c:f>'Analyse playground'!$O$4:$O$10</c:f>
              <c:numCache>
                <c:formatCode>#,##0\ "€"</c:formatCode>
                <c:ptCount val="7"/>
                <c:pt idx="0">
                  <c:v>0</c:v>
                </c:pt>
                <c:pt idx="1">
                  <c:v>3120</c:v>
                </c:pt>
                <c:pt idx="2">
                  <c:v>3620</c:v>
                </c:pt>
                <c:pt idx="3">
                  <c:v>3733</c:v>
                </c:pt>
                <c:pt idx="4">
                  <c:v>3889</c:v>
                </c:pt>
                <c:pt idx="5">
                  <c:v>4260.99</c:v>
                </c:pt>
                <c:pt idx="6">
                  <c:v>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C-45FD-AEF6-63C53DF6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065423"/>
        <c:axId val="334066863"/>
      </c:barChart>
      <c:catAx>
        <c:axId val="33406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066863"/>
        <c:crosses val="autoZero"/>
        <c:auto val="1"/>
        <c:lblAlgn val="ctr"/>
        <c:lblOffset val="100"/>
        <c:noMultiLvlLbl val="0"/>
      </c:catAx>
      <c:valAx>
        <c:axId val="3340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06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10</xdr:row>
      <xdr:rowOff>133350</xdr:rowOff>
    </xdr:from>
    <xdr:to>
      <xdr:col>3</xdr:col>
      <xdr:colOff>670560</xdr:colOff>
      <xdr:row>24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FDF959-46A4-43F2-B5ED-895DF9C8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10</xdr:row>
      <xdr:rowOff>133350</xdr:rowOff>
    </xdr:from>
    <xdr:to>
      <xdr:col>7</xdr:col>
      <xdr:colOff>624840</xdr:colOff>
      <xdr:row>25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66DBD3-34EF-234A-C591-6751A02BD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</xdr:colOff>
      <xdr:row>10</xdr:row>
      <xdr:rowOff>140970</xdr:rowOff>
    </xdr:from>
    <xdr:to>
      <xdr:col>11</xdr:col>
      <xdr:colOff>708660</xdr:colOff>
      <xdr:row>25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288ED0-157F-EBCF-0C70-597843092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160020</xdr:colOff>
      <xdr:row>10</xdr:row>
      <xdr:rowOff>125730</xdr:rowOff>
    </xdr:from>
    <xdr:to>
      <xdr:col>15</xdr:col>
      <xdr:colOff>739140</xdr:colOff>
      <xdr:row>25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2A90B1-6D34-FECC-EF30-CBBADB0F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205740</xdr:colOff>
      <xdr:row>10</xdr:row>
      <xdr:rowOff>125730</xdr:rowOff>
    </xdr:from>
    <xdr:to>
      <xdr:col>19</xdr:col>
      <xdr:colOff>655320</xdr:colOff>
      <xdr:row>24</xdr:row>
      <xdr:rowOff>175260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8E9CD26-FE95-070B-63DD-05BB9CB3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6</xdr:col>
      <xdr:colOff>681317</xdr:colOff>
      <xdr:row>15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1FDDF9-7E4E-4E29-B91B-A7D4D2AE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169497</xdr:colOff>
      <xdr:row>0</xdr:row>
      <xdr:rowOff>177949</xdr:rowOff>
    </xdr:from>
    <xdr:to>
      <xdr:col>13</xdr:col>
      <xdr:colOff>484095</xdr:colOff>
      <xdr:row>15</xdr:row>
      <xdr:rowOff>88463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9A8C97-639E-45AF-8DA9-CA437FAC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97393</xdr:colOff>
      <xdr:row>1</xdr:row>
      <xdr:rowOff>33170</xdr:rowOff>
    </xdr:from>
    <xdr:to>
      <xdr:col>20</xdr:col>
      <xdr:colOff>475128</xdr:colOff>
      <xdr:row>15</xdr:row>
      <xdr:rowOff>115358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4EB16EE-3E32-4D31-90B5-9C1767B60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735106</xdr:colOff>
      <xdr:row>16</xdr:row>
      <xdr:rowOff>107575</xdr:rowOff>
    </xdr:from>
    <xdr:to>
      <xdr:col>9</xdr:col>
      <xdr:colOff>475129</xdr:colOff>
      <xdr:row>31</xdr:row>
      <xdr:rowOff>18089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F11A6E6-798E-44AB-9438-0B083A7BA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759952</xdr:colOff>
      <xdr:row>16</xdr:row>
      <xdr:rowOff>125504</xdr:rowOff>
    </xdr:from>
    <xdr:to>
      <xdr:col>17</xdr:col>
      <xdr:colOff>224118</xdr:colOff>
      <xdr:row>31</xdr:row>
      <xdr:rowOff>35857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2D8B0F8-E707-4560-A17C-019543399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aherault" refreshedDate="45076.505067361111" createdVersion="8" refreshedVersion="8" minRefreshableVersion="3" recordCount="7" xr:uid="{EEDA9C99-0644-448B-8D5A-7F7807832B8A}">
  <cacheSource type="worksheet">
    <worksheetSource name="tableau150"/>
  </cacheSource>
  <cacheFields count="19">
    <cacheField name="Entreprise" numFmtId="0">
      <sharedItems count="7">
        <s v="LMDV"/>
        <s v="B-SIDE"/>
        <s v="Kuroneko"/>
        <s v="M comme Musique"/>
        <s v="Vinyl de Paris"/>
        <s v="Vinyl Garcia"/>
        <s v="Vinyl record Makers"/>
      </sharedItems>
    </cacheField>
    <cacheField name="Montant Total (sans transport)" numFmtId="0">
      <sharedItems containsSemiMixedTypes="0" containsString="0" containsNumber="1" minValue="0" maxValue="1818"/>
    </cacheField>
    <cacheField name="Gravure" numFmtId="0">
      <sharedItems containsString="0" containsBlank="1" containsNumber="1" minValue="312" maxValue="1798.5"/>
    </cacheField>
    <cacheField name="Galvanisation" numFmtId="0">
      <sharedItems containsString="0" containsBlank="1" containsNumber="1" containsInteger="1" minValue="275" maxValue="275"/>
    </cacheField>
    <cacheField name="Verification Audio " numFmtId="0">
      <sharedItems containsNonDate="0" containsString="0" containsBlank="1"/>
    </cacheField>
    <cacheField name="BAT" numFmtId="0">
      <sharedItems containsNonDate="0" containsString="0" containsBlank="1"/>
    </cacheField>
    <cacheField name="Test Press" numFmtId="0">
      <sharedItems containsString="0" containsBlank="1" containsNumber="1" containsInteger="1" minValue="50" maxValue="50"/>
    </cacheField>
    <cacheField name="transport TP" numFmtId="0">
      <sharedItems containsNonDate="0" containsString="0" containsBlank="1"/>
    </cacheField>
    <cacheField name="Frais de PAO" numFmtId="0">
      <sharedItems containsNonDate="0" containsString="0" containsBlank="1"/>
    </cacheField>
    <cacheField name="Label 4/0" numFmtId="0">
      <sharedItems containsString="0" containsBlank="1" containsNumber="1" containsInteger="1" minValue="54" maxValue="54"/>
    </cacheField>
    <cacheField name="Vinyle Noir" numFmtId="0">
      <sharedItems containsString="0" containsBlank="1" containsNumber="1" minValue="310.5" maxValue="310.5"/>
    </cacheField>
    <cacheField name="Vinyle Couleur" numFmtId="0">
      <sharedItems containsNonDate="0" containsString="0" containsBlank="1"/>
    </cacheField>
    <cacheField name="Sous-pochette blanche" numFmtId="0">
      <sharedItems containsString="0" containsBlank="1" containsNumber="1" containsInteger="1" minValue="30" maxValue="30"/>
    </cacheField>
    <cacheField name="Sous-pochette blanche antistatique" numFmtId="0">
      <sharedItems containsNonDate="0" containsString="0" containsBlank="1"/>
    </cacheField>
    <cacheField name="Pochette simple 4/0 " numFmtId="0">
      <sharedItems containsString="0" containsBlank="1" containsNumber="1" minValue="310.5" maxValue="310.5"/>
    </cacheField>
    <cacheField name="Coupons téléchargement" numFmtId="0">
      <sharedItems containsString="0" containsBlank="1" containsNumber="1" containsInteger="1" minValue="30" maxValue="30"/>
    </cacheField>
    <cacheField name="Cellophane" numFmtId="0">
      <sharedItems containsString="0" containsBlank="1" containsNumber="1" minValue="19.5" maxValue="37.5"/>
    </cacheField>
    <cacheField name="Emballage" numFmtId="0">
      <sharedItems containsString="0" containsBlank="1" containsNumber="1" containsInteger="1" minValue="60" maxValue="60"/>
    </cacheField>
    <cacheField name="Transport" numFmtId="0">
      <sharedItems containsString="0" containsBlank="1" containsNumber="1" minValue="60" maxValue="1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aherault" refreshedDate="45076.506146527776" createdVersion="8" refreshedVersion="8" minRefreshableVersion="3" recordCount="7" xr:uid="{6B4FA235-112D-43AC-BC13-8ED7513CA9E3}">
  <cacheSource type="worksheet">
    <worksheetSource name="tableau300"/>
  </cacheSource>
  <cacheFields count="19">
    <cacheField name="Entreprise" numFmtId="0">
      <sharedItems count="7">
        <s v="LMDV"/>
        <s v="B-SIDE"/>
        <s v="Kuroneko"/>
        <s v="M comme Musique"/>
        <s v="Vinyl de Paris"/>
        <s v="Vinyl Garcia"/>
        <s v="Vinyl record Makers"/>
      </sharedItems>
    </cacheField>
    <cacheField name="Montant Total (sans transport)" numFmtId="0">
      <sharedItems containsSemiMixedTypes="0" containsString="0" containsNumber="1" minValue="1603.3000000000002" maxValue="2893"/>
    </cacheField>
    <cacheField name="Gravure" numFmtId="0">
      <sharedItems containsSemiMixedTypes="0" containsString="0" containsNumber="1" containsInteger="1" minValue="260" maxValue="1677"/>
    </cacheField>
    <cacheField name="Galvanisation" numFmtId="0">
      <sharedItems containsString="0" containsBlank="1" containsNumber="1" containsInteger="1" minValue="237" maxValue="275"/>
    </cacheField>
    <cacheField name="Verification Audio " numFmtId="0">
      <sharedItems containsBlank="1"/>
    </cacheField>
    <cacheField name="BAT" numFmtId="0">
      <sharedItems containsString="0" containsBlank="1" containsNumber="1" containsInteger="1" minValue="12" maxValue="12"/>
    </cacheField>
    <cacheField name="Test Press" numFmtId="0">
      <sharedItems containsBlank="1" containsMixedTypes="1" containsNumber="1" containsInteger="1" minValue="50" maxValue="75"/>
    </cacheField>
    <cacheField name="transport TP" numFmtId="0">
      <sharedItems containsString="0" containsBlank="1" containsNumber="1" containsInteger="1" minValue="35" maxValue="35"/>
    </cacheField>
    <cacheField name="Frais de PAO" numFmtId="0">
      <sharedItems containsString="0" containsBlank="1" containsNumber="1" containsInteger="1" minValue="15" maxValue="15"/>
    </cacheField>
    <cacheField name="Label 4/0" numFmtId="0">
      <sharedItems containsString="0" containsBlank="1" containsNumber="1" minValue="72" maxValue="576.52"/>
    </cacheField>
    <cacheField name="Vinyle Noir" numFmtId="0">
      <sharedItems containsString="0" containsBlank="1" containsNumber="1" minValue="480" maxValue="627"/>
    </cacheField>
    <cacheField name="Vinyle Couleur" numFmtId="0">
      <sharedItems containsString="0" containsBlank="1" containsNumber="1" containsInteger="1" minValue="600" maxValue="807"/>
    </cacheField>
    <cacheField name="Sous-pochette blanche" numFmtId="0">
      <sharedItems containsString="0" containsBlank="1" containsNumber="1" minValue="40.5" maxValue="85.8"/>
    </cacheField>
    <cacheField name="Sous-pochette blanche antistatique" numFmtId="0">
      <sharedItems containsString="0" containsBlank="1" containsNumber="1" containsInteger="1" minValue="48" maxValue="96"/>
    </cacheField>
    <cacheField name="Pochette simple 4/0 " numFmtId="0">
      <sharedItems containsString="0" containsBlank="1" containsNumber="1" minValue="315" maxValue="357.3"/>
    </cacheField>
    <cacheField name="Coupons téléchargement" numFmtId="0">
      <sharedItems containsString="0" containsBlank="1" containsNumber="1" containsInteger="1" minValue="60" maxValue="150"/>
    </cacheField>
    <cacheField name="Cellophane" numFmtId="0">
      <sharedItems containsSemiMixedTypes="0" containsString="0" containsNumber="1" minValue="27" maxValue="81"/>
    </cacheField>
    <cacheField name="Emballage" numFmtId="0">
      <sharedItems containsString="0" containsBlank="1" containsNumber="1" containsInteger="1" minValue="45" maxValue="120"/>
    </cacheField>
    <cacheField name="Transport" numFmtId="0">
      <sharedItems containsMixedTypes="1" containsNumber="1" minValue="90" maxValue="12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aherault" refreshedDate="45076.506716435186" createdVersion="8" refreshedVersion="8" minRefreshableVersion="3" recordCount="7" xr:uid="{8A8E087D-3BC7-4EB6-A5E8-E84346C864B3}">
  <cacheSource type="worksheet">
    <worksheetSource name="tableau500"/>
  </cacheSource>
  <cacheFields count="19">
    <cacheField name="Entreprise" numFmtId="0">
      <sharedItems count="7">
        <s v="LMDV"/>
        <s v="B-SIDE"/>
        <s v="Kuroneko"/>
        <s v="M comme Musique"/>
        <s v="Vinyl de Paris"/>
        <s v="Vinyl Garcia"/>
        <s v="Vinyl record Makers"/>
      </sharedItems>
    </cacheField>
    <cacheField name="Montant Total (sans transport)" numFmtId="0">
      <sharedItems containsSemiMixedTypes="0" containsString="0" containsNumber="1" minValue="2018.5" maxValue="3613"/>
    </cacheField>
    <cacheField name="Gravure" numFmtId="0">
      <sharedItems containsSemiMixedTypes="0" containsString="0" containsNumber="1" containsInteger="1" minValue="260" maxValue="2125"/>
    </cacheField>
    <cacheField name="Galvanisation" numFmtId="0">
      <sharedItems containsString="0" containsBlank="1" containsNumber="1" containsInteger="1" minValue="237" maxValue="275"/>
    </cacheField>
    <cacheField name="Verification Audio " numFmtId="0">
      <sharedItems containsBlank="1" containsMixedTypes="1" containsNumber="1" containsInteger="1" minValue="12" maxValue="12"/>
    </cacheField>
    <cacheField name="BAT" numFmtId="0">
      <sharedItems containsNonDate="0" containsString="0" containsBlank="1"/>
    </cacheField>
    <cacheField name="Test Press" numFmtId="0">
      <sharedItems containsBlank="1" containsMixedTypes="1" containsNumber="1" containsInteger="1" minValue="50" maxValue="75"/>
    </cacheField>
    <cacheField name="transport TP" numFmtId="0">
      <sharedItems containsString="0" containsBlank="1" containsNumber="1" containsInteger="1" minValue="35" maxValue="35"/>
    </cacheField>
    <cacheField name="Frais de PAO" numFmtId="0">
      <sharedItems containsString="0" containsBlank="1" containsNumber="1" containsInteger="1" minValue="15" maxValue="15"/>
    </cacheField>
    <cacheField name="Label 4/0" numFmtId="0">
      <sharedItems containsString="0" containsBlank="1" containsNumber="1" minValue="85" maxValue="665.4"/>
    </cacheField>
    <cacheField name="Vinyle Noir" numFmtId="0">
      <sharedItems containsString="0" containsBlank="1" containsNumber="1" minValue="745" maxValue="1045"/>
    </cacheField>
    <cacheField name="Vinyle Couleur" numFmtId="0">
      <sharedItems containsString="0" containsBlank="1" containsNumber="1" containsInteger="1" minValue="1110" maxValue="1110"/>
    </cacheField>
    <cacheField name="Sous-pochette blanche" numFmtId="0">
      <sharedItems containsString="0" containsBlank="1" containsNumber="1" minValue="67.5" maxValue="143"/>
    </cacheField>
    <cacheField name="Sous-pochette blanche antistatique" numFmtId="0">
      <sharedItems containsString="0" containsBlank="1" containsNumber="1" containsInteger="1" minValue="80" maxValue="80"/>
    </cacheField>
    <cacheField name="Pochette simple 4/0 " numFmtId="0">
      <sharedItems containsString="0" containsBlank="1" containsNumber="1" containsInteger="1" minValue="375" maxValue="570"/>
    </cacheField>
    <cacheField name="Coupons téléchargement" numFmtId="0">
      <sharedItems containsString="0" containsBlank="1" containsNumber="1" containsInteger="1" minValue="100" maxValue="200"/>
    </cacheField>
    <cacheField name="Cellophane" numFmtId="0">
      <sharedItems containsSemiMixedTypes="0" containsString="0" containsNumber="1" minValue="50" maxValue="135"/>
    </cacheField>
    <cacheField name="Emballage" numFmtId="0">
      <sharedItems containsString="0" containsBlank="1" containsNumber="1" containsInteger="1" minValue="54" maxValue="200"/>
    </cacheField>
    <cacheField name="Transport" numFmtId="0">
      <sharedItems containsMixedTypes="1" containsNumber="1" minValue="10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aherault" refreshedDate="45076.507541203704" createdVersion="8" refreshedVersion="8" minRefreshableVersion="3" recordCount="7" xr:uid="{B4DB5F0A-4E97-4731-BD84-02F301F0A019}">
  <cacheSource type="worksheet">
    <worksheetSource name="tableau1000"/>
  </cacheSource>
  <cacheFields count="25">
    <cacheField name="Entreprise" numFmtId="0">
      <sharedItems count="7">
        <s v="LMDV"/>
        <s v="B-SIDE"/>
        <s v="Kuroneko"/>
        <s v="M comme Musique"/>
        <s v="Vinyl de Paris"/>
        <s v="Vinyl Garcia"/>
        <s v="Vinyl record Makers"/>
      </sharedItems>
    </cacheField>
    <cacheField name="Montant Total (sans transport)" numFmtId="0">
      <sharedItems containsSemiMixedTypes="0" containsString="0" containsNumber="1" minValue="0" maxValue="4827"/>
    </cacheField>
    <cacheField name="Gravure" numFmtId="0">
      <sharedItems containsString="0" containsBlank="1" containsNumber="1" containsInteger="1" minValue="260" maxValue="2990"/>
    </cacheField>
    <cacheField name="Galvanisation" numFmtId="0">
      <sharedItems containsString="0" containsBlank="1" containsNumber="1" containsInteger="1" minValue="260" maxValue="322"/>
    </cacheField>
    <cacheField name="Verification Audio " numFmtId="0">
      <sharedItems containsString="0" containsBlank="1" containsNumber="1" containsInteger="1" minValue="0" maxValue="12"/>
    </cacheField>
    <cacheField name="BAT" numFmtId="0">
      <sharedItems containsNonDate="0" containsString="0" containsBlank="1"/>
    </cacheField>
    <cacheField name="Test Press" numFmtId="0">
      <sharedItems containsString="0" containsBlank="1" containsNumber="1" containsInteger="1" minValue="0" maxValue="75"/>
    </cacheField>
    <cacheField name="transport TP" numFmtId="0">
      <sharedItems containsNonDate="0" containsString="0" containsBlank="1"/>
    </cacheField>
    <cacheField name="Frais de PAO" numFmtId="0">
      <sharedItems containsNonDate="0" containsString="0" containsBlank="1"/>
    </cacheField>
    <cacheField name="Label 4/0" numFmtId="0">
      <sharedItems containsString="0" containsBlank="1" containsNumber="1" containsInteger="1" minValue="140" maxValue="200"/>
    </cacheField>
    <cacheField name="Vinyle Noir" numFmtId="0">
      <sharedItems containsString="0" containsBlank="1" containsNumber="1" minValue="1390" maxValue="1917.37"/>
    </cacheField>
    <cacheField name="Vinyle Couleur" numFmtId="0">
      <sharedItems containsNonDate="0" containsString="0" containsBlank="1"/>
    </cacheField>
    <cacheField name="Sous-pochette blanche" numFmtId="0">
      <sharedItems containsString="0" containsBlank="1" containsNumber="1" containsInteger="1" minValue="200" maxValue="200"/>
    </cacheField>
    <cacheField name="Sous-pochette noire" numFmtId="0">
      <sharedItems containsString="0" containsBlank="1" containsNumber="1" minValue="240" maxValue="313.45999999999998"/>
    </cacheField>
    <cacheField name="Sous-pochette blanche antistatique" numFmtId="0">
      <sharedItems containsString="0" containsBlank="1" containsNumber="1" containsInteger="1" minValue="160" maxValue="320"/>
    </cacheField>
    <cacheField name="Pochette simple 4/0 " numFmtId="0">
      <sharedItems containsString="0" containsBlank="1" containsNumber="1" minValue="540" maxValue="970"/>
    </cacheField>
    <cacheField name="Coupons téléchargement" numFmtId="0">
      <sharedItems containsString="0" containsBlank="1" containsNumber="1" containsInteger="1" minValue="200" maxValue="350"/>
    </cacheField>
    <cacheField name="Cellophane" numFmtId="0">
      <sharedItems containsString="0" containsBlank="1" containsNumber="1" minValue="90" maxValue="250"/>
    </cacheField>
    <cacheField name="Emballage" numFmtId="0">
      <sharedItems containsString="0" containsBlank="1" containsNumber="1" minValue="150" maxValue="400"/>
    </cacheField>
    <cacheField name="Transport" numFmtId="0">
      <sharedItems containsBlank="1" containsMixedTypes="1" containsNumber="1" containsInteger="1" minValue="120" maxValue="328"/>
    </cacheField>
    <cacheField name="Colonne1" numFmtId="0">
      <sharedItems containsBlank="1"/>
    </cacheField>
    <cacheField name="Délais" numFmtId="0">
      <sharedItems containsBlank="1" containsMixedTypes="1" containsNumber="1" containsInteger="1" minValue="1" maxValue="1"/>
    </cacheField>
    <cacheField name="Délais de réponse" numFmtId="0">
      <sharedItems containsBlank="1" containsMixedTypes="1" containsNumber="1" containsInteger="1" minValue="7" maxValue="7"/>
    </cacheField>
    <cacheField name="Relance" numFmtId="0">
      <sharedItems containsBlank="1"/>
    </cacheField>
    <cacheField name="App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maherault" refreshedDate="45076.508020601854" createdVersion="8" refreshedVersion="8" minRefreshableVersion="3" recordCount="7" xr:uid="{9BD471F6-21DF-447F-9D07-A414A85157AC}">
  <cacheSource type="worksheet">
    <worksheetSource name="tableau2000"/>
  </cacheSource>
  <cacheFields count="25">
    <cacheField name="Entreprise" numFmtId="0">
      <sharedItems count="7">
        <s v="LMDV"/>
        <s v="B-SIDE"/>
        <s v="Kuroneko"/>
        <s v="M comme Musique"/>
        <s v="Vinyl de Paris"/>
        <s v="Vinyl Garcia"/>
        <s v="Vinyl record Makers"/>
      </sharedItems>
    </cacheField>
    <cacheField name="Montant Total (sans transport)" numFmtId="0">
      <sharedItems containsSemiMixedTypes="0" containsString="0" containsNumber="1" minValue="0" maxValue="8824"/>
    </cacheField>
    <cacheField name="Gravure" numFmtId="0">
      <sharedItems containsString="0" containsBlank="1" containsNumber="1" containsInteger="1" minValue="280" maxValue="5980"/>
    </cacheField>
    <cacheField name="Galvanisation" numFmtId="0">
      <sharedItems containsString="0" containsBlank="1" containsNumber="1" containsInteger="1" minValue="550" maxValue="636"/>
    </cacheField>
    <cacheField name="Verification Audio " numFmtId="0">
      <sharedItems containsString="0" containsBlank="1" containsNumber="1" containsInteger="1" minValue="0" maxValue="0"/>
    </cacheField>
    <cacheField name="BAT" numFmtId="0">
      <sharedItems containsNonDate="0" containsString="0" containsBlank="1"/>
    </cacheField>
    <cacheField name="Test Press" numFmtId="0">
      <sharedItems containsString="0" containsBlank="1" containsNumber="1" containsInteger="1" minValue="0" maxValue="75"/>
    </cacheField>
    <cacheField name="transport TP" numFmtId="0">
      <sharedItems containsNonDate="0" containsString="0" containsBlank="1"/>
    </cacheField>
    <cacheField name="Frais de PAO" numFmtId="0">
      <sharedItems containsNonDate="0" containsString="0" containsBlank="1"/>
    </cacheField>
    <cacheField name="Label 4/0" numFmtId="0">
      <sharedItems containsString="0" containsBlank="1" containsNumber="1" containsInteger="1" minValue="200" maxValue="900"/>
    </cacheField>
    <cacheField name="Vinyle Noir" numFmtId="0">
      <sharedItems containsString="0" containsBlank="1" containsNumber="1" minValue="2380" maxValue="3834.74"/>
    </cacheField>
    <cacheField name="Vinyle Couleur" numFmtId="0">
      <sharedItems containsNonDate="0" containsString="0" containsBlank="1"/>
    </cacheField>
    <cacheField name="Sous-pochette blanche" numFmtId="0">
      <sharedItems containsString="0" containsBlank="1" containsNumber="1" containsInteger="1" minValue="400" maxValue="400"/>
    </cacheField>
    <cacheField name="Sous-pochette noire" numFmtId="0">
      <sharedItems containsString="0" containsBlank="1" containsNumber="1" minValue="480" maxValue="626.91999999999996"/>
    </cacheField>
    <cacheField name="Sous-pochette blanche antistatique" numFmtId="0">
      <sharedItems containsString="0" containsBlank="1" containsNumber="1" containsInteger="1" minValue="320" maxValue="640"/>
    </cacheField>
    <cacheField name="Pochette simple 4/0 " numFmtId="0">
      <sharedItems containsString="0" containsBlank="1" containsNumber="1" minValue="680" maxValue="1880"/>
    </cacheField>
    <cacheField name="Coupons téléchargement" numFmtId="0">
      <sharedItems containsString="0" containsBlank="1" containsNumber="1" containsInteger="1" minValue="400" maxValue="400"/>
    </cacheField>
    <cacheField name="Cellophane" numFmtId="0">
      <sharedItems containsString="0" containsBlank="1" containsNumber="1" minValue="200" maxValue="540"/>
    </cacheField>
    <cacheField name="Emballage" numFmtId="0">
      <sharedItems containsString="0" containsBlank="1" containsNumber="1" containsInteger="1" minValue="300" maxValue="800"/>
    </cacheField>
    <cacheField name="Transport" numFmtId="0">
      <sharedItems containsBlank="1" containsMixedTypes="1" containsNumber="1" minValue="240" maxValue="575.74"/>
    </cacheField>
    <cacheField name="Colonne1" numFmtId="0">
      <sharedItems containsBlank="1"/>
    </cacheField>
    <cacheField name="Délais" numFmtId="0">
      <sharedItems containsBlank="1" containsMixedTypes="1" containsNumber="1" containsInteger="1" minValue="1" maxValue="1"/>
    </cacheField>
    <cacheField name="Délais de réponse" numFmtId="0">
      <sharedItems containsBlank="1" containsMixedTypes="1" containsNumber="1" containsInteger="1" minValue="7" maxValue="7"/>
    </cacheField>
    <cacheField name="Relance" numFmtId="0">
      <sharedItems containsBlank="1"/>
    </cacheField>
    <cacheField name="App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469.5"/>
    <n v="312"/>
    <n v="275"/>
    <m/>
    <m/>
    <n v="50"/>
    <m/>
    <m/>
    <n v="54"/>
    <n v="310.5"/>
    <m/>
    <n v="30"/>
    <m/>
    <n v="310.5"/>
    <n v="30"/>
    <n v="37.5"/>
    <n v="60"/>
    <n v="60"/>
  </r>
  <r>
    <x v="1"/>
    <n v="0"/>
    <m/>
    <m/>
    <m/>
    <m/>
    <m/>
    <m/>
    <m/>
    <m/>
    <m/>
    <m/>
    <m/>
    <m/>
    <m/>
    <m/>
    <m/>
    <m/>
    <m/>
  </r>
  <r>
    <x v="2"/>
    <n v="0"/>
    <m/>
    <m/>
    <m/>
    <m/>
    <m/>
    <m/>
    <m/>
    <m/>
    <m/>
    <m/>
    <m/>
    <m/>
    <m/>
    <m/>
    <m/>
    <m/>
    <m/>
  </r>
  <r>
    <x v="3"/>
    <n v="0"/>
    <m/>
    <m/>
    <m/>
    <m/>
    <m/>
    <m/>
    <m/>
    <m/>
    <m/>
    <m/>
    <m/>
    <m/>
    <m/>
    <m/>
    <m/>
    <m/>
    <m/>
  </r>
  <r>
    <x v="4"/>
    <n v="1818"/>
    <n v="1798.5"/>
    <m/>
    <m/>
    <m/>
    <m/>
    <m/>
    <m/>
    <m/>
    <m/>
    <m/>
    <m/>
    <m/>
    <m/>
    <m/>
    <n v="19.5"/>
    <m/>
    <n v="103.5"/>
  </r>
  <r>
    <x v="5"/>
    <n v="0"/>
    <m/>
    <m/>
    <m/>
    <m/>
    <m/>
    <m/>
    <m/>
    <m/>
    <m/>
    <m/>
    <m/>
    <m/>
    <m/>
    <m/>
    <m/>
    <m/>
    <m/>
  </r>
  <r>
    <x v="6"/>
    <n v="0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893"/>
    <n v="312"/>
    <n v="275"/>
    <m/>
    <m/>
    <n v="50"/>
    <m/>
    <m/>
    <n v="72"/>
    <n v="627"/>
    <n v="807"/>
    <n v="60"/>
    <n v="96"/>
    <n v="338.99999999999994"/>
    <n v="60"/>
    <n v="75"/>
    <n v="120"/>
    <n v="90"/>
  </r>
  <r>
    <x v="1"/>
    <n v="2564.3000000000002"/>
    <n v="564"/>
    <m/>
    <m/>
    <m/>
    <n v="59"/>
    <m/>
    <m/>
    <n v="114"/>
    <n v="480"/>
    <n v="699"/>
    <n v="60"/>
    <m/>
    <n v="357.3"/>
    <n v="150"/>
    <n v="81"/>
    <m/>
    <s v="non inclus "/>
  </r>
  <r>
    <x v="2"/>
    <n v="1603.3000000000002"/>
    <n v="399"/>
    <m/>
    <m/>
    <m/>
    <n v="50"/>
    <n v="35"/>
    <n v="15"/>
    <n v="72"/>
    <n v="559.80000000000007"/>
    <m/>
    <n v="40.5"/>
    <m/>
    <n v="336.00000000000006"/>
    <m/>
    <n v="42.000000000000007"/>
    <n v="54"/>
    <s v="non inclus "/>
  </r>
  <r>
    <x v="3"/>
    <n v="1778"/>
    <n v="350"/>
    <n v="237"/>
    <m/>
    <n v="12"/>
    <n v="75"/>
    <m/>
    <m/>
    <n v="90"/>
    <n v="579"/>
    <m/>
    <m/>
    <n v="48"/>
    <n v="315"/>
    <m/>
    <n v="27"/>
    <n v="45"/>
    <n v="90"/>
  </r>
  <r>
    <x v="4"/>
    <n v="1716"/>
    <n v="1677"/>
    <m/>
    <m/>
    <m/>
    <m/>
    <m/>
    <m/>
    <m/>
    <m/>
    <m/>
    <m/>
    <m/>
    <m/>
    <m/>
    <n v="39"/>
    <m/>
    <n v="90"/>
  </r>
  <r>
    <x v="5"/>
    <n v="1852.6599999999999"/>
    <n v="535"/>
    <m/>
    <s v="OFFERT"/>
    <m/>
    <s v="OFFERT"/>
    <m/>
    <m/>
    <n v="576.52"/>
    <n v="598.22"/>
    <m/>
    <n v="85.8"/>
    <m/>
    <m/>
    <m/>
    <n v="57.12"/>
    <m/>
    <n v="120.6"/>
  </r>
  <r>
    <x v="6"/>
    <n v="1767"/>
    <n v="260"/>
    <n v="260"/>
    <m/>
    <m/>
    <n v="50"/>
    <m/>
    <m/>
    <n v="87"/>
    <m/>
    <n v="600"/>
    <n v="60"/>
    <m/>
    <n v="351"/>
    <m/>
    <n v="45"/>
    <n v="54"/>
    <n v="1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667"/>
    <n v="312"/>
    <n v="275"/>
    <m/>
    <m/>
    <n v="50"/>
    <m/>
    <m/>
    <n v="85"/>
    <n v="1045"/>
    <m/>
    <n v="100"/>
    <m/>
    <n v="375"/>
    <n v="100"/>
    <n v="125"/>
    <n v="200"/>
    <s v="non inclus"/>
  </r>
  <r>
    <x v="1"/>
    <n v="3613"/>
    <n v="564"/>
    <m/>
    <m/>
    <m/>
    <n v="59"/>
    <m/>
    <m/>
    <n v="130"/>
    <n v="745"/>
    <n v="1110"/>
    <n v="100"/>
    <m/>
    <n v="570"/>
    <n v="200"/>
    <n v="135"/>
    <m/>
    <s v="non inclus"/>
  </r>
  <r>
    <x v="2"/>
    <n v="2018.5"/>
    <n v="399"/>
    <m/>
    <m/>
    <m/>
    <n v="50"/>
    <n v="35"/>
    <n v="15"/>
    <n v="100"/>
    <n v="812"/>
    <m/>
    <n v="67.5"/>
    <m/>
    <n v="380"/>
    <m/>
    <n v="70"/>
    <n v="90"/>
    <s v="non inclus"/>
  </r>
  <r>
    <x v="3"/>
    <n v="2339"/>
    <n v="350"/>
    <n v="237"/>
    <n v="12"/>
    <m/>
    <n v="75"/>
    <m/>
    <m/>
    <n v="130"/>
    <n v="850"/>
    <m/>
    <m/>
    <n v="80"/>
    <n v="480"/>
    <m/>
    <n v="50"/>
    <n v="75"/>
    <n v="250"/>
  </r>
  <r>
    <x v="4"/>
    <n v="2190"/>
    <n v="2125"/>
    <m/>
    <m/>
    <m/>
    <m/>
    <m/>
    <m/>
    <m/>
    <m/>
    <m/>
    <m/>
    <m/>
    <m/>
    <m/>
    <n v="65"/>
    <m/>
    <n v="105"/>
  </r>
  <r>
    <x v="5"/>
    <n v="2565.63"/>
    <n v="665"/>
    <m/>
    <s v="OFFERT"/>
    <m/>
    <s v="OFFERT"/>
    <m/>
    <m/>
    <n v="665.4"/>
    <n v="997.03"/>
    <m/>
    <n v="143"/>
    <m/>
    <m/>
    <m/>
    <n v="95.2"/>
    <m/>
    <n v="185.34"/>
  </r>
  <r>
    <x v="6"/>
    <n v="2349"/>
    <n v="260"/>
    <n v="260"/>
    <m/>
    <m/>
    <n v="50"/>
    <m/>
    <m/>
    <n v="115"/>
    <n v="925"/>
    <m/>
    <n v="100"/>
    <m/>
    <n v="510"/>
    <m/>
    <n v="75"/>
    <n v="54"/>
    <n v="1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827"/>
    <n v="312"/>
    <n v="275"/>
    <m/>
    <m/>
    <n v="50"/>
    <m/>
    <m/>
    <n v="140"/>
    <n v="1900"/>
    <m/>
    <n v="200"/>
    <n v="240"/>
    <n v="320"/>
    <n v="540"/>
    <n v="200"/>
    <n v="250"/>
    <n v="400"/>
    <s v="non inclus"/>
    <m/>
    <s v="10/12 sem"/>
    <s v="Dans la journée"/>
    <m/>
    <s v="OUI"/>
  </r>
  <r>
    <x v="1"/>
    <n v="3733"/>
    <n v="564"/>
    <m/>
    <m/>
    <m/>
    <n v="59"/>
    <m/>
    <m/>
    <n v="200"/>
    <n v="1390"/>
    <m/>
    <n v="200"/>
    <m/>
    <m/>
    <n v="970"/>
    <n v="350"/>
    <m/>
    <m/>
    <s v="non inclus"/>
    <m/>
    <m/>
    <s v="Dans la journée"/>
    <m/>
    <s v="OUI"/>
  </r>
  <r>
    <x v="2"/>
    <n v="0"/>
    <m/>
    <m/>
    <m/>
    <m/>
    <m/>
    <m/>
    <m/>
    <m/>
    <m/>
    <m/>
    <m/>
    <m/>
    <m/>
    <m/>
    <m/>
    <m/>
    <m/>
    <m/>
    <m/>
    <s v="8/10 sem"/>
    <s v="Dans la journée"/>
    <m/>
    <s v="NON"/>
  </r>
  <r>
    <x v="3"/>
    <n v="3889"/>
    <n v="350"/>
    <n v="322"/>
    <n v="12"/>
    <m/>
    <n v="75"/>
    <m/>
    <m/>
    <n v="190"/>
    <n v="1780"/>
    <m/>
    <m/>
    <m/>
    <n v="160"/>
    <n v="760"/>
    <m/>
    <n v="90"/>
    <n v="150"/>
    <n v="220"/>
    <m/>
    <m/>
    <s v="Dans la journée"/>
    <s v="OUI (1sem après)"/>
    <s v="NON"/>
  </r>
  <r>
    <x v="4"/>
    <n v="3120"/>
    <n v="2990"/>
    <m/>
    <m/>
    <m/>
    <m/>
    <m/>
    <m/>
    <m/>
    <m/>
    <m/>
    <m/>
    <m/>
    <m/>
    <m/>
    <m/>
    <n v="130"/>
    <m/>
    <n v="120"/>
    <s v="6 sem"/>
    <n v="1"/>
    <m/>
    <s v="OUI"/>
    <m/>
  </r>
  <r>
    <x v="5"/>
    <n v="4260.99"/>
    <n v="665"/>
    <m/>
    <n v="0"/>
    <m/>
    <n v="0"/>
    <m/>
    <m/>
    <m/>
    <n v="1917.37"/>
    <m/>
    <m/>
    <n v="313.45999999999998"/>
    <m/>
    <n v="871.79"/>
    <m/>
    <n v="183.08"/>
    <n v="310.29000000000002"/>
    <m/>
    <m/>
    <s v="14 sem"/>
    <n v="7"/>
    <m/>
    <s v="OUI"/>
  </r>
  <r>
    <x v="6"/>
    <n v="3620"/>
    <n v="260"/>
    <n v="260"/>
    <m/>
    <m/>
    <n v="50"/>
    <m/>
    <m/>
    <n v="170"/>
    <n v="1550"/>
    <m/>
    <n v="200"/>
    <m/>
    <m/>
    <n v="800"/>
    <m/>
    <n v="150"/>
    <n v="180"/>
    <n v="328"/>
    <m/>
    <s v="15/17 sem"/>
    <s v="Dans la journée"/>
    <m/>
    <s v="NON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8824"/>
    <n v="624"/>
    <n v="550"/>
    <m/>
    <m/>
    <n v="50"/>
    <m/>
    <m/>
    <n v="200"/>
    <n v="3500"/>
    <m/>
    <n v="400"/>
    <n v="480"/>
    <n v="640"/>
    <n v="680"/>
    <n v="400"/>
    <n v="500"/>
    <n v="800"/>
    <s v="non inclus"/>
    <m/>
    <s v="10/12 sem"/>
    <s v="Dans la journée"/>
    <m/>
    <s v="OUI"/>
  </r>
  <r>
    <x v="1"/>
    <n v="6183"/>
    <n v="564"/>
    <m/>
    <m/>
    <m/>
    <n v="59"/>
    <m/>
    <m/>
    <n v="360"/>
    <n v="2380"/>
    <m/>
    <n v="400"/>
    <m/>
    <m/>
    <n v="1880"/>
    <m/>
    <n v="540"/>
    <m/>
    <s v="non inclus"/>
    <m/>
    <m/>
    <s v="Dans la journée"/>
    <m/>
    <s v="OUI"/>
  </r>
  <r>
    <x v="2"/>
    <n v="0"/>
    <m/>
    <m/>
    <m/>
    <m/>
    <m/>
    <m/>
    <m/>
    <m/>
    <m/>
    <m/>
    <m/>
    <m/>
    <m/>
    <m/>
    <m/>
    <m/>
    <m/>
    <m/>
    <m/>
    <s v="8/10 sem"/>
    <s v="Dans la journée"/>
    <m/>
    <s v="NON"/>
  </r>
  <r>
    <x v="3"/>
    <n v="7171"/>
    <n v="280"/>
    <n v="636"/>
    <m/>
    <m/>
    <n v="75"/>
    <m/>
    <m/>
    <n v="900"/>
    <n v="3060"/>
    <m/>
    <m/>
    <m/>
    <n v="320"/>
    <n v="1400"/>
    <m/>
    <n v="200"/>
    <n v="300"/>
    <n v="275"/>
    <m/>
    <m/>
    <s v="5 jours"/>
    <s v="OUI (1sem après)"/>
    <s v="NON"/>
  </r>
  <r>
    <x v="4"/>
    <n v="6240"/>
    <n v="5980"/>
    <m/>
    <m/>
    <m/>
    <m/>
    <m/>
    <m/>
    <m/>
    <m/>
    <m/>
    <m/>
    <m/>
    <m/>
    <m/>
    <m/>
    <n v="260"/>
    <m/>
    <n v="240"/>
    <s v="6 sem"/>
    <n v="1"/>
    <m/>
    <s v="OUI"/>
    <m/>
  </r>
  <r>
    <x v="5"/>
    <n v="7078.9"/>
    <n v="795"/>
    <m/>
    <n v="0"/>
    <m/>
    <n v="0"/>
    <m/>
    <m/>
    <m/>
    <n v="3834.74"/>
    <m/>
    <m/>
    <n v="626.91999999999996"/>
    <m/>
    <n v="1456.08"/>
    <m/>
    <n v="366.16"/>
    <m/>
    <n v="575.74"/>
    <m/>
    <s v="14 sem"/>
    <n v="7"/>
    <m/>
    <s v="OUI"/>
  </r>
  <r>
    <x v="6"/>
    <n v="0"/>
    <m/>
    <m/>
    <m/>
    <m/>
    <m/>
    <m/>
    <m/>
    <m/>
    <m/>
    <m/>
    <m/>
    <m/>
    <m/>
    <m/>
    <m/>
    <m/>
    <m/>
    <m/>
    <m/>
    <s v="15/17 sem"/>
    <s v="Dans la journée"/>
    <m/>
    <s v="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D0A3A-6DE1-4C2F-B8AB-94FAF2BF52BA}" name="Tableau croisé dynamique5" cacheId="4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6" rowHeaderCaption="Entreprise (2000)">
  <location ref="R3:S10" firstHeaderRow="1" firstDataRow="1" firstDataCol="1"/>
  <pivotFields count="25">
    <pivotField axis="axisRow" showAll="0" sortType="a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6"/>
    </i>
    <i>
      <x v="1"/>
    </i>
    <i>
      <x/>
    </i>
    <i>
      <x v="4"/>
    </i>
    <i>
      <x v="5"/>
    </i>
    <i>
      <x v="3"/>
    </i>
    <i>
      <x v="2"/>
    </i>
  </rowItems>
  <colItems count="1">
    <i/>
  </colItems>
  <dataFields count="1">
    <dataField name="Montant Total (sans le transport)" fld="1" baseField="0" baseItem="0" numFmtId="16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1F3AD-CA92-4A02-880B-FD0BF14A7ADD}" name="Tableau croisé dynamique4" cacheId="3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6" rowHeaderCaption="Entreprise (1000)">
  <location ref="N3:O10" firstHeaderRow="1" firstDataRow="1" firstDataCol="1"/>
  <pivotFields count="25">
    <pivotField axis="axisRow" showAll="0" sortType="a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"/>
    </i>
    <i>
      <x v="4"/>
    </i>
    <i>
      <x v="6"/>
    </i>
    <i>
      <x/>
    </i>
    <i>
      <x v="3"/>
    </i>
    <i>
      <x v="5"/>
    </i>
    <i>
      <x v="2"/>
    </i>
  </rowItems>
  <colItems count="1">
    <i/>
  </colItems>
  <dataFields count="1">
    <dataField name="Montant Total (sans le transport)" fld="1" baseField="0" baseItem="0" numFmtId="164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3B07C-9EA0-4393-B770-A1A08FC73873}" name="Tableau croisé dynamique3" cacheId="2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4" rowHeaderCaption="Entreprise (500)">
  <location ref="J3:K10" firstHeaderRow="1" firstDataRow="1" firstDataCol="1"/>
  <pivotFields count="19">
    <pivotField axis="axisRow" showAll="0" sortType="a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"/>
    </i>
    <i>
      <x v="4"/>
    </i>
    <i>
      <x v="3"/>
    </i>
    <i>
      <x v="6"/>
    </i>
    <i>
      <x v="5"/>
    </i>
    <i>
      <x v="2"/>
    </i>
    <i>
      <x/>
    </i>
  </rowItems>
  <colItems count="1">
    <i/>
  </colItems>
  <dataFields count="1">
    <dataField name="Montant Total (sans le transport)" fld="1" baseField="0" baseItem="0" numFmtId="164"/>
  </dataFields>
  <formats count="1"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42A0-EDD5-474F-B9AA-91C5434367F5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3" rowHeaderCaption="Entreprise (300)">
  <location ref="F3:G10" firstHeaderRow="1" firstDataRow="1" firstDataCol="1"/>
  <pivotFields count="19">
    <pivotField axis="axisRow" showAll="0" sortType="a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"/>
    </i>
    <i>
      <x v="4"/>
    </i>
    <i>
      <x v="6"/>
    </i>
    <i>
      <x v="3"/>
    </i>
    <i>
      <x v="5"/>
    </i>
    <i>
      <x/>
    </i>
    <i>
      <x v="2"/>
    </i>
  </rowItems>
  <colItems count="1">
    <i/>
  </colItems>
  <dataFields count="1">
    <dataField name="Montant Total (sans le transport)" fld="1" baseField="0" baseItem="0" numFmtId="164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F936A-173D-46C9-BDFD-A0C608E748F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rowGrandTotals="0" itemPrintTitles="1" createdVersion="8" indent="0" outline="1" outlineData="1" multipleFieldFilters="0" chartFormat="3" rowHeaderCaption="Entreprise (150)">
  <location ref="B3:C10" firstHeaderRow="1" firstDataRow="1" firstDataCol="1"/>
  <pivotFields count="19">
    <pivotField axis="axisRow" showAll="0" sortType="a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3"/>
    </i>
    <i>
      <x/>
    </i>
    <i>
      <x v="1"/>
    </i>
    <i>
      <x v="5"/>
    </i>
    <i>
      <x v="6"/>
    </i>
    <i>
      <x v="2"/>
    </i>
    <i>
      <x v="4"/>
    </i>
  </rowItems>
  <colItems count="1">
    <i/>
  </colItems>
  <dataFields count="1">
    <dataField name="Montant Total (sans le transport)" fld="1" baseField="0" baseItem="0" numFmtId="164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3350A-F7CA-4E84-B1AC-01E71BE469AD}" name="Tableau150" displayName="Tableau150" ref="A1:S8" totalsRowShown="0" headerRowDxfId="19">
  <autoFilter ref="A1:S8" xr:uid="{BBD3350A-F7CA-4E84-B1AC-01E71BE469AD}"/>
  <tableColumns count="19">
    <tableColumn id="1" xr3:uid="{A1A487EC-D5E2-45C3-A45D-530335B71CA8}" name="Entreprise" dataDxfId="18"/>
    <tableColumn id="2" xr3:uid="{AD27A504-B827-4B9F-B5A0-34C8FDCE45BF}" name="Montant Total (sans transport)" dataDxfId="17">
      <calculatedColumnFormula>SUM(C2:R2)</calculatedColumnFormula>
    </tableColumn>
    <tableColumn id="3" xr3:uid="{41291410-2703-4903-8BC7-71685D477D4F}" name="Gravure"/>
    <tableColumn id="4" xr3:uid="{6228EC4B-396C-4DE6-9FD5-CECC8FE7D962}" name="Galvanisation"/>
    <tableColumn id="5" xr3:uid="{819B0DC3-B75B-4038-BE2D-7501A167DE5D}" name="Verification Audio "/>
    <tableColumn id="6" xr3:uid="{336331C7-0FC1-4B1D-83CD-C3E9C1BAB937}" name="BAT"/>
    <tableColumn id="7" xr3:uid="{79DE58E7-B5C5-4DC9-86BF-E795D726E93C}" name="Test Press"/>
    <tableColumn id="8" xr3:uid="{7FE7E55A-6BDD-48BE-9128-8C5A4C0F05D1}" name="transport TP"/>
    <tableColumn id="9" xr3:uid="{E9BEE903-DD2F-4CBD-804D-106453C12476}" name="Frais de PAO"/>
    <tableColumn id="10" xr3:uid="{97121098-3B37-49CF-83E6-ACF49BCD3D1B}" name="Label 4/0"/>
    <tableColumn id="11" xr3:uid="{0264657F-28BE-4103-97D5-225A1A7A666D}" name="Vinyle Noir"/>
    <tableColumn id="12" xr3:uid="{61B1050D-0DA9-4C3F-89A8-E97C35275A13}" name="Vinyle Couleur"/>
    <tableColumn id="13" xr3:uid="{A92153CD-28E8-45D1-B2EB-EFC12FDEE8DE}" name="Sous-pochette blanche"/>
    <tableColumn id="14" xr3:uid="{E2AAD368-B7DE-45BF-A2D9-20B0565CF73D}" name="Sous-pochette blanche antistatique"/>
    <tableColumn id="15" xr3:uid="{06039DFE-9CE7-45BA-9316-EE74AA140B4D}" name="Pochette simple 4/0 "/>
    <tableColumn id="16" xr3:uid="{4BB9690B-A97D-4E93-AE4B-91019BE1C725}" name="Coupons téléchargement"/>
    <tableColumn id="17" xr3:uid="{1BFFDFB1-3268-430E-902F-2E917E4C306B}" name="Cellophane"/>
    <tableColumn id="18" xr3:uid="{C9929835-9C03-4584-8810-E6B3614A3008}" name="Emballage"/>
    <tableColumn id="19" xr3:uid="{D96CC435-6693-4ED0-874B-14FF2AA75D77}" name="Trans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94F17D-83A4-4CC3-953B-C71DB25D12E8}" name="Tableau300" displayName="Tableau300" ref="A1:S8" totalsRowShown="0" headerRowDxfId="16">
  <autoFilter ref="A1:S8" xr:uid="{8A94F17D-83A4-4CC3-953B-C71DB25D12E8}"/>
  <tableColumns count="19">
    <tableColumn id="1" xr3:uid="{D7BAC4E0-7A98-4BF9-A357-28D246558112}" name="Entreprise" dataDxfId="15"/>
    <tableColumn id="2" xr3:uid="{ED59CCF6-0A62-4B1F-BFB5-27FF0BEA5ED0}" name="Montant Total (sans transport)" dataDxfId="14">
      <calculatedColumnFormula>SUM(C2:R2)</calculatedColumnFormula>
    </tableColumn>
    <tableColumn id="3" xr3:uid="{B657D892-FD69-4678-8BA0-0824779EF7A6}" name="Gravure"/>
    <tableColumn id="4" xr3:uid="{3FC9EF0D-51AA-47FE-832B-1EEF7DC27D43}" name="Galvanisation"/>
    <tableColumn id="5" xr3:uid="{7190313F-B364-4A5E-A8D2-D23A79A44917}" name="Verification Audio "/>
    <tableColumn id="6" xr3:uid="{2AAC698B-667F-4853-82EB-DF8ED44A0624}" name="BAT"/>
    <tableColumn id="7" xr3:uid="{386351AB-7364-4133-AA16-E4DC03A0A87F}" name="Test Press"/>
    <tableColumn id="8" xr3:uid="{2405AA2D-2976-47CC-82C3-34079156CFC7}" name="transport TP"/>
    <tableColumn id="9" xr3:uid="{DD72F072-4F5F-42B9-942B-D793E5CD27FE}" name="Frais de PAO"/>
    <tableColumn id="10" xr3:uid="{DED59E6E-390F-46D0-97B8-D0480959E01B}" name="Label 4/0"/>
    <tableColumn id="11" xr3:uid="{9F599BB8-F4B0-41D8-8AE1-5DF6BA40102D}" name="Vinyle Noir"/>
    <tableColumn id="12" xr3:uid="{27482890-7EA1-4296-AC75-C294432F9BE1}" name="Vinyle Couleur"/>
    <tableColumn id="13" xr3:uid="{AB19472D-A7C3-42EF-85F5-60429AA38190}" name="Sous-pochette blanche"/>
    <tableColumn id="14" xr3:uid="{D5226A59-11A7-4A71-A093-007E5AC2E068}" name="Sous-pochette blanche antistatique"/>
    <tableColumn id="15" xr3:uid="{874D3C2F-69A8-48E9-B073-7C14A77E37D8}" name="Pochette simple 4/0 "/>
    <tableColumn id="16" xr3:uid="{1EC2CBE8-B762-49E3-AE16-302A750E189A}" name="Coupons téléchargement"/>
    <tableColumn id="17" xr3:uid="{3BBC514D-2461-4105-B278-313B30D573B4}" name="Cellophane"/>
    <tableColumn id="18" xr3:uid="{0A5AF0C1-60BD-414D-9D61-445727DB09B6}" name="Emballage"/>
    <tableColumn id="19" xr3:uid="{0C554E35-201D-458F-AB24-60C45151D37D}" name="Transp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B6555-C911-434A-9E72-68EE0629A9B9}" name="Tableau500" displayName="Tableau500" ref="A1:S8" totalsRowShown="0" headerRowDxfId="13">
  <autoFilter ref="A1:S8" xr:uid="{872B6555-C911-434A-9E72-68EE0629A9B9}"/>
  <tableColumns count="19">
    <tableColumn id="1" xr3:uid="{105625C4-5B2F-4183-A2CF-7A9CCBA85741}" name="Entreprise" dataDxfId="12"/>
    <tableColumn id="2" xr3:uid="{104FC239-91E1-4541-A1DC-C5A1F61B46CF}" name="Montant Total (sans transport)" dataDxfId="11">
      <calculatedColumnFormula>SUM(C2:R2)</calculatedColumnFormula>
    </tableColumn>
    <tableColumn id="3" xr3:uid="{531A6928-7921-4DE5-AD18-ADAAA98BF5CD}" name="Gravure"/>
    <tableColumn id="4" xr3:uid="{FC6E5A0A-B448-4116-B595-8773CD0B454A}" name="Galvanisation"/>
    <tableColumn id="5" xr3:uid="{9522994F-90C2-4F4D-A464-51F487E1DAF5}" name="Verification Audio "/>
    <tableColumn id="6" xr3:uid="{9563E673-2A46-4917-9FE4-4B3F72C395C1}" name="BAT"/>
    <tableColumn id="7" xr3:uid="{2844C1B4-455E-4F86-9F91-BD70295343C1}" name="Test Press"/>
    <tableColumn id="8" xr3:uid="{191E50BF-754E-4F7F-97F3-357D52DE075D}" name="transport TP"/>
    <tableColumn id="9" xr3:uid="{6EDC34A4-8628-4CDE-9700-3DC38741E372}" name="Frais de PAO"/>
    <tableColumn id="10" xr3:uid="{00533F40-A509-4B9E-9005-2D4C39BBE17A}" name="Label 4/0"/>
    <tableColumn id="11" xr3:uid="{38F63973-FD84-4D38-B052-0FB1E4CED576}" name="Vinyle Noir"/>
    <tableColumn id="12" xr3:uid="{ECEA1A70-A03F-4915-96E7-7C98E9EC9E57}" name="Vinyle Couleur"/>
    <tableColumn id="13" xr3:uid="{29929ED6-2F88-4786-84C8-5319F29A467B}" name="Sous-pochette blanche"/>
    <tableColumn id="14" xr3:uid="{BF7B2DD1-C09E-4ACB-9D1E-DC36EDD9AC92}" name="Sous-pochette blanche antistatique"/>
    <tableColumn id="15" xr3:uid="{40262004-8D34-47E3-8E52-434D389E7E57}" name="Pochette simple 4/0 "/>
    <tableColumn id="16" xr3:uid="{AE4CF155-D820-4FBB-99DC-7C512C8160E6}" name="Coupons téléchargement"/>
    <tableColumn id="17" xr3:uid="{29FA893B-3A70-4035-885A-18B2B9DF64D9}" name="Cellophane"/>
    <tableColumn id="18" xr3:uid="{08C76026-EBEB-4541-96BF-7DAE17B87271}" name="Emballage"/>
    <tableColumn id="19" xr3:uid="{A02D3031-765C-4E3F-8C73-05FC67B10730}" name="Transp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E8DBB7-6FBB-4095-AE05-BB7CAD22583C}" name="Tableau1000" displayName="Tableau1000" ref="A1:Y8" totalsRowShown="0" headerRowDxfId="10">
  <autoFilter ref="A1:Y8" xr:uid="{ACE8DBB7-6FBB-4095-AE05-BB7CAD22583C}"/>
  <tableColumns count="25">
    <tableColumn id="1" xr3:uid="{A47165E4-AFA0-49B8-84B7-981B10904257}" name="Entreprise" dataDxfId="9"/>
    <tableColumn id="2" xr3:uid="{3FAD6ECE-F9D3-4040-BD6D-E4491C19CEE2}" name="Montant Total (sans transport)" dataDxfId="8">
      <calculatedColumnFormula>SUM(C2:S2)</calculatedColumnFormula>
    </tableColumn>
    <tableColumn id="3" xr3:uid="{ECDDC077-5AEF-4B05-8A2F-3705921A895D}" name="Gravure"/>
    <tableColumn id="4" xr3:uid="{C2209843-FB5A-426B-9791-CD223AFC2012}" name="Galvanisation"/>
    <tableColumn id="5" xr3:uid="{8AC2426D-8019-4353-9312-B612438B89D9}" name="Verification Audio "/>
    <tableColumn id="6" xr3:uid="{F74C3AD3-B3F8-45F7-AC6A-21C3DFA21B3E}" name="BAT"/>
    <tableColumn id="7" xr3:uid="{9FCE07A7-7480-4DCA-AB04-A033FC66F107}" name="Test Press"/>
    <tableColumn id="8" xr3:uid="{D1637B15-C136-4A5B-93EF-C4D00B8CA39A}" name="transport TP"/>
    <tableColumn id="9" xr3:uid="{9DADEFA2-70CD-46B2-A4D0-CB828512E334}" name="Frais de PAO"/>
    <tableColumn id="10" xr3:uid="{C3CB29E7-4EDA-49FB-967F-A4D46093B36F}" name="Label 4/0"/>
    <tableColumn id="11" xr3:uid="{95EE84F2-8179-4A5D-98BA-D826892CA832}" name="Vinyle Noir"/>
    <tableColumn id="12" xr3:uid="{59631F1D-FD40-4F2E-A5E6-1E637F7B047A}" name="Vinyle Couleur"/>
    <tableColumn id="13" xr3:uid="{6E34601F-DBB9-4F19-98D7-6681AF6B6661}" name="Sous-pochette blanche"/>
    <tableColumn id="14" xr3:uid="{768CDA72-A754-41A4-92D3-4D070D313EE0}" name="Sous-pochette noire"/>
    <tableColumn id="15" xr3:uid="{0EA66719-860E-4C89-B226-FFCE0AC26107}" name="Sous-pochette blanche antistatique"/>
    <tableColumn id="16" xr3:uid="{806D4D74-3D1A-44AA-9583-0AD98A50D13E}" name="Pochette simple 4/0 "/>
    <tableColumn id="17" xr3:uid="{B8BD0109-25D3-48A3-8FFB-E1CDB6F554FD}" name="Coupons téléchargement"/>
    <tableColumn id="18" xr3:uid="{9C26C2C8-8870-4409-B8B0-50CDABDEA381}" name="Cellophane"/>
    <tableColumn id="19" xr3:uid="{C9C41410-52C5-4A2B-9EE6-5E17EB5C636A}" name="Emballage"/>
    <tableColumn id="20" xr3:uid="{B41F8EF5-B47E-45F8-8970-30DEC0021171}" name="Transport"/>
    <tableColumn id="21" xr3:uid="{B3FA5203-65F4-4511-9386-1C68F6C8D546}" name="Colonne1"/>
    <tableColumn id="22" xr3:uid="{363771C3-3129-4443-BE66-25F7529573D7}" name="Délais"/>
    <tableColumn id="23" xr3:uid="{0C7E7C72-F55D-455D-BBB0-165BF38EF3BA}" name="Délais de réponse"/>
    <tableColumn id="24" xr3:uid="{A15C390F-95DC-45A7-9897-2377D092BD69}" name="Relance"/>
    <tableColumn id="25" xr3:uid="{C1061F80-A122-46CF-8BA5-7D3CA2C6B874}" name="App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E3A1CE-A3FE-4503-8907-CFA1CAABCC97}" name="Tableau2000" displayName="Tableau2000" ref="A1:Y8" totalsRowShown="0" headerRowDxfId="7">
  <autoFilter ref="A1:Y8" xr:uid="{E7E3A1CE-A3FE-4503-8907-CFA1CAABCC97}"/>
  <tableColumns count="25">
    <tableColumn id="1" xr3:uid="{DBDD55A0-C117-4FE3-93A0-DA37130156F6}" name="Entreprise" dataDxfId="6"/>
    <tableColumn id="2" xr3:uid="{1B1C5E27-CDBA-48D9-A7B9-B8467391D249}" name="Montant Total (sans transport)" dataDxfId="5">
      <calculatedColumnFormula>SUM(C2:S2)</calculatedColumnFormula>
    </tableColumn>
    <tableColumn id="3" xr3:uid="{F5D1D66C-72B8-4A39-B581-D80E6A202BDA}" name="Gravure"/>
    <tableColumn id="4" xr3:uid="{548009BE-0F7F-4289-999F-E6FAD9D800AE}" name="Galvanisation"/>
    <tableColumn id="5" xr3:uid="{FD58551E-64DD-4813-A33F-317C27F8313D}" name="Verification Audio "/>
    <tableColumn id="6" xr3:uid="{9DBDCAE7-BF8C-485C-ABB2-684FD4FDD50A}" name="BAT"/>
    <tableColumn id="7" xr3:uid="{387174FF-244E-4D3E-8887-52833490863E}" name="Test Press"/>
    <tableColumn id="8" xr3:uid="{EB30C475-1CF4-40C2-B754-0D7E39D9B44F}" name="transport TP"/>
    <tableColumn id="9" xr3:uid="{FAB9B9EA-1DE6-406E-B781-F64A1F563937}" name="Frais de PAO"/>
    <tableColumn id="10" xr3:uid="{896B7CE4-EEEF-4010-B308-CABD1A317C7B}" name="Label 4/0"/>
    <tableColumn id="11" xr3:uid="{8CBD0B7C-1677-48AB-9C2A-5BF8C232F01A}" name="Vinyle Noir"/>
    <tableColumn id="12" xr3:uid="{1CBBD418-20FF-419F-8AC4-AF0FB65D14E7}" name="Vinyle Couleur"/>
    <tableColumn id="13" xr3:uid="{22E75996-0064-40A6-BCFD-A508A4E6AE9F}" name="Sous-pochette blanche"/>
    <tableColumn id="14" xr3:uid="{6577B259-86F3-4AE2-936E-F7626B48501C}" name="Sous-pochette noire"/>
    <tableColumn id="15" xr3:uid="{6666521B-4749-4B89-82DD-998EF09F877C}" name="Sous-pochette blanche antistatique"/>
    <tableColumn id="16" xr3:uid="{D6BE7C71-1A30-4FFF-8DEB-81AA964AEFFF}" name="Pochette simple 4/0 "/>
    <tableColumn id="17" xr3:uid="{348ACA1A-AF54-4DD2-BA00-34E90354CD8B}" name="Coupons téléchargement"/>
    <tableColumn id="18" xr3:uid="{F6FB26E0-9406-4599-B002-F963B3048BCD}" name="Cellophane"/>
    <tableColumn id="19" xr3:uid="{FDAC357E-EB79-4FDD-AFCF-E3FA28A04B5A}" name="Emballage"/>
    <tableColumn id="20" xr3:uid="{79E38785-3FEF-4D26-84EE-A6A8A47B3C41}" name="Transport"/>
    <tableColumn id="21" xr3:uid="{3B4F4FED-C76F-4E87-B186-D14D43EE07CB}" name="Colonne1"/>
    <tableColumn id="22" xr3:uid="{9A1ABD2A-EF00-48D4-9FB9-1BE6BED53F71}" name="Délais"/>
    <tableColumn id="23" xr3:uid="{E9AC1D6D-BB08-42B0-A306-F2EF148128B0}" name="Délais de réponse"/>
    <tableColumn id="24" xr3:uid="{D87E145A-D52C-423B-9576-AC205D923BF5}" name="Relance"/>
    <tableColumn id="25" xr3:uid="{B0F997C6-AADA-486A-9341-0C396EDF786C}" name="App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1597-A0D8-48A4-AA11-F5D19934179D}">
  <dimension ref="A1:X8"/>
  <sheetViews>
    <sheetView zoomScale="85" zoomScaleNormal="85" workbookViewId="0">
      <selection activeCell="C6" sqref="C6"/>
    </sheetView>
  </sheetViews>
  <sheetFormatPr baseColWidth="10" defaultRowHeight="14.4" x14ac:dyDescent="0.3"/>
  <cols>
    <col min="1" max="1" width="21.6640625" customWidth="1"/>
    <col min="2" max="2" width="30.5546875" customWidth="1"/>
    <col min="4" max="4" width="15" customWidth="1"/>
    <col min="5" max="5" width="19.5546875" customWidth="1"/>
    <col min="7" max="7" width="11.6640625" customWidth="1"/>
    <col min="8" max="9" width="14.109375" customWidth="1"/>
    <col min="11" max="11" width="12.77734375" customWidth="1"/>
    <col min="12" max="12" width="15.77734375" customWidth="1"/>
    <col min="13" max="13" width="23.44140625" customWidth="1"/>
    <col min="14" max="14" width="34.77734375" customWidth="1"/>
    <col min="15" max="15" width="21.33203125" customWidth="1"/>
    <col min="16" max="16" width="25.21875" customWidth="1"/>
    <col min="17" max="17" width="12.77734375" customWidth="1"/>
    <col min="18" max="18" width="12" customWidth="1"/>
    <col min="19" max="19" width="11.6640625" customWidth="1"/>
    <col min="22" max="22" width="17.5546875" customWidth="1"/>
  </cols>
  <sheetData>
    <row r="1" spans="1:24" x14ac:dyDescent="0.3">
      <c r="A1" s="4" t="s">
        <v>44</v>
      </c>
      <c r="B1" s="11" t="s">
        <v>42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4</v>
      </c>
      <c r="H1" s="3" t="s">
        <v>16</v>
      </c>
      <c r="I1" s="3" t="s">
        <v>17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20</v>
      </c>
      <c r="O1" s="3" t="s">
        <v>21</v>
      </c>
      <c r="P1" s="3" t="s">
        <v>13</v>
      </c>
      <c r="Q1" s="3" t="s">
        <v>9</v>
      </c>
      <c r="R1" s="3" t="s">
        <v>10</v>
      </c>
      <c r="S1" s="3" t="s">
        <v>11</v>
      </c>
      <c r="T1" s="3"/>
      <c r="U1" s="3" t="s">
        <v>24</v>
      </c>
      <c r="V1" s="3" t="s">
        <v>31</v>
      </c>
      <c r="W1" s="3" t="s">
        <v>32</v>
      </c>
      <c r="X1" s="3" t="s">
        <v>33</v>
      </c>
    </row>
    <row r="2" spans="1:24" x14ac:dyDescent="0.3">
      <c r="A2" s="4" t="s">
        <v>15</v>
      </c>
      <c r="B2" s="4">
        <f>SUM(C2:R2)</f>
        <v>1469.5</v>
      </c>
      <c r="C2">
        <v>312</v>
      </c>
      <c r="D2">
        <v>275</v>
      </c>
      <c r="G2">
        <v>50</v>
      </c>
      <c r="J2">
        <v>54</v>
      </c>
      <c r="K2">
        <v>310.5</v>
      </c>
      <c r="M2">
        <v>30</v>
      </c>
      <c r="O2">
        <v>310.5</v>
      </c>
      <c r="P2">
        <f>0.2*150</f>
        <v>30</v>
      </c>
      <c r="Q2">
        <v>37.5</v>
      </c>
      <c r="R2">
        <v>60</v>
      </c>
      <c r="S2">
        <v>60</v>
      </c>
      <c r="U2" t="s">
        <v>26</v>
      </c>
      <c r="V2" t="s">
        <v>35</v>
      </c>
      <c r="X2" t="s">
        <v>34</v>
      </c>
    </row>
    <row r="3" spans="1:24" x14ac:dyDescent="0.3">
      <c r="A3" s="4" t="s">
        <v>0</v>
      </c>
      <c r="B3" s="4">
        <f t="shared" ref="B3:B8" si="0">SUM(C3:R3)</f>
        <v>0</v>
      </c>
      <c r="C3" s="7"/>
      <c r="D3" s="7"/>
      <c r="E3" s="7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1"/>
      <c r="T3" s="1"/>
      <c r="U3" s="1"/>
      <c r="V3" t="s">
        <v>35</v>
      </c>
      <c r="X3" t="s">
        <v>34</v>
      </c>
    </row>
    <row r="4" spans="1:24" x14ac:dyDescent="0.3">
      <c r="A4" s="4" t="s">
        <v>14</v>
      </c>
      <c r="B4" s="4">
        <f t="shared" si="0"/>
        <v>0</v>
      </c>
      <c r="C4" s="7"/>
      <c r="D4" s="7"/>
      <c r="S4" s="1"/>
      <c r="U4" t="s">
        <v>29</v>
      </c>
      <c r="V4" t="s">
        <v>35</v>
      </c>
      <c r="X4" t="s">
        <v>36</v>
      </c>
    </row>
    <row r="5" spans="1:24" ht="17.25" customHeight="1" x14ac:dyDescent="0.3">
      <c r="A5" s="5" t="s">
        <v>18</v>
      </c>
      <c r="B5" s="4">
        <f t="shared" si="0"/>
        <v>0</v>
      </c>
      <c r="V5" t="s">
        <v>35</v>
      </c>
      <c r="W5" t="s">
        <v>37</v>
      </c>
      <c r="X5" t="s">
        <v>36</v>
      </c>
    </row>
    <row r="6" spans="1:24" x14ac:dyDescent="0.3">
      <c r="A6" s="4" t="s">
        <v>22</v>
      </c>
      <c r="B6" s="4">
        <f t="shared" si="0"/>
        <v>1818</v>
      </c>
      <c r="C6" s="8">
        <v>1798.5</v>
      </c>
      <c r="D6" s="8"/>
      <c r="G6" s="6"/>
      <c r="J6" s="6"/>
      <c r="K6" s="6"/>
      <c r="M6" s="6"/>
      <c r="O6" s="6"/>
      <c r="Q6">
        <v>19.5</v>
      </c>
      <c r="R6" s="6"/>
      <c r="S6">
        <v>103.5</v>
      </c>
      <c r="U6" t="s">
        <v>30</v>
      </c>
      <c r="V6">
        <f>13-12</f>
        <v>1</v>
      </c>
      <c r="X6" t="s">
        <v>34</v>
      </c>
    </row>
    <row r="7" spans="1:24" x14ac:dyDescent="0.3">
      <c r="A7" s="4" t="s">
        <v>23</v>
      </c>
      <c r="B7" s="4">
        <f t="shared" si="0"/>
        <v>0</v>
      </c>
      <c r="C7" s="9"/>
      <c r="D7" s="9"/>
      <c r="J7" s="6"/>
      <c r="O7" s="6"/>
      <c r="Q7" s="9"/>
      <c r="R7" s="9"/>
      <c r="U7" t="s">
        <v>27</v>
      </c>
      <c r="V7">
        <f>19-12</f>
        <v>7</v>
      </c>
      <c r="X7" t="s">
        <v>34</v>
      </c>
    </row>
    <row r="8" spans="1:24" ht="18.75" customHeight="1" x14ac:dyDescent="0.3">
      <c r="A8" s="5" t="s">
        <v>25</v>
      </c>
      <c r="B8" s="4">
        <f t="shared" si="0"/>
        <v>0</v>
      </c>
      <c r="U8" t="s">
        <v>28</v>
      </c>
      <c r="V8" t="s">
        <v>35</v>
      </c>
      <c r="X8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8656-658B-491F-9875-EF8F5866D353}">
  <dimension ref="A1:X8"/>
  <sheetViews>
    <sheetView zoomScale="85" zoomScaleNormal="85" workbookViewId="0">
      <selection activeCell="L6" sqref="L6"/>
    </sheetView>
  </sheetViews>
  <sheetFormatPr baseColWidth="10" defaultRowHeight="14.4" x14ac:dyDescent="0.3"/>
  <cols>
    <col min="1" max="1" width="21.6640625" customWidth="1"/>
    <col min="2" max="2" width="30.5546875" customWidth="1"/>
    <col min="4" max="4" width="15" customWidth="1"/>
    <col min="5" max="5" width="19.5546875" customWidth="1"/>
    <col min="7" max="7" width="11.6640625" customWidth="1"/>
    <col min="8" max="8" width="14.109375" customWidth="1"/>
    <col min="9" max="9" width="15.21875" customWidth="1"/>
    <col min="10" max="10" width="11.109375" customWidth="1"/>
    <col min="11" max="11" width="12.77734375" customWidth="1"/>
    <col min="12" max="12" width="15.77734375" customWidth="1"/>
    <col min="13" max="13" width="23.44140625" customWidth="1"/>
    <col min="14" max="14" width="34.77734375" customWidth="1"/>
    <col min="15" max="15" width="21.33203125" customWidth="1"/>
    <col min="16" max="16" width="25.21875" customWidth="1"/>
    <col min="17" max="17" width="12.77734375" customWidth="1"/>
    <col min="18" max="18" width="12" customWidth="1"/>
    <col min="19" max="19" width="11.6640625" customWidth="1"/>
    <col min="22" max="22" width="17.5546875" customWidth="1"/>
  </cols>
  <sheetData>
    <row r="1" spans="1:24" x14ac:dyDescent="0.3">
      <c r="A1" s="4" t="s">
        <v>44</v>
      </c>
      <c r="B1" s="11" t="s">
        <v>42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4</v>
      </c>
      <c r="H1" s="3" t="s">
        <v>16</v>
      </c>
      <c r="I1" s="3" t="s">
        <v>17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20</v>
      </c>
      <c r="O1" s="3" t="s">
        <v>21</v>
      </c>
      <c r="P1" s="3" t="s">
        <v>13</v>
      </c>
      <c r="Q1" s="3" t="s">
        <v>9</v>
      </c>
      <c r="R1" s="3" t="s">
        <v>10</v>
      </c>
      <c r="S1" s="3" t="s">
        <v>11</v>
      </c>
      <c r="T1" s="3"/>
      <c r="U1" s="3" t="s">
        <v>24</v>
      </c>
      <c r="V1" s="3" t="s">
        <v>31</v>
      </c>
      <c r="W1" s="3" t="s">
        <v>32</v>
      </c>
      <c r="X1" s="3" t="s">
        <v>33</v>
      </c>
    </row>
    <row r="2" spans="1:24" x14ac:dyDescent="0.3">
      <c r="A2" s="4" t="s">
        <v>15</v>
      </c>
      <c r="B2" s="7">
        <f t="shared" ref="B2:B8" si="0">SUM(C2:R2)</f>
        <v>2893</v>
      </c>
      <c r="C2">
        <v>312</v>
      </c>
      <c r="D2">
        <v>275</v>
      </c>
      <c r="G2">
        <v>50</v>
      </c>
      <c r="J2">
        <f>0.24*300</f>
        <v>72</v>
      </c>
      <c r="K2">
        <f>2.09*300</f>
        <v>627</v>
      </c>
      <c r="L2">
        <f>300*2.69</f>
        <v>807</v>
      </c>
      <c r="M2">
        <f>0.2*300</f>
        <v>60</v>
      </c>
      <c r="N2">
        <f>0.32*300</f>
        <v>96</v>
      </c>
      <c r="O2">
        <f>1.13*300</f>
        <v>338.99999999999994</v>
      </c>
      <c r="P2">
        <f>0.2*300</f>
        <v>60</v>
      </c>
      <c r="Q2">
        <f>0.25*300</f>
        <v>75</v>
      </c>
      <c r="R2">
        <f>0.4*300</f>
        <v>120</v>
      </c>
      <c r="S2">
        <v>90</v>
      </c>
      <c r="U2" t="s">
        <v>26</v>
      </c>
      <c r="V2" t="s">
        <v>35</v>
      </c>
      <c r="X2" t="s">
        <v>34</v>
      </c>
    </row>
    <row r="3" spans="1:24" x14ac:dyDescent="0.3">
      <c r="A3" s="4" t="s">
        <v>0</v>
      </c>
      <c r="B3" s="7">
        <f t="shared" si="0"/>
        <v>2564.3000000000002</v>
      </c>
      <c r="C3" s="7">
        <v>564</v>
      </c>
      <c r="D3" s="7"/>
      <c r="E3" s="7"/>
      <c r="F3" s="2"/>
      <c r="G3" s="1">
        <v>59</v>
      </c>
      <c r="H3" s="1"/>
      <c r="I3" s="1"/>
      <c r="J3" s="1">
        <f>0.38*300</f>
        <v>114</v>
      </c>
      <c r="K3" s="1">
        <f>1.6*300</f>
        <v>480</v>
      </c>
      <c r="L3" s="1">
        <f>2.33*300</f>
        <v>699</v>
      </c>
      <c r="M3" s="1">
        <f>0.2*300</f>
        <v>60</v>
      </c>
      <c r="N3" s="1"/>
      <c r="O3" s="1">
        <f>1.191*300</f>
        <v>357.3</v>
      </c>
      <c r="P3" s="1">
        <f>0.5*300</f>
        <v>150</v>
      </c>
      <c r="Q3" s="2">
        <f>0.27*300</f>
        <v>81</v>
      </c>
      <c r="R3" s="2"/>
      <c r="S3" s="1" t="s">
        <v>12</v>
      </c>
      <c r="T3" s="1"/>
      <c r="U3" s="1"/>
      <c r="V3" t="s">
        <v>35</v>
      </c>
      <c r="X3" t="s">
        <v>34</v>
      </c>
    </row>
    <row r="4" spans="1:24" x14ac:dyDescent="0.3">
      <c r="A4" s="4" t="s">
        <v>14</v>
      </c>
      <c r="B4" s="7">
        <f t="shared" si="0"/>
        <v>1603.3000000000002</v>
      </c>
      <c r="C4" s="7">
        <v>399</v>
      </c>
      <c r="D4" s="7"/>
      <c r="G4">
        <v>50</v>
      </c>
      <c r="H4">
        <v>35</v>
      </c>
      <c r="I4">
        <v>15</v>
      </c>
      <c r="J4">
        <f>0.24*300</f>
        <v>72</v>
      </c>
      <c r="K4">
        <f>1.866*300</f>
        <v>559.80000000000007</v>
      </c>
      <c r="M4">
        <f>300*0.135</f>
        <v>40.5</v>
      </c>
      <c r="O4">
        <f>300*1.12</f>
        <v>336.00000000000006</v>
      </c>
      <c r="Q4">
        <f>300*0.14</f>
        <v>42.000000000000007</v>
      </c>
      <c r="R4">
        <f>300*(0.09+0.09)</f>
        <v>54</v>
      </c>
      <c r="S4" s="1" t="s">
        <v>12</v>
      </c>
      <c r="U4" t="s">
        <v>29</v>
      </c>
      <c r="V4" t="s">
        <v>35</v>
      </c>
      <c r="X4" t="s">
        <v>36</v>
      </c>
    </row>
    <row r="5" spans="1:24" ht="17.25" customHeight="1" x14ac:dyDescent="0.3">
      <c r="A5" s="5" t="s">
        <v>18</v>
      </c>
      <c r="B5" s="7">
        <f t="shared" si="0"/>
        <v>1778</v>
      </c>
      <c r="C5">
        <v>350</v>
      </c>
      <c r="D5">
        <v>237</v>
      </c>
      <c r="F5">
        <v>12</v>
      </c>
      <c r="G5">
        <v>75</v>
      </c>
      <c r="J5">
        <f>0.3*300</f>
        <v>90</v>
      </c>
      <c r="K5">
        <f>1.93*300</f>
        <v>579</v>
      </c>
      <c r="N5">
        <f>0.16*300</f>
        <v>48</v>
      </c>
      <c r="O5">
        <f>1.05*300</f>
        <v>315</v>
      </c>
      <c r="Q5">
        <f>0.09*300</f>
        <v>27</v>
      </c>
      <c r="R5">
        <f>0.15*300</f>
        <v>45</v>
      </c>
      <c r="S5">
        <f>0.3*300</f>
        <v>90</v>
      </c>
      <c r="V5" t="s">
        <v>35</v>
      </c>
      <c r="W5" t="s">
        <v>37</v>
      </c>
      <c r="X5" t="s">
        <v>36</v>
      </c>
    </row>
    <row r="6" spans="1:24" x14ac:dyDescent="0.3">
      <c r="A6" s="4" t="s">
        <v>22</v>
      </c>
      <c r="B6" s="7">
        <f t="shared" si="0"/>
        <v>1716</v>
      </c>
      <c r="C6" s="6">
        <f>5.59*300</f>
        <v>1677</v>
      </c>
      <c r="D6" s="6"/>
      <c r="G6" s="6"/>
      <c r="J6" s="6"/>
      <c r="K6" s="6"/>
      <c r="M6" s="6"/>
      <c r="O6" s="6"/>
      <c r="Q6">
        <f>0.13*300</f>
        <v>39</v>
      </c>
      <c r="R6" s="6"/>
      <c r="S6">
        <v>90</v>
      </c>
      <c r="U6" t="s">
        <v>30</v>
      </c>
      <c r="V6">
        <f>13-12</f>
        <v>1</v>
      </c>
      <c r="X6" t="s">
        <v>34</v>
      </c>
    </row>
    <row r="7" spans="1:24" x14ac:dyDescent="0.3">
      <c r="A7" s="4" t="s">
        <v>23</v>
      </c>
      <c r="B7" s="7">
        <f>SUM(C7:R7)</f>
        <v>1852.6599999999999</v>
      </c>
      <c r="C7" s="9">
        <v>535</v>
      </c>
      <c r="D7" s="9"/>
      <c r="E7" t="s">
        <v>41</v>
      </c>
      <c r="G7" t="s">
        <v>41</v>
      </c>
      <c r="J7" s="6">
        <v>576.52</v>
      </c>
      <c r="K7">
        <v>598.22</v>
      </c>
      <c r="M7">
        <v>85.8</v>
      </c>
      <c r="O7" s="6"/>
      <c r="Q7" s="9">
        <v>57.12</v>
      </c>
      <c r="R7" s="9"/>
      <c r="S7">
        <v>120.6</v>
      </c>
      <c r="U7" t="s">
        <v>27</v>
      </c>
      <c r="V7">
        <f>19-12</f>
        <v>7</v>
      </c>
      <c r="X7" t="s">
        <v>34</v>
      </c>
    </row>
    <row r="8" spans="1:24" ht="18.75" customHeight="1" x14ac:dyDescent="0.3">
      <c r="A8" s="5" t="s">
        <v>25</v>
      </c>
      <c r="B8" s="7">
        <f t="shared" si="0"/>
        <v>1767</v>
      </c>
      <c r="C8">
        <v>260</v>
      </c>
      <c r="D8">
        <v>260</v>
      </c>
      <c r="G8">
        <v>50</v>
      </c>
      <c r="J8">
        <f>0.29*300</f>
        <v>87</v>
      </c>
      <c r="L8">
        <f>2*300</f>
        <v>600</v>
      </c>
      <c r="M8">
        <f>0.2*300</f>
        <v>60</v>
      </c>
      <c r="O8">
        <f>300*1.17</f>
        <v>351</v>
      </c>
      <c r="Q8">
        <f>300*0.15</f>
        <v>45</v>
      </c>
      <c r="R8">
        <f>300*0.18</f>
        <v>54</v>
      </c>
      <c r="S8">
        <v>112</v>
      </c>
      <c r="U8" t="s">
        <v>28</v>
      </c>
      <c r="V8" t="s">
        <v>35</v>
      </c>
      <c r="X8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685-674A-4FFE-A7E7-3A76AAFAF2BD}">
  <dimension ref="A1:X8"/>
  <sheetViews>
    <sheetView tabSelected="1" zoomScale="85" zoomScaleNormal="85" workbookViewId="0">
      <selection activeCell="J8" sqref="J8"/>
    </sheetView>
  </sheetViews>
  <sheetFormatPr baseColWidth="10" defaultRowHeight="14.4" x14ac:dyDescent="0.3"/>
  <cols>
    <col min="1" max="1" width="21.6640625" customWidth="1"/>
    <col min="2" max="2" width="30.5546875" customWidth="1"/>
    <col min="4" max="4" width="15" customWidth="1"/>
    <col min="5" max="5" width="19.5546875" customWidth="1"/>
    <col min="7" max="7" width="11.6640625" customWidth="1"/>
    <col min="8" max="9" width="14.109375" customWidth="1"/>
    <col min="11" max="11" width="12.77734375" customWidth="1"/>
    <col min="12" max="12" width="15.77734375" customWidth="1"/>
    <col min="13" max="13" width="23.44140625" customWidth="1"/>
    <col min="14" max="14" width="34.77734375" customWidth="1"/>
    <col min="15" max="15" width="21.33203125" customWidth="1"/>
    <col min="16" max="16" width="25.21875" customWidth="1"/>
    <col min="17" max="17" width="12.77734375" customWidth="1"/>
    <col min="18" max="18" width="12" customWidth="1"/>
    <col min="19" max="19" width="11.6640625" customWidth="1"/>
    <col min="22" max="22" width="17.5546875" customWidth="1"/>
  </cols>
  <sheetData>
    <row r="1" spans="1:24" x14ac:dyDescent="0.3">
      <c r="A1" s="12" t="s">
        <v>44</v>
      </c>
      <c r="B1" s="11" t="s">
        <v>42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4</v>
      </c>
      <c r="H1" s="3" t="s">
        <v>16</v>
      </c>
      <c r="I1" s="3" t="s">
        <v>17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20</v>
      </c>
      <c r="O1" s="3" t="s">
        <v>21</v>
      </c>
      <c r="P1" s="3" t="s">
        <v>13</v>
      </c>
      <c r="Q1" s="3" t="s">
        <v>9</v>
      </c>
      <c r="R1" s="3" t="s">
        <v>10</v>
      </c>
      <c r="S1" s="3" t="s">
        <v>11</v>
      </c>
      <c r="T1" s="3"/>
      <c r="U1" s="3" t="s">
        <v>24</v>
      </c>
      <c r="V1" s="3" t="s">
        <v>31</v>
      </c>
      <c r="W1" s="3" t="s">
        <v>32</v>
      </c>
      <c r="X1" s="3" t="s">
        <v>33</v>
      </c>
    </row>
    <row r="2" spans="1:24" x14ac:dyDescent="0.3">
      <c r="A2" s="4" t="s">
        <v>15</v>
      </c>
      <c r="B2" s="7">
        <f>SUM(C2:R2)</f>
        <v>2667</v>
      </c>
      <c r="C2">
        <v>312</v>
      </c>
      <c r="D2">
        <v>275</v>
      </c>
      <c r="G2">
        <v>50</v>
      </c>
      <c r="J2">
        <v>85</v>
      </c>
      <c r="K2">
        <v>1045</v>
      </c>
      <c r="M2">
        <v>100</v>
      </c>
      <c r="O2">
        <v>375</v>
      </c>
      <c r="P2">
        <f>0.2*500</f>
        <v>100</v>
      </c>
      <c r="Q2">
        <v>125</v>
      </c>
      <c r="R2">
        <v>200</v>
      </c>
      <c r="S2" s="1" t="s">
        <v>39</v>
      </c>
      <c r="U2" t="s">
        <v>26</v>
      </c>
      <c r="V2" t="s">
        <v>35</v>
      </c>
      <c r="X2" t="s">
        <v>34</v>
      </c>
    </row>
    <row r="3" spans="1:24" x14ac:dyDescent="0.3">
      <c r="A3" s="4" t="s">
        <v>0</v>
      </c>
      <c r="B3" s="7">
        <f t="shared" ref="B3:B8" si="0">SUM(C3:R3)</f>
        <v>3613</v>
      </c>
      <c r="C3" s="7">
        <v>564</v>
      </c>
      <c r="D3" s="7"/>
      <c r="E3" s="7"/>
      <c r="F3" s="2"/>
      <c r="G3" s="1">
        <v>59</v>
      </c>
      <c r="H3" s="1"/>
      <c r="I3" s="1"/>
      <c r="J3" s="1">
        <v>130</v>
      </c>
      <c r="K3" s="1">
        <v>745</v>
      </c>
      <c r="L3" s="1">
        <v>1110</v>
      </c>
      <c r="M3" s="1">
        <v>100</v>
      </c>
      <c r="N3" s="1"/>
      <c r="O3" s="1">
        <v>570</v>
      </c>
      <c r="P3" s="1">
        <v>200</v>
      </c>
      <c r="Q3" s="2">
        <v>135</v>
      </c>
      <c r="R3" s="2"/>
      <c r="S3" s="1" t="s">
        <v>39</v>
      </c>
      <c r="T3" s="1"/>
      <c r="U3" s="1"/>
      <c r="V3" t="s">
        <v>35</v>
      </c>
      <c r="X3" t="s">
        <v>34</v>
      </c>
    </row>
    <row r="4" spans="1:24" x14ac:dyDescent="0.3">
      <c r="A4" s="4" t="s">
        <v>14</v>
      </c>
      <c r="B4" s="7">
        <f t="shared" si="0"/>
        <v>2018.5</v>
      </c>
      <c r="C4" s="7">
        <v>399</v>
      </c>
      <c r="D4" s="7"/>
      <c r="G4">
        <v>50</v>
      </c>
      <c r="H4">
        <v>35</v>
      </c>
      <c r="I4">
        <v>15</v>
      </c>
      <c r="J4">
        <v>100</v>
      </c>
      <c r="K4">
        <v>812</v>
      </c>
      <c r="M4">
        <v>67.5</v>
      </c>
      <c r="O4">
        <v>380</v>
      </c>
      <c r="Q4">
        <v>70</v>
      </c>
      <c r="R4">
        <f>45+45</f>
        <v>90</v>
      </c>
      <c r="S4" s="1" t="s">
        <v>39</v>
      </c>
      <c r="U4" t="s">
        <v>29</v>
      </c>
      <c r="V4" t="s">
        <v>35</v>
      </c>
      <c r="X4" t="s">
        <v>36</v>
      </c>
    </row>
    <row r="5" spans="1:24" ht="17.25" customHeight="1" x14ac:dyDescent="0.3">
      <c r="A5" s="5" t="s">
        <v>18</v>
      </c>
      <c r="B5" s="7">
        <f t="shared" si="0"/>
        <v>2339</v>
      </c>
      <c r="C5">
        <v>350</v>
      </c>
      <c r="D5">
        <v>237</v>
      </c>
      <c r="E5">
        <v>12</v>
      </c>
      <c r="G5">
        <v>75</v>
      </c>
      <c r="J5">
        <v>130</v>
      </c>
      <c r="K5">
        <v>850</v>
      </c>
      <c r="N5">
        <v>80</v>
      </c>
      <c r="O5">
        <v>480</v>
      </c>
      <c r="Q5">
        <v>50</v>
      </c>
      <c r="R5">
        <v>75</v>
      </c>
      <c r="S5">
        <v>250</v>
      </c>
      <c r="V5" t="s">
        <v>35</v>
      </c>
      <c r="W5" t="s">
        <v>37</v>
      </c>
      <c r="X5" t="s">
        <v>36</v>
      </c>
    </row>
    <row r="6" spans="1:24" x14ac:dyDescent="0.3">
      <c r="A6" s="4" t="s">
        <v>22</v>
      </c>
      <c r="B6" s="7">
        <f t="shared" si="0"/>
        <v>2190</v>
      </c>
      <c r="C6" s="8">
        <v>2125</v>
      </c>
      <c r="D6" s="8"/>
      <c r="G6" s="6"/>
      <c r="J6" s="6"/>
      <c r="K6" s="6"/>
      <c r="M6" s="6"/>
      <c r="O6" s="6"/>
      <c r="Q6">
        <v>65</v>
      </c>
      <c r="R6" s="6"/>
      <c r="S6" s="10">
        <v>105</v>
      </c>
      <c r="U6" t="s">
        <v>30</v>
      </c>
      <c r="V6">
        <f>13-12</f>
        <v>1</v>
      </c>
      <c r="X6" t="s">
        <v>34</v>
      </c>
    </row>
    <row r="7" spans="1:24" x14ac:dyDescent="0.3">
      <c r="A7" s="4" t="s">
        <v>23</v>
      </c>
      <c r="B7" s="7">
        <f t="shared" si="0"/>
        <v>2565.63</v>
      </c>
      <c r="C7" s="9">
        <v>665</v>
      </c>
      <c r="D7" s="9"/>
      <c r="E7" t="s">
        <v>41</v>
      </c>
      <c r="G7" t="s">
        <v>41</v>
      </c>
      <c r="J7" s="6">
        <v>665.4</v>
      </c>
      <c r="K7">
        <v>997.03</v>
      </c>
      <c r="M7">
        <v>143</v>
      </c>
      <c r="O7" s="6"/>
      <c r="Q7" s="9">
        <v>95.2</v>
      </c>
      <c r="R7" s="9"/>
      <c r="S7">
        <v>185.34</v>
      </c>
      <c r="U7" t="s">
        <v>27</v>
      </c>
      <c r="V7">
        <f>19-12</f>
        <v>7</v>
      </c>
      <c r="X7" t="s">
        <v>34</v>
      </c>
    </row>
    <row r="8" spans="1:24" ht="18.75" customHeight="1" x14ac:dyDescent="0.3">
      <c r="A8" s="5" t="s">
        <v>25</v>
      </c>
      <c r="B8" s="7">
        <f t="shared" si="0"/>
        <v>2349</v>
      </c>
      <c r="C8">
        <v>260</v>
      </c>
      <c r="D8">
        <v>260</v>
      </c>
      <c r="G8">
        <v>50</v>
      </c>
      <c r="J8">
        <v>115</v>
      </c>
      <c r="K8">
        <v>925</v>
      </c>
      <c r="M8">
        <v>100</v>
      </c>
      <c r="O8">
        <v>510</v>
      </c>
      <c r="Q8">
        <v>75</v>
      </c>
      <c r="R8">
        <v>54</v>
      </c>
      <c r="S8">
        <v>155</v>
      </c>
      <c r="U8" t="s">
        <v>28</v>
      </c>
      <c r="V8" t="s">
        <v>35</v>
      </c>
      <c r="X8" t="s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F8FD-A8DE-43F2-88ED-62FC36B00CC4}">
  <dimension ref="A1:Y8"/>
  <sheetViews>
    <sheetView zoomScale="85" zoomScaleNormal="85" workbookViewId="0">
      <pane xSplit="1" topLeftCell="B1" activePane="topRight" state="frozen"/>
      <selection pane="topRight" activeCell="C6" sqref="C6"/>
    </sheetView>
  </sheetViews>
  <sheetFormatPr baseColWidth="10" defaultRowHeight="14.4" x14ac:dyDescent="0.3"/>
  <cols>
    <col min="1" max="1" width="21.6640625" customWidth="1"/>
    <col min="2" max="2" width="30.5546875" customWidth="1"/>
    <col min="4" max="4" width="15" customWidth="1"/>
    <col min="5" max="5" width="19.5546875" customWidth="1"/>
    <col min="6" max="6" width="7.44140625" customWidth="1"/>
    <col min="7" max="7" width="11.6640625" customWidth="1"/>
    <col min="8" max="9" width="14.109375" customWidth="1"/>
    <col min="11" max="11" width="12.77734375" customWidth="1"/>
    <col min="12" max="12" width="15.77734375" customWidth="1"/>
    <col min="13" max="13" width="23.44140625" customWidth="1"/>
    <col min="14" max="14" width="21" customWidth="1"/>
    <col min="15" max="15" width="34.77734375" customWidth="1"/>
    <col min="16" max="16" width="21.33203125" customWidth="1"/>
    <col min="17" max="17" width="25.21875" customWidth="1"/>
    <col min="18" max="18" width="12.77734375" customWidth="1"/>
    <col min="19" max="19" width="12" customWidth="1"/>
    <col min="20" max="20" width="11.6640625" customWidth="1"/>
    <col min="23" max="23" width="18.5546875" customWidth="1"/>
  </cols>
  <sheetData>
    <row r="1" spans="1:25" x14ac:dyDescent="0.3">
      <c r="A1" s="12" t="s">
        <v>44</v>
      </c>
      <c r="B1" s="11" t="s">
        <v>42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4</v>
      </c>
      <c r="H1" s="3" t="s">
        <v>16</v>
      </c>
      <c r="I1" s="3" t="s">
        <v>17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38</v>
      </c>
      <c r="O1" s="3" t="s">
        <v>20</v>
      </c>
      <c r="P1" s="3" t="s">
        <v>21</v>
      </c>
      <c r="Q1" s="3" t="s">
        <v>13</v>
      </c>
      <c r="R1" s="3" t="s">
        <v>9</v>
      </c>
      <c r="S1" s="3" t="s">
        <v>10</v>
      </c>
      <c r="T1" s="3" t="s">
        <v>11</v>
      </c>
      <c r="U1" s="3" t="s">
        <v>43</v>
      </c>
      <c r="V1" s="3" t="s">
        <v>24</v>
      </c>
      <c r="W1" s="3" t="s">
        <v>31</v>
      </c>
      <c r="X1" s="3" t="s">
        <v>32</v>
      </c>
      <c r="Y1" s="3" t="s">
        <v>33</v>
      </c>
    </row>
    <row r="2" spans="1:25" x14ac:dyDescent="0.3">
      <c r="A2" s="4" t="s">
        <v>15</v>
      </c>
      <c r="B2" s="4">
        <f>SUM(C2:S2)</f>
        <v>4827</v>
      </c>
      <c r="C2">
        <v>312</v>
      </c>
      <c r="D2">
        <v>275</v>
      </c>
      <c r="G2">
        <v>50</v>
      </c>
      <c r="J2">
        <v>140</v>
      </c>
      <c r="K2">
        <v>1900</v>
      </c>
      <c r="M2">
        <v>200</v>
      </c>
      <c r="N2">
        <v>240</v>
      </c>
      <c r="O2">
        <v>320</v>
      </c>
      <c r="P2">
        <v>540</v>
      </c>
      <c r="Q2">
        <v>200</v>
      </c>
      <c r="R2">
        <v>250</v>
      </c>
      <c r="S2">
        <v>400</v>
      </c>
      <c r="T2" t="s">
        <v>39</v>
      </c>
      <c r="V2" t="s">
        <v>26</v>
      </c>
      <c r="W2" t="s">
        <v>35</v>
      </c>
      <c r="Y2" t="s">
        <v>34</v>
      </c>
    </row>
    <row r="3" spans="1:25" x14ac:dyDescent="0.3">
      <c r="A3" s="4" t="s">
        <v>0</v>
      </c>
      <c r="B3" s="4">
        <f t="shared" ref="B3:B8" si="0">SUM(C3:S3)</f>
        <v>3733</v>
      </c>
      <c r="C3" s="9">
        <v>564</v>
      </c>
      <c r="D3" s="9"/>
      <c r="E3" s="9"/>
      <c r="G3">
        <v>59</v>
      </c>
      <c r="J3">
        <v>200</v>
      </c>
      <c r="K3">
        <v>1390</v>
      </c>
      <c r="M3">
        <v>200</v>
      </c>
      <c r="P3">
        <v>970</v>
      </c>
      <c r="Q3">
        <v>350</v>
      </c>
      <c r="T3" t="s">
        <v>39</v>
      </c>
      <c r="W3" t="s">
        <v>35</v>
      </c>
      <c r="Y3" t="s">
        <v>34</v>
      </c>
    </row>
    <row r="4" spans="1:25" x14ac:dyDescent="0.3">
      <c r="A4" s="4" t="s">
        <v>14</v>
      </c>
      <c r="B4" s="4">
        <f t="shared" si="0"/>
        <v>0</v>
      </c>
      <c r="V4" t="s">
        <v>29</v>
      </c>
      <c r="W4" t="s">
        <v>35</v>
      </c>
      <c r="Y4" t="s">
        <v>36</v>
      </c>
    </row>
    <row r="5" spans="1:25" x14ac:dyDescent="0.3">
      <c r="A5" s="4" t="s">
        <v>18</v>
      </c>
      <c r="B5" s="4">
        <f t="shared" si="0"/>
        <v>3889</v>
      </c>
      <c r="C5">
        <v>350</v>
      </c>
      <c r="D5">
        <v>322</v>
      </c>
      <c r="E5">
        <v>12</v>
      </c>
      <c r="G5">
        <v>75</v>
      </c>
      <c r="J5">
        <v>190</v>
      </c>
      <c r="K5">
        <v>1780</v>
      </c>
      <c r="O5">
        <v>160</v>
      </c>
      <c r="P5">
        <v>760</v>
      </c>
      <c r="R5">
        <v>90</v>
      </c>
      <c r="S5">
        <v>150</v>
      </c>
      <c r="T5">
        <v>220</v>
      </c>
      <c r="W5" t="s">
        <v>35</v>
      </c>
      <c r="X5" t="s">
        <v>37</v>
      </c>
      <c r="Y5" t="s">
        <v>36</v>
      </c>
    </row>
    <row r="6" spans="1:25" x14ac:dyDescent="0.3">
      <c r="A6" s="4" t="s">
        <v>22</v>
      </c>
      <c r="B6" s="4">
        <f t="shared" si="0"/>
        <v>3120</v>
      </c>
      <c r="C6" s="6">
        <f>2.99*1000</f>
        <v>2990</v>
      </c>
      <c r="D6" s="6"/>
      <c r="G6" s="6"/>
      <c r="J6" s="6"/>
      <c r="K6" s="6"/>
      <c r="M6" s="6"/>
      <c r="P6" s="6"/>
      <c r="R6">
        <v>130</v>
      </c>
      <c r="S6" s="6"/>
      <c r="T6">
        <v>120</v>
      </c>
      <c r="U6" t="s">
        <v>30</v>
      </c>
      <c r="V6">
        <f>13-12</f>
        <v>1</v>
      </c>
      <c r="X6" t="s">
        <v>34</v>
      </c>
    </row>
    <row r="7" spans="1:25" x14ac:dyDescent="0.3">
      <c r="A7" s="4" t="s">
        <v>23</v>
      </c>
      <c r="B7" s="4">
        <f t="shared" si="0"/>
        <v>4260.99</v>
      </c>
      <c r="C7" s="9">
        <v>665</v>
      </c>
      <c r="D7" s="9"/>
      <c r="E7">
        <v>0</v>
      </c>
      <c r="G7">
        <v>0</v>
      </c>
      <c r="J7" s="6"/>
      <c r="K7">
        <v>1917.37</v>
      </c>
      <c r="N7">
        <v>313.45999999999998</v>
      </c>
      <c r="P7" s="6">
        <v>871.79</v>
      </c>
      <c r="R7">
        <v>183.08</v>
      </c>
      <c r="S7" s="9">
        <v>310.29000000000002</v>
      </c>
      <c r="T7" s="9"/>
      <c r="V7" t="s">
        <v>27</v>
      </c>
      <c r="W7">
        <f>19-12</f>
        <v>7</v>
      </c>
      <c r="Y7" t="s">
        <v>34</v>
      </c>
    </row>
    <row r="8" spans="1:25" x14ac:dyDescent="0.3">
      <c r="A8" s="4" t="s">
        <v>25</v>
      </c>
      <c r="B8" s="4">
        <f t="shared" si="0"/>
        <v>3620</v>
      </c>
      <c r="C8">
        <v>260</v>
      </c>
      <c r="D8">
        <v>260</v>
      </c>
      <c r="G8">
        <v>50</v>
      </c>
      <c r="J8">
        <v>170</v>
      </c>
      <c r="K8">
        <v>1550</v>
      </c>
      <c r="M8">
        <v>200</v>
      </c>
      <c r="P8">
        <v>800</v>
      </c>
      <c r="R8">
        <v>150</v>
      </c>
      <c r="S8">
        <v>180</v>
      </c>
      <c r="T8">
        <v>328</v>
      </c>
      <c r="V8" t="s">
        <v>28</v>
      </c>
      <c r="W8" t="s">
        <v>35</v>
      </c>
      <c r="Y8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BFE8-10AF-45A3-8D81-B6030F7FA497}">
  <dimension ref="A1:Y8"/>
  <sheetViews>
    <sheetView zoomScale="85" zoomScaleNormal="85" workbookViewId="0">
      <selection activeCell="B19" sqref="B19"/>
    </sheetView>
  </sheetViews>
  <sheetFormatPr baseColWidth="10" defaultRowHeight="14.4" x14ac:dyDescent="0.3"/>
  <cols>
    <col min="1" max="1" width="21.6640625" customWidth="1"/>
    <col min="2" max="2" width="30.5546875" customWidth="1"/>
    <col min="4" max="4" width="15" customWidth="1"/>
    <col min="5" max="5" width="19.5546875" customWidth="1"/>
    <col min="6" max="6" width="7.44140625" customWidth="1"/>
    <col min="7" max="7" width="11.6640625" customWidth="1"/>
    <col min="8" max="9" width="14.109375" customWidth="1"/>
    <col min="11" max="11" width="12.77734375" customWidth="1"/>
    <col min="12" max="12" width="15.77734375" customWidth="1"/>
    <col min="13" max="13" width="23.44140625" customWidth="1"/>
    <col min="14" max="14" width="21" customWidth="1"/>
    <col min="15" max="15" width="34.77734375" customWidth="1"/>
    <col min="16" max="16" width="21.33203125" customWidth="1"/>
    <col min="17" max="17" width="25.21875" customWidth="1"/>
    <col min="18" max="18" width="12.77734375" customWidth="1"/>
    <col min="19" max="19" width="12" customWidth="1"/>
    <col min="20" max="20" width="11.6640625" customWidth="1"/>
    <col min="23" max="23" width="18.5546875" customWidth="1"/>
  </cols>
  <sheetData>
    <row r="1" spans="1:25" x14ac:dyDescent="0.3">
      <c r="A1" s="12" t="s">
        <v>44</v>
      </c>
      <c r="B1" s="11" t="s">
        <v>42</v>
      </c>
      <c r="C1" s="3" t="s">
        <v>1</v>
      </c>
      <c r="D1" s="3" t="s">
        <v>2</v>
      </c>
      <c r="E1" s="3" t="s">
        <v>3</v>
      </c>
      <c r="F1" s="3" t="s">
        <v>19</v>
      </c>
      <c r="G1" s="3" t="s">
        <v>4</v>
      </c>
      <c r="H1" s="3" t="s">
        <v>16</v>
      </c>
      <c r="I1" s="3" t="s">
        <v>17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38</v>
      </c>
      <c r="O1" s="3" t="s">
        <v>20</v>
      </c>
      <c r="P1" s="3" t="s">
        <v>21</v>
      </c>
      <c r="Q1" s="3" t="s">
        <v>13</v>
      </c>
      <c r="R1" s="3" t="s">
        <v>9</v>
      </c>
      <c r="S1" s="3" t="s">
        <v>10</v>
      </c>
      <c r="T1" s="3" t="s">
        <v>11</v>
      </c>
      <c r="U1" s="3" t="s">
        <v>43</v>
      </c>
      <c r="V1" s="3" t="s">
        <v>24</v>
      </c>
      <c r="W1" s="3" t="s">
        <v>31</v>
      </c>
      <c r="X1" s="3" t="s">
        <v>32</v>
      </c>
      <c r="Y1" s="3" t="s">
        <v>33</v>
      </c>
    </row>
    <row r="2" spans="1:25" x14ac:dyDescent="0.3">
      <c r="A2" s="4" t="s">
        <v>15</v>
      </c>
      <c r="B2" s="4">
        <f>SUM(C2:S2)</f>
        <v>8824</v>
      </c>
      <c r="C2">
        <v>624</v>
      </c>
      <c r="D2">
        <v>550</v>
      </c>
      <c r="G2">
        <v>50</v>
      </c>
      <c r="J2">
        <v>200</v>
      </c>
      <c r="K2">
        <v>3500</v>
      </c>
      <c r="M2">
        <v>400</v>
      </c>
      <c r="N2">
        <v>480</v>
      </c>
      <c r="O2">
        <v>640</v>
      </c>
      <c r="P2">
        <v>680</v>
      </c>
      <c r="Q2">
        <f>0.2*2000</f>
        <v>400</v>
      </c>
      <c r="R2">
        <f>0.25*2000</f>
        <v>500</v>
      </c>
      <c r="S2">
        <v>800</v>
      </c>
      <c r="T2" t="s">
        <v>39</v>
      </c>
      <c r="V2" t="s">
        <v>26</v>
      </c>
      <c r="W2" t="s">
        <v>35</v>
      </c>
      <c r="Y2" t="s">
        <v>34</v>
      </c>
    </row>
    <row r="3" spans="1:25" x14ac:dyDescent="0.3">
      <c r="A3" s="4" t="s">
        <v>0</v>
      </c>
      <c r="B3" s="4">
        <f t="shared" ref="B3:B8" si="0">SUM(C3:S3)</f>
        <v>6183</v>
      </c>
      <c r="C3" s="9">
        <v>564</v>
      </c>
      <c r="D3" s="9"/>
      <c r="E3" s="9"/>
      <c r="G3">
        <v>59</v>
      </c>
      <c r="J3">
        <v>360</v>
      </c>
      <c r="K3">
        <v>2380</v>
      </c>
      <c r="M3">
        <v>400</v>
      </c>
      <c r="P3">
        <v>1880</v>
      </c>
      <c r="R3">
        <v>540</v>
      </c>
      <c r="T3" t="s">
        <v>39</v>
      </c>
      <c r="W3" t="s">
        <v>35</v>
      </c>
      <c r="Y3" t="s">
        <v>34</v>
      </c>
    </row>
    <row r="4" spans="1:25" x14ac:dyDescent="0.3">
      <c r="A4" s="4" t="s">
        <v>14</v>
      </c>
      <c r="B4" s="4">
        <f t="shared" si="0"/>
        <v>0</v>
      </c>
      <c r="V4" t="s">
        <v>29</v>
      </c>
      <c r="W4" t="s">
        <v>35</v>
      </c>
      <c r="Y4" t="s">
        <v>36</v>
      </c>
    </row>
    <row r="5" spans="1:25" x14ac:dyDescent="0.3">
      <c r="A5" s="4" t="s">
        <v>18</v>
      </c>
      <c r="B5" s="4">
        <f t="shared" si="0"/>
        <v>7171</v>
      </c>
      <c r="C5">
        <v>280</v>
      </c>
      <c r="D5">
        <f>296+340</f>
        <v>636</v>
      </c>
      <c r="G5">
        <v>75</v>
      </c>
      <c r="J5">
        <f>0.45*2000</f>
        <v>900</v>
      </c>
      <c r="K5">
        <v>3060</v>
      </c>
      <c r="O5">
        <v>320</v>
      </c>
      <c r="P5">
        <v>1400</v>
      </c>
      <c r="R5">
        <v>200</v>
      </c>
      <c r="S5">
        <v>300</v>
      </c>
      <c r="T5">
        <v>275</v>
      </c>
      <c r="W5" t="s">
        <v>40</v>
      </c>
      <c r="X5" t="s">
        <v>37</v>
      </c>
      <c r="Y5" t="s">
        <v>36</v>
      </c>
    </row>
    <row r="6" spans="1:25" x14ac:dyDescent="0.3">
      <c r="A6" s="4" t="s">
        <v>22</v>
      </c>
      <c r="B6" s="4">
        <f t="shared" si="0"/>
        <v>6240</v>
      </c>
      <c r="C6" s="6">
        <f>2.99*2000</f>
        <v>5980</v>
      </c>
      <c r="D6" s="6"/>
      <c r="G6" s="6"/>
      <c r="J6" s="6"/>
      <c r="K6" s="6"/>
      <c r="M6" s="6"/>
      <c r="P6" s="6"/>
      <c r="R6">
        <v>260</v>
      </c>
      <c r="S6" s="6"/>
      <c r="T6">
        <v>240</v>
      </c>
      <c r="U6" t="s">
        <v>30</v>
      </c>
      <c r="V6">
        <f>13-12</f>
        <v>1</v>
      </c>
      <c r="X6" t="s">
        <v>34</v>
      </c>
    </row>
    <row r="7" spans="1:25" x14ac:dyDescent="0.3">
      <c r="A7" s="4" t="s">
        <v>23</v>
      </c>
      <c r="B7" s="4">
        <f t="shared" si="0"/>
        <v>7078.9</v>
      </c>
      <c r="C7" s="9">
        <v>795</v>
      </c>
      <c r="D7" s="9"/>
      <c r="E7">
        <v>0</v>
      </c>
      <c r="G7">
        <v>0</v>
      </c>
      <c r="J7" s="6"/>
      <c r="K7">
        <v>3834.74</v>
      </c>
      <c r="N7">
        <v>626.91999999999996</v>
      </c>
      <c r="P7" s="6">
        <v>1456.08</v>
      </c>
      <c r="R7" s="9">
        <v>366.16</v>
      </c>
      <c r="S7" s="9"/>
      <c r="T7">
        <v>575.74</v>
      </c>
      <c r="V7" t="s">
        <v>27</v>
      </c>
      <c r="W7">
        <f>19-12</f>
        <v>7</v>
      </c>
      <c r="Y7" t="s">
        <v>34</v>
      </c>
    </row>
    <row r="8" spans="1:25" x14ac:dyDescent="0.3">
      <c r="A8" s="4" t="s">
        <v>25</v>
      </c>
      <c r="B8" s="4">
        <f t="shared" si="0"/>
        <v>0</v>
      </c>
      <c r="V8" t="s">
        <v>28</v>
      </c>
      <c r="W8" t="s">
        <v>35</v>
      </c>
      <c r="Y8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7158-F3F0-4E40-99CA-01826157A883}">
  <dimension ref="B3:S10"/>
  <sheetViews>
    <sheetView zoomScale="70" zoomScaleNormal="70" workbookViewId="0">
      <selection activeCell="C6" sqref="C6"/>
    </sheetView>
  </sheetViews>
  <sheetFormatPr baseColWidth="10" defaultRowHeight="14.4" x14ac:dyDescent="0.3"/>
  <cols>
    <col min="2" max="2" width="18.88671875" bestFit="1" customWidth="1"/>
    <col min="3" max="3" width="30.109375" bestFit="1" customWidth="1"/>
    <col min="6" max="6" width="18.88671875" bestFit="1" customWidth="1"/>
    <col min="7" max="7" width="30.109375" bestFit="1" customWidth="1"/>
    <col min="10" max="10" width="18.88671875" bestFit="1" customWidth="1"/>
    <col min="11" max="11" width="30.109375" bestFit="1" customWidth="1"/>
    <col min="14" max="14" width="19.44140625" bestFit="1" customWidth="1"/>
    <col min="15" max="15" width="30.109375" bestFit="1" customWidth="1"/>
    <col min="18" max="18" width="19.44140625" bestFit="1" customWidth="1"/>
    <col min="19" max="19" width="30.109375" bestFit="1" customWidth="1"/>
  </cols>
  <sheetData>
    <row r="3" spans="2:19" x14ac:dyDescent="0.3">
      <c r="B3" s="13" t="s">
        <v>45</v>
      </c>
      <c r="C3" t="s">
        <v>49</v>
      </c>
      <c r="F3" s="13" t="s">
        <v>46</v>
      </c>
      <c r="G3" t="s">
        <v>49</v>
      </c>
      <c r="J3" s="13" t="s">
        <v>47</v>
      </c>
      <c r="K3" t="s">
        <v>49</v>
      </c>
      <c r="N3" s="13" t="s">
        <v>48</v>
      </c>
      <c r="O3" t="s">
        <v>49</v>
      </c>
      <c r="R3" s="13" t="s">
        <v>50</v>
      </c>
      <c r="S3" t="s">
        <v>49</v>
      </c>
    </row>
    <row r="4" spans="2:19" x14ac:dyDescent="0.3">
      <c r="B4" s="14" t="s">
        <v>18</v>
      </c>
      <c r="C4" s="15">
        <v>0</v>
      </c>
      <c r="F4" s="14" t="s">
        <v>14</v>
      </c>
      <c r="G4" s="15">
        <v>1603.3000000000002</v>
      </c>
      <c r="J4" s="14" t="s">
        <v>14</v>
      </c>
      <c r="K4" s="15">
        <v>2018.5</v>
      </c>
      <c r="N4" s="14" t="s">
        <v>14</v>
      </c>
      <c r="O4" s="15">
        <v>0</v>
      </c>
      <c r="R4" s="14" t="s">
        <v>25</v>
      </c>
      <c r="S4" s="15">
        <v>0</v>
      </c>
    </row>
    <row r="5" spans="2:19" x14ac:dyDescent="0.3">
      <c r="B5" s="14" t="s">
        <v>0</v>
      </c>
      <c r="C5" s="15">
        <v>0</v>
      </c>
      <c r="F5" s="14" t="s">
        <v>22</v>
      </c>
      <c r="G5" s="15">
        <v>1716</v>
      </c>
      <c r="J5" s="14" t="s">
        <v>22</v>
      </c>
      <c r="K5" s="15">
        <v>2190</v>
      </c>
      <c r="N5" s="14" t="s">
        <v>22</v>
      </c>
      <c r="O5" s="15">
        <v>3120</v>
      </c>
      <c r="R5" s="14" t="s">
        <v>14</v>
      </c>
      <c r="S5" s="15">
        <v>0</v>
      </c>
    </row>
    <row r="6" spans="2:19" x14ac:dyDescent="0.3">
      <c r="B6" s="14" t="s">
        <v>14</v>
      </c>
      <c r="C6" s="15">
        <v>0</v>
      </c>
      <c r="F6" s="14" t="s">
        <v>25</v>
      </c>
      <c r="G6" s="15">
        <v>1767</v>
      </c>
      <c r="J6" s="14" t="s">
        <v>18</v>
      </c>
      <c r="K6" s="15">
        <v>2339</v>
      </c>
      <c r="N6" s="14" t="s">
        <v>25</v>
      </c>
      <c r="O6" s="15">
        <v>3620</v>
      </c>
      <c r="R6" s="14" t="s">
        <v>0</v>
      </c>
      <c r="S6" s="15">
        <v>6183</v>
      </c>
    </row>
    <row r="7" spans="2:19" x14ac:dyDescent="0.3">
      <c r="B7" s="14" t="s">
        <v>23</v>
      </c>
      <c r="C7" s="15">
        <v>0</v>
      </c>
      <c r="F7" s="14" t="s">
        <v>18</v>
      </c>
      <c r="G7" s="15">
        <v>1778</v>
      </c>
      <c r="J7" s="14" t="s">
        <v>25</v>
      </c>
      <c r="K7" s="15">
        <v>2349</v>
      </c>
      <c r="N7" s="14" t="s">
        <v>0</v>
      </c>
      <c r="O7" s="15">
        <v>3733</v>
      </c>
      <c r="R7" s="14" t="s">
        <v>22</v>
      </c>
      <c r="S7" s="15">
        <v>6240</v>
      </c>
    </row>
    <row r="8" spans="2:19" x14ac:dyDescent="0.3">
      <c r="B8" s="14" t="s">
        <v>25</v>
      </c>
      <c r="C8" s="15">
        <v>0</v>
      </c>
      <c r="F8" s="14" t="s">
        <v>23</v>
      </c>
      <c r="G8" s="15">
        <v>1852.6599999999999</v>
      </c>
      <c r="J8" s="14" t="s">
        <v>23</v>
      </c>
      <c r="K8" s="15">
        <v>2565.63</v>
      </c>
      <c r="N8" s="14" t="s">
        <v>18</v>
      </c>
      <c r="O8" s="15">
        <v>3889</v>
      </c>
      <c r="R8" s="14" t="s">
        <v>23</v>
      </c>
      <c r="S8" s="15">
        <v>7078.9</v>
      </c>
    </row>
    <row r="9" spans="2:19" x14ac:dyDescent="0.3">
      <c r="B9" s="14" t="s">
        <v>15</v>
      </c>
      <c r="C9" s="15">
        <v>1469.5</v>
      </c>
      <c r="F9" s="14" t="s">
        <v>0</v>
      </c>
      <c r="G9" s="15">
        <v>2564.3000000000002</v>
      </c>
      <c r="J9" s="14" t="s">
        <v>15</v>
      </c>
      <c r="K9" s="15">
        <v>2667</v>
      </c>
      <c r="N9" s="14" t="s">
        <v>23</v>
      </c>
      <c r="O9" s="15">
        <v>4260.99</v>
      </c>
      <c r="R9" s="14" t="s">
        <v>18</v>
      </c>
      <c r="S9" s="15">
        <v>7171</v>
      </c>
    </row>
    <row r="10" spans="2:19" x14ac:dyDescent="0.3">
      <c r="B10" s="14" t="s">
        <v>22</v>
      </c>
      <c r="C10" s="15">
        <v>1818</v>
      </c>
      <c r="F10" s="14" t="s">
        <v>15</v>
      </c>
      <c r="G10" s="15">
        <v>2893</v>
      </c>
      <c r="J10" s="14" t="s">
        <v>0</v>
      </c>
      <c r="K10" s="15">
        <v>3613</v>
      </c>
      <c r="N10" s="14" t="s">
        <v>15</v>
      </c>
      <c r="O10" s="15">
        <v>4827</v>
      </c>
      <c r="R10" s="14" t="s">
        <v>15</v>
      </c>
      <c r="S10" s="15">
        <v>8824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35CC-B1A4-467A-869A-9D17B4B3D90A}">
  <dimension ref="A1"/>
  <sheetViews>
    <sheetView zoomScale="85" zoomScaleNormal="85" workbookViewId="0">
      <selection activeCell="C22" sqref="C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150</vt:lpstr>
      <vt:lpstr>300</vt:lpstr>
      <vt:lpstr>500</vt:lpstr>
      <vt:lpstr>1000</vt:lpstr>
      <vt:lpstr>2000</vt:lpstr>
      <vt:lpstr>Analyse playground</vt:lpstr>
      <vt:lpstr>Montant total devis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</dc:creator>
  <cp:lastModifiedBy>samuel maherault</cp:lastModifiedBy>
  <dcterms:created xsi:type="dcterms:W3CDTF">2023-04-11T09:49:54Z</dcterms:created>
  <dcterms:modified xsi:type="dcterms:W3CDTF">2023-05-30T14:56:15Z</dcterms:modified>
</cp:coreProperties>
</file>